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omments1.xml" ContentType="application/vnd.openxmlformats-officedocument.spreadsheetml.comments+xml"/>
  <Override PartName="/xl/drawings/drawing2.xml" ContentType="application/vnd.openxmlformats-officedocument.drawing+xml"/>
  <Override PartName="/xl/embeddings/oleObject1.bin" ContentType="application/vnd.openxmlformats-officedocument.oleObject"/>
  <Override PartName="/xl/comments2.xml" ContentType="application/vnd.openxmlformats-officedocument.spreadsheetml.comments+xml"/>
  <Override PartName="/xl/drawings/drawing3.xml" ContentType="application/vnd.openxmlformats-officedocument.drawing+xml"/>
  <Override PartName="/xl/comments3.xml" ContentType="application/vnd.openxmlformats-officedocument.spreadsheetml.comments+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drawings/drawing4.xml" ContentType="application/vnd.openxmlformats-officedocument.drawing+xml"/>
  <Override PartName="/xl/comments4.xml" ContentType="application/vnd.openxmlformats-officedocument.spreadsheetml.comments+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drawings/drawing5.xml" ContentType="application/vnd.openxmlformats-officedocument.drawing+xml"/>
  <Override PartName="/xl/comments5.xml" ContentType="application/vnd.openxmlformats-officedocument.spreadsheetml.comments+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drawings/drawing6.xml" ContentType="application/vnd.openxmlformats-officedocument.drawing+xml"/>
  <Override PartName="/xl/drawings/drawing7.xml" ContentType="application/vnd.openxmlformats-officedocument.drawing+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drawings/drawing8.xml" ContentType="application/vnd.openxmlformats-officedocument.drawing+xml"/>
  <Override PartName="/xl/charts/chart13.xml" ContentType="application/vnd.openxmlformats-officedocument.drawingml.chart+xml"/>
  <Override PartName="/xl/charts/chart14.xml" ContentType="application/vnd.openxmlformats-officedocument.drawingml.chart+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026"/>
  <workbookPr defaultThemeVersion="124226"/>
  <mc:AlternateContent xmlns:mc="http://schemas.openxmlformats.org/markup-compatibility/2006">
    <mc:Choice Requires="x15">
      <x15ac:absPath xmlns:x15ac="http://schemas.microsoft.com/office/spreadsheetml/2010/11/ac" url="C:\Users\Ryan\Google Drive\Projects\3PO\Simulation\TI_Calculator_Tool\"/>
    </mc:Choice>
  </mc:AlternateContent>
  <xr:revisionPtr revIDLastSave="0" documentId="13_ncr:1_{93D52966-9100-4D5A-A7A9-72508BCB0407}" xr6:coauthVersionLast="47" xr6:coauthVersionMax="47" xr10:uidLastSave="{00000000-0000-0000-0000-000000000000}"/>
  <workbookProtection workbookPassword="E1A4" lockStructure="1"/>
  <bookViews>
    <workbookView xWindow="-120" yWindow="-120" windowWidth="38640" windowHeight="21240" tabRatio="730" xr2:uid="{00000000-000D-0000-FFFF-FFFF00000000}"/>
  </bookViews>
  <sheets>
    <sheet name="Design Converter" sheetId="1" r:id="rId1"/>
    <sheet name="Variable_Management" sheetId="2" state="hidden" r:id="rId2"/>
    <sheet name="CCM_Loop_Modeling_Isolated" sheetId="10" state="hidden" r:id="rId3"/>
    <sheet name="CCM_Loop_Modeling_non_isolated" sheetId="5" state="hidden" r:id="rId4"/>
    <sheet name="Eff_vs_IOUT" sheetId="4" state="hidden" r:id="rId5"/>
    <sheet name="Constants" sheetId="3" state="hidden" r:id="rId6"/>
    <sheet name="Plot_Management_Eff" sheetId="6" state="hidden" r:id="rId7"/>
    <sheet name="Lists" sheetId="8" state="hidden" r:id="rId8"/>
    <sheet name="Plot Management_Loop" sheetId="9" state="hidden" r:id="rId9"/>
    <sheet name="Plot Management_Sch" sheetId="11" state="hidden" r:id="rId10"/>
  </sheets>
  <definedNames>
    <definedName name="Acs">Constants!$B$32</definedName>
    <definedName name="Adc" localSheetId="2">CCM_Loop_Modeling_Isolated!$B$41</definedName>
    <definedName name="Adc">CCM_Loop_Modeling_non_isolated!$B$41</definedName>
    <definedName name="Adc_ea">CCM_Loop_Modeling_non_isolated!$B$69</definedName>
    <definedName name="Adc_ea_iso" localSheetId="2">CCM_Loop_Modeling_Isolated!$B$69</definedName>
    <definedName name="ADC_VINmin">Variable_Management!$B$178</definedName>
    <definedName name="CCOMP">Variable_Management!$B$270</definedName>
    <definedName name="CComp_calc">Variable_Management!$B$269</definedName>
    <definedName name="Ccomp_iso">Variable_Management!$B$231</definedName>
    <definedName name="Ccomp_iso_calc">Variable_Management!$B$230</definedName>
    <definedName name="CD3_">Variable_Management!$B$37</definedName>
    <definedName name="CHF">Variable_Management!$B$272</definedName>
    <definedName name="Comp_calc">Variable_Management!$B$269</definedName>
    <definedName name="Copto">Variable_Management!$B$213</definedName>
    <definedName name="Cout_total">Variable_Management!$B$150</definedName>
    <definedName name="Cout1">Variable_Management!$B$130</definedName>
    <definedName name="Cout1_min">Variable_Management!$B$128</definedName>
    <definedName name="Cout2">Variable_Management!$B$138</definedName>
    <definedName name="Cout2_min">Variable_Management!$B$136</definedName>
    <definedName name="Cout3">Variable_Management!$B$146</definedName>
    <definedName name="Cout3_min">Variable_Management!$B$144</definedName>
    <definedName name="D_limit_max">Constants!$B$20</definedName>
    <definedName name="D_limit_min">Constants!$B$18</definedName>
    <definedName name="D_limit_nom">Constants!$B$19</definedName>
    <definedName name="Dc_max_IC" localSheetId="2">Variable_Management!#REF!</definedName>
    <definedName name="Dc_max_IC">Variable_Management!#REF!</definedName>
    <definedName name="Dc_max_ideal" localSheetId="2">Variable_Management!#REF!</definedName>
    <definedName name="Dc_max_ideal">Variable_Management!#REF!</definedName>
    <definedName name="Dc_rip_max" localSheetId="2">Variable_Management!#REF!</definedName>
    <definedName name="Dc_rip_max">Variable_Management!#REF!</definedName>
    <definedName name="Dc_var_ccm" localSheetId="2">CCM_Loop_Modeling_Isolated!$B$40</definedName>
    <definedName name="Dc_var_ccm">CCM_Loop_Modeling_non_isolated!$B$40</definedName>
    <definedName name="Dc_VIN_max">Variable_Management!$B$59</definedName>
    <definedName name="Dc_VIN_min">Variable_Management!$B$57</definedName>
    <definedName name="Dc_VIN_nom">Variable_Management!$B$58</definedName>
    <definedName name="disp_test">INDIRECT(#REF!)</definedName>
    <definedName name="display_eff">INDIRECT(Plot_Management_Eff!$B$2)</definedName>
    <definedName name="display_LOOP">INDIRECT('Plot Management_Loop'!$A$2)</definedName>
    <definedName name="display_Sch">INDIRECT('Plot Management_Sch'!$A$1)</definedName>
    <definedName name="Dmax_limit">Variable_Management!$B$52</definedName>
    <definedName name="EFF_est">Variable_Management!$B$41</definedName>
    <definedName name="Eff_OUT_1">Plot_Management_Eff!$C$3</definedName>
    <definedName name="Eff_OUT_2">Plot_Management_Eff!$C$6</definedName>
    <definedName name="Eff_OUT_3">Plot_Management_Eff!$C$9</definedName>
    <definedName name="Eff_vs_IOUT">Plot_Management_Eff!$C$3</definedName>
    <definedName name="EN_OUT_2">Variable_Management!$B$23</definedName>
    <definedName name="EN_OUT_3">Variable_Management!$B$32</definedName>
    <definedName name="FB_type">Variable_Management!$B$175</definedName>
    <definedName name="fcross">Variable_Management!$B$253</definedName>
    <definedName name="fcross_est">Variable_Management!$B$252</definedName>
    <definedName name="fcross_iso">Variable_Management!$B$226</definedName>
    <definedName name="fcross_iso_est">Variable_Management!$B$225</definedName>
    <definedName name="fopto">Variable_Management!$B$218</definedName>
    <definedName name="fp_ea_est">Variable_Management!$B$263</definedName>
    <definedName name="Fsw">Variable_Management!$B$10</definedName>
    <definedName name="fz_ea_est">Variable_Management!$B$261</definedName>
    <definedName name="fz_rhp">Variable_Management!$B$187</definedName>
    <definedName name="Gcomp">Constants!$B$31</definedName>
    <definedName name="Gea_mid_calc">Variable_Management!$B$257</definedName>
    <definedName name="gfs">Variable_Management!$B$284</definedName>
    <definedName name="gm_ea">Constants!$B$36</definedName>
    <definedName name="Gplant_fc_dB" localSheetId="2">CCM_Loop_Modeling_Isolated!$AD$7</definedName>
    <definedName name="Gplant_fc_dB">CCM_Loop_Modeling_non_isolated!$AD$7</definedName>
    <definedName name="Icomp_sink_max">Constants!$B$38</definedName>
    <definedName name="IIN_33" localSheetId="2">Variable_Management!#REF!</definedName>
    <definedName name="IIN_33">Variable_Management!#REF!</definedName>
    <definedName name="IL_avg_VIN_max">Variable_Management!$B$88</definedName>
    <definedName name="IL_avg_VIN_min">Variable_Management!$B$80</definedName>
    <definedName name="IL_avg_VIN_nom">Variable_Management!$B$84</definedName>
    <definedName name="IL_pk">Variable_Management!$B$113</definedName>
    <definedName name="IL_pk_max">Variable_Management!$B$114</definedName>
    <definedName name="ILp_VINmax">Variable_Management!$B$90</definedName>
    <definedName name="ILp_VINmin">Variable_Management!$B$82</definedName>
    <definedName name="ILp_VINnom">Variable_Management!$B$86</definedName>
    <definedName name="ILrip">Variable_Management!$B$74</definedName>
    <definedName name="ILrip_VINmax">Variable_Management!$B$89</definedName>
    <definedName name="ILrip_VINmin">Variable_Management!$B$81</definedName>
    <definedName name="ILrip_VINnom">Variable_Management!$B$85</definedName>
    <definedName name="IOUT1">Variable_Management!$B$16</definedName>
    <definedName name="IOUT2">Variable_Management!$B$25</definedName>
    <definedName name="IOUT3">Variable_Management!$B$34</definedName>
    <definedName name="Ipk_margin">Variable_Management!$B$93</definedName>
    <definedName name="Ipk_selected">Variable_Management!$B$94</definedName>
    <definedName name="IQ">Constants!$B$56</definedName>
    <definedName name="IRMS_COUT">Variable_Management!$B$129</definedName>
    <definedName name="Isl">Constants!$B$27</definedName>
    <definedName name="Iss">Constants!$B$45</definedName>
    <definedName name="kopto_max">Variable_Management!$B$211</definedName>
    <definedName name="kopto_min">Variable_Management!$B$210</definedName>
    <definedName name="Kslope">Variable_Management!$B$101</definedName>
    <definedName name="Lm">Variable_Management!$B$76</definedName>
    <definedName name="LOOP_ISO">'Plot Management_Loop'!$B$5</definedName>
    <definedName name="LOOP_ISO_1">#REF!</definedName>
    <definedName name="Loop_look_2">#REF!</definedName>
    <definedName name="LOOP_nISO">'Plot Management_Loop'!$B$3</definedName>
    <definedName name="LOOP_nISO_1">#REF!</definedName>
    <definedName name="Loop_Pictures">INDEX(#REF!,MATCH(#REF!,#REF!,0))</definedName>
    <definedName name="LoopLookup">INDEX('Plot Management_Loop'!$B$3:$B$4,MATCH('Plot Management_Loop'!$A$2,'Plot Management_Loop'!$D$3:$D$4,0))</definedName>
    <definedName name="Lopt" localSheetId="2">Variable_Management!#REF!</definedName>
    <definedName name="Lopt">Variable_Management!#REF!</definedName>
    <definedName name="Lopt_2" localSheetId="2">Variable_Management!#REF!</definedName>
    <definedName name="Lopt_2">Variable_Management!#REF!</definedName>
    <definedName name="mc" localSheetId="2">CCM_Loop_Modeling_Isolated!$B$53</definedName>
    <definedName name="mc">CCM_Loop_Modeling_non_isolated!$B$53</definedName>
    <definedName name="Np">Variable_Management!$B$51</definedName>
    <definedName name="NS1_">Variable_Management!$B$54</definedName>
    <definedName name="NS2_">Variable_Management!$B$64</definedName>
    <definedName name="NS3_">Variable_Management!$B$69</definedName>
    <definedName name="POUT_Total">Variable_Management!$B$40</definedName>
    <definedName name="Pout_var" localSheetId="2">CCM_Loop_Modeling_Isolated!$B$17</definedName>
    <definedName name="Pout_var">CCM_Loop_Modeling_non_isolated!$B$17</definedName>
    <definedName name="POUT1">Variable_Management!$B$18</definedName>
    <definedName name="POUT2">Variable_Management!$B$27</definedName>
    <definedName name="POUT3">Variable_Management!$B$36</definedName>
    <definedName name="_xlnm.Print_Area" localSheetId="0">'Design Converter'!$A$1:$AE$123</definedName>
    <definedName name="Q" localSheetId="2">CCM_Loop_Modeling_Isolated!$B$55</definedName>
    <definedName name="Q">CCM_Loop_Modeling_non_isolated!$B$55</definedName>
    <definedName name="Q_VINmin">Variable_Management!$B$195</definedName>
    <definedName name="Qg_tot">Variable_Management!$B$279</definedName>
    <definedName name="Qgd">Variable_Management!$B$280</definedName>
    <definedName name="Qgs">Variable_Management!$B$281</definedName>
    <definedName name="Qrr">Variable_Management!#REF!</definedName>
    <definedName name="QRR1_">Variable_Management!$B$20</definedName>
    <definedName name="QRR2_">Variable_Management!$B$29</definedName>
    <definedName name="QRR3_">Variable_Management!$B$38</definedName>
    <definedName name="R_cs">Variable_Management!$B$109</definedName>
    <definedName name="R_sl">Variable_Management!$B$110</definedName>
    <definedName name="RCOMP">Variable_Management!$B$268</definedName>
    <definedName name="Rcomp_calc">Variable_Management!$B$267</definedName>
    <definedName name="Rcomp_iso">Variable_Management!$B$229</definedName>
    <definedName name="Rcs_max">Variable_Management!$B$98</definedName>
    <definedName name="Rcs_w_sl">Variable_Management!$B$102</definedName>
    <definedName name="Rcs_wo_sl">Variable_Management!$B$99</definedName>
    <definedName name="Rdcr">Variable_Management!$B$77</definedName>
    <definedName name="Rdcr1">Variable_Management!$B$55</definedName>
    <definedName name="Rdcr2">Variable_Management!$B$66</definedName>
    <definedName name="Rdcr3">Variable_Management!$B$71</definedName>
    <definedName name="RDS_on">Variable_Management!$B$278</definedName>
    <definedName name="Resr_total">Variable_Management!$B$151</definedName>
    <definedName name="Resr1">Variable_Management!$B$131</definedName>
    <definedName name="Resr2">Variable_Management!$B$139</definedName>
    <definedName name="Resr2_Trans">Variable_Management!$B$140</definedName>
    <definedName name="Resr3">Variable_Management!$B$147</definedName>
    <definedName name="Resr3_Trans">Variable_Management!$B$148</definedName>
    <definedName name="RFBB">Variable_Management!$B$240</definedName>
    <definedName name="RFBB_calc">Variable_Management!$B$239</definedName>
    <definedName name="RFBB_iso">Variable_Management!$B$207</definedName>
    <definedName name="RFBB_iso_calc">Variable_Management!$B$206</definedName>
    <definedName name="RFBT">Variable_Management!$B$238</definedName>
    <definedName name="RFBT_iso">Variable_Management!$B$205</definedName>
    <definedName name="Rgate">Variable_Management!$B$282</definedName>
    <definedName name="RLED">Variable_Management!$B$220</definedName>
    <definedName name="ROUT1">Variable_Management!$B$17</definedName>
    <definedName name="ROUT2">Variable_Management!$B$26</definedName>
    <definedName name="ROUT3">Variable_Management!$B$35</definedName>
    <definedName name="Rpullup">Variable_Management!$B$217</definedName>
    <definedName name="Rpullup_min">Variable_Management!$B$216</definedName>
    <definedName name="Rsl_int">Constants!$B$28</definedName>
    <definedName name="RT">Variable_Management!$B$11</definedName>
    <definedName name="Ruvlo_bottom_calc">Variable_Management!$B$168</definedName>
    <definedName name="Ruvlo_top">Variable_Management!$B$167</definedName>
    <definedName name="Ruvlo_top_calc">Variable_Management!$B$166</definedName>
    <definedName name="SCH_1">#REF!</definedName>
    <definedName name="sch_ISO_1">'Plot Management_Sch'!$F$6</definedName>
    <definedName name="sch_ISO_2">'Plot Management_Sch'!$D$6</definedName>
    <definedName name="sch_ISO_3">'Plot Management_Sch'!$B$6</definedName>
    <definedName name="sch_nISO_1">'Plot Management_Sch'!$F$4</definedName>
    <definedName name="sch_nISO_2">'Plot Management_Sch'!$D$4</definedName>
    <definedName name="sch_nISO_3">'Plot Management_Sch'!$B$4</definedName>
    <definedName name="Se_VINmin">Variable_Management!$B$191</definedName>
    <definedName name="Sn_VINmin">Variable_Management!$B$192</definedName>
    <definedName name="tf_sw">Variable_Management!$B$291</definedName>
    <definedName name="tr_sw">Variable_Management!$B$290</definedName>
    <definedName name="tss">Variable_Management!$B$157</definedName>
    <definedName name="UV_fall">Constants!$B$49</definedName>
    <definedName name="UV_I_hyst">Constants!$B$50</definedName>
    <definedName name="UV_rise">Constants!$B$48</definedName>
    <definedName name="Vcc">Constants!$B$53</definedName>
    <definedName name="VCE_sat">Variable_Management!$B$214</definedName>
    <definedName name="Vcl">Constants!$B$29</definedName>
    <definedName name="Vcomp_max">Constants!$B$37</definedName>
    <definedName name="VD">Constants!$B$8</definedName>
    <definedName name="Vd_opto">Variable_Management!$B$212</definedName>
    <definedName name="Vd_rect">Variable_Management!#REF!</definedName>
    <definedName name="VD1_">Variable_Management!$B$19</definedName>
    <definedName name="VD2_">Variable_Management!$B$28</definedName>
    <definedName name="VD3_">Variable_Management!$B$37</definedName>
    <definedName name="VIN_33" localSheetId="2">Variable_Management!#REF!</definedName>
    <definedName name="VIN_33">Variable_Management!#REF!</definedName>
    <definedName name="VIN_max">Variable_Management!$B$9</definedName>
    <definedName name="VIN_min">Variable_Management!$B$7</definedName>
    <definedName name="VIN_nom">Variable_Management!$B$8</definedName>
    <definedName name="VIN_op_max">Constants!$B$60</definedName>
    <definedName name="VIN_op_min">Constants!$B$59</definedName>
    <definedName name="VIN_var">Variable_Management!$B$8</definedName>
    <definedName name="VOUT1">Variable_Management!$B$15</definedName>
    <definedName name="Vout1_rip_sel">Variable_Management!$B$126</definedName>
    <definedName name="VOUT2">Variable_Management!$B$24</definedName>
    <definedName name="Vout2_rip_sel">Variable_Management!$B$134</definedName>
    <definedName name="VOUT3">Variable_Management!$B$33</definedName>
    <definedName name="Vout3_rip_sel">Variable_Management!$B$142</definedName>
    <definedName name="Vpullup">Variable_Management!$B$215</definedName>
    <definedName name="Vref">Constants!$B$35</definedName>
    <definedName name="Vref_iso">Variable_Management!$B$204</definedName>
    <definedName name="Vth">Variable_Management!$B$285</definedName>
    <definedName name="Vuvlo_off">Variable_Management!$B$162</definedName>
    <definedName name="Vuvlo_on">Variable_Management!$B$161</definedName>
    <definedName name="wp_lf" localSheetId="2">CCM_Loop_Modeling_Isolated!$B$42</definedName>
    <definedName name="wp_lf">CCM_Loop_Modeling_non_isolated!$B$42</definedName>
    <definedName name="wp_lf_VINmin">Variable_Management!$B$180</definedName>
    <definedName name="wp0_ea">CCM_Loop_Modeling_non_isolated!$B$71</definedName>
    <definedName name="wp1_ea">CCM_Loop_Modeling_non_isolated!$B$72</definedName>
    <definedName name="wpA_ea_iso" localSheetId="2">CCM_Loop_Modeling_Isolated!$B$72</definedName>
    <definedName name="wpB_ea_iso" localSheetId="2">CCM_Loop_Modeling_Isolated!$B$73</definedName>
    <definedName name="wpC_ea_iso">CCM_Loop_Modeling_Isolated!$B$74</definedName>
    <definedName name="wsl" localSheetId="2">CCM_Loop_Modeling_Isolated!$B$54</definedName>
    <definedName name="wsl">CCM_Loop_Modeling_non_isolated!$B$54</definedName>
    <definedName name="wsl_VINmin">Variable_Management!$B$194</definedName>
    <definedName name="wz_ea">CCM_Loop_Modeling_non_isolated!$B$70</definedName>
    <definedName name="wz_esr" localSheetId="2">CCM_Loop_Modeling_Isolated!$B$48</definedName>
    <definedName name="wz_esr">CCM_Loop_Modeling_non_isolated!$B$48</definedName>
    <definedName name="wz_esr_VINmin">Variable_Management!$B$183</definedName>
    <definedName name="wz_rhp" localSheetId="2">CCM_Loop_Modeling_Isolated!$B$45</definedName>
    <definedName name="wz_rhp">CCM_Loop_Modeling_non_isolated!$B$45</definedName>
    <definedName name="wz_RHP_VINmin">Variable_Management!$B$186</definedName>
    <definedName name="wz1_ea_iso">CCM_Loop_Modeling_Isolated!$B$70</definedName>
    <definedName name="wz2_ea_iso" localSheetId="2">CCM_Loop_Modeling_Isolated!$B$71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229" i="2" l="1"/>
  <c r="H230" i="2"/>
  <c r="B134" i="2" l="1"/>
  <c r="A1" i="11" l="1"/>
  <c r="A2" i="9"/>
  <c r="I5" i="9" s="1"/>
  <c r="B2" i="6" l="1"/>
  <c r="B32" i="2" l="1"/>
  <c r="B23" i="2"/>
  <c r="B28" i="2" l="1"/>
  <c r="B20" i="2"/>
  <c r="B19" i="2"/>
  <c r="B55" i="2" l="1"/>
  <c r="B231" i="2" l="1"/>
  <c r="O560" i="10"/>
  <c r="O559" i="10"/>
  <c r="O558" i="10"/>
  <c r="O557" i="10"/>
  <c r="O556" i="10"/>
  <c r="O555" i="10"/>
  <c r="O554" i="10"/>
  <c r="O553" i="10"/>
  <c r="O552" i="10"/>
  <c r="O551" i="10"/>
  <c r="O550" i="10"/>
  <c r="O549" i="10"/>
  <c r="O548" i="10"/>
  <c r="O547" i="10"/>
  <c r="O546" i="10"/>
  <c r="O545" i="10"/>
  <c r="O544" i="10"/>
  <c r="O543" i="10"/>
  <c r="O542" i="10"/>
  <c r="O541" i="10"/>
  <c r="O540" i="10"/>
  <c r="O539" i="10"/>
  <c r="O538" i="10"/>
  <c r="O537" i="10"/>
  <c r="O536" i="10"/>
  <c r="O535" i="10"/>
  <c r="O534" i="10"/>
  <c r="O533" i="10"/>
  <c r="O532" i="10"/>
  <c r="O531" i="10"/>
  <c r="O530" i="10"/>
  <c r="O529" i="10"/>
  <c r="O528" i="10"/>
  <c r="O527" i="10"/>
  <c r="O526" i="10"/>
  <c r="O525" i="10"/>
  <c r="O524" i="10"/>
  <c r="O523" i="10"/>
  <c r="O522" i="10"/>
  <c r="O521" i="10"/>
  <c r="O520" i="10"/>
  <c r="O519" i="10"/>
  <c r="O518" i="10"/>
  <c r="O517" i="10"/>
  <c r="O516" i="10"/>
  <c r="O515" i="10"/>
  <c r="O514" i="10"/>
  <c r="O513" i="10"/>
  <c r="O512" i="10"/>
  <c r="O511" i="10"/>
  <c r="O510" i="10"/>
  <c r="O509" i="10"/>
  <c r="O508" i="10"/>
  <c r="O507" i="10"/>
  <c r="O506" i="10"/>
  <c r="O505" i="10"/>
  <c r="O504" i="10"/>
  <c r="O503" i="10"/>
  <c r="O502" i="10"/>
  <c r="O501" i="10"/>
  <c r="O500" i="10"/>
  <c r="O499" i="10"/>
  <c r="O498" i="10"/>
  <c r="O497" i="10"/>
  <c r="O496" i="10"/>
  <c r="O495" i="10"/>
  <c r="O494" i="10"/>
  <c r="O493" i="10"/>
  <c r="O492" i="10"/>
  <c r="O491" i="10"/>
  <c r="O490" i="10"/>
  <c r="O489" i="10"/>
  <c r="O488" i="10"/>
  <c r="O487" i="10"/>
  <c r="O486" i="10"/>
  <c r="O485" i="10"/>
  <c r="O484" i="10"/>
  <c r="O483" i="10"/>
  <c r="O482" i="10"/>
  <c r="O481" i="10"/>
  <c r="O480" i="10"/>
  <c r="O479" i="10"/>
  <c r="O478" i="10"/>
  <c r="O477" i="10"/>
  <c r="O476" i="10"/>
  <c r="O475" i="10"/>
  <c r="O474" i="10"/>
  <c r="O473" i="10"/>
  <c r="O472" i="10"/>
  <c r="O471" i="10"/>
  <c r="O470" i="10"/>
  <c r="O469" i="10"/>
  <c r="O468" i="10"/>
  <c r="O467" i="10"/>
  <c r="O466" i="10"/>
  <c r="O465" i="10"/>
  <c r="O464" i="10"/>
  <c r="O463" i="10"/>
  <c r="O462" i="10"/>
  <c r="O461" i="10"/>
  <c r="O460" i="10"/>
  <c r="O459" i="10"/>
  <c r="O458" i="10"/>
  <c r="O457" i="10"/>
  <c r="O456" i="10"/>
  <c r="O455" i="10"/>
  <c r="O454" i="10"/>
  <c r="O453" i="10"/>
  <c r="O452" i="10"/>
  <c r="O451" i="10"/>
  <c r="O450" i="10"/>
  <c r="O449" i="10"/>
  <c r="O448" i="10"/>
  <c r="O447" i="10"/>
  <c r="O446" i="10"/>
  <c r="O445" i="10"/>
  <c r="O444" i="10"/>
  <c r="O443" i="10"/>
  <c r="O442" i="10"/>
  <c r="O441" i="10"/>
  <c r="O440" i="10"/>
  <c r="O439" i="10"/>
  <c r="O438" i="10"/>
  <c r="O437" i="10"/>
  <c r="O436" i="10"/>
  <c r="O435" i="10"/>
  <c r="O434" i="10"/>
  <c r="O433" i="10"/>
  <c r="O432" i="10"/>
  <c r="O431" i="10"/>
  <c r="O430" i="10"/>
  <c r="O429" i="10"/>
  <c r="O428" i="10"/>
  <c r="O427" i="10"/>
  <c r="O426" i="10"/>
  <c r="O425" i="10"/>
  <c r="O424" i="10"/>
  <c r="O423" i="10"/>
  <c r="O422" i="10"/>
  <c r="O421" i="10"/>
  <c r="O420" i="10"/>
  <c r="O419" i="10"/>
  <c r="O418" i="10"/>
  <c r="O417" i="10"/>
  <c r="O416" i="10"/>
  <c r="O415" i="10"/>
  <c r="O414" i="10"/>
  <c r="O413" i="10"/>
  <c r="O412" i="10"/>
  <c r="O411" i="10"/>
  <c r="O410" i="10"/>
  <c r="O409" i="10"/>
  <c r="O408" i="10"/>
  <c r="O407" i="10"/>
  <c r="O406" i="10"/>
  <c r="O405" i="10"/>
  <c r="O404" i="10"/>
  <c r="O403" i="10"/>
  <c r="O402" i="10"/>
  <c r="O401" i="10"/>
  <c r="O400" i="10"/>
  <c r="O399" i="10"/>
  <c r="O398" i="10"/>
  <c r="O397" i="10"/>
  <c r="O396" i="10"/>
  <c r="O395" i="10"/>
  <c r="O394" i="10"/>
  <c r="O393" i="10"/>
  <c r="O392" i="10"/>
  <c r="O391" i="10"/>
  <c r="O390" i="10"/>
  <c r="O389" i="10"/>
  <c r="O388" i="10"/>
  <c r="O387" i="10"/>
  <c r="O386" i="10"/>
  <c r="O385" i="10"/>
  <c r="O384" i="10"/>
  <c r="O383" i="10"/>
  <c r="O382" i="10"/>
  <c r="O381" i="10"/>
  <c r="O380" i="10"/>
  <c r="O379" i="10"/>
  <c r="O378" i="10"/>
  <c r="O377" i="10"/>
  <c r="O376" i="10"/>
  <c r="O375" i="10"/>
  <c r="O374" i="10"/>
  <c r="O373" i="10"/>
  <c r="O372" i="10"/>
  <c r="O371" i="10"/>
  <c r="O370" i="10"/>
  <c r="O369" i="10"/>
  <c r="O368" i="10"/>
  <c r="O367" i="10"/>
  <c r="O366" i="10"/>
  <c r="O365" i="10"/>
  <c r="O364" i="10"/>
  <c r="O363" i="10"/>
  <c r="O362" i="10"/>
  <c r="O361" i="10"/>
  <c r="O360" i="10"/>
  <c r="O359" i="10"/>
  <c r="O358" i="10"/>
  <c r="O357" i="10"/>
  <c r="O356" i="10"/>
  <c r="O355" i="10"/>
  <c r="O354" i="10"/>
  <c r="O353" i="10"/>
  <c r="O352" i="10"/>
  <c r="O351" i="10"/>
  <c r="O350" i="10"/>
  <c r="O349" i="10"/>
  <c r="O348" i="10"/>
  <c r="O347" i="10"/>
  <c r="O346" i="10"/>
  <c r="O345" i="10"/>
  <c r="O344" i="10"/>
  <c r="O343" i="10"/>
  <c r="O342" i="10"/>
  <c r="O341" i="10"/>
  <c r="O340" i="10"/>
  <c r="O339" i="10"/>
  <c r="O338" i="10"/>
  <c r="O337" i="10"/>
  <c r="O336" i="10"/>
  <c r="O335" i="10"/>
  <c r="O334" i="10"/>
  <c r="O333" i="10"/>
  <c r="O332" i="10"/>
  <c r="O331" i="10"/>
  <c r="O330" i="10"/>
  <c r="O329" i="10"/>
  <c r="O328" i="10"/>
  <c r="O327" i="10"/>
  <c r="O326" i="10"/>
  <c r="O325" i="10"/>
  <c r="O324" i="10"/>
  <c r="O323" i="10"/>
  <c r="O322" i="10"/>
  <c r="O321" i="10"/>
  <c r="O320" i="10"/>
  <c r="O319" i="10"/>
  <c r="O318" i="10"/>
  <c r="O317" i="10"/>
  <c r="O316" i="10"/>
  <c r="O315" i="10"/>
  <c r="O314" i="10"/>
  <c r="O313" i="10"/>
  <c r="O312" i="10"/>
  <c r="O311" i="10"/>
  <c r="O310" i="10"/>
  <c r="O309" i="10"/>
  <c r="O308" i="10"/>
  <c r="O307" i="10"/>
  <c r="O306" i="10"/>
  <c r="O305" i="10"/>
  <c r="O304" i="10"/>
  <c r="O303" i="10"/>
  <c r="O302" i="10"/>
  <c r="O301" i="10"/>
  <c r="O300" i="10"/>
  <c r="O299" i="10"/>
  <c r="O298" i="10"/>
  <c r="O297" i="10"/>
  <c r="O296" i="10"/>
  <c r="O295" i="10"/>
  <c r="O294" i="10"/>
  <c r="O293" i="10"/>
  <c r="O292" i="10"/>
  <c r="O291" i="10"/>
  <c r="O290" i="10"/>
  <c r="O289" i="10"/>
  <c r="O288" i="10"/>
  <c r="O287" i="10"/>
  <c r="O286" i="10"/>
  <c r="O285" i="10"/>
  <c r="O284" i="10"/>
  <c r="O283" i="10"/>
  <c r="O282" i="10"/>
  <c r="O281" i="10"/>
  <c r="O280" i="10"/>
  <c r="O279" i="10"/>
  <c r="O278" i="10"/>
  <c r="O277" i="10"/>
  <c r="O276" i="10"/>
  <c r="O275" i="10"/>
  <c r="O274" i="10"/>
  <c r="O273" i="10"/>
  <c r="O272" i="10"/>
  <c r="O271" i="10"/>
  <c r="O270" i="10"/>
  <c r="O269" i="10"/>
  <c r="O268" i="10"/>
  <c r="O267" i="10"/>
  <c r="O266" i="10"/>
  <c r="O265" i="10"/>
  <c r="O264" i="10"/>
  <c r="O263" i="10"/>
  <c r="O262" i="10"/>
  <c r="O261" i="10"/>
  <c r="O260" i="10"/>
  <c r="O259" i="10"/>
  <c r="O258" i="10"/>
  <c r="O257" i="10"/>
  <c r="O256" i="10"/>
  <c r="O255" i="10"/>
  <c r="O254" i="10"/>
  <c r="O253" i="10"/>
  <c r="O252" i="10"/>
  <c r="O251" i="10"/>
  <c r="O250" i="10"/>
  <c r="O249" i="10"/>
  <c r="O248" i="10"/>
  <c r="O247" i="10"/>
  <c r="O246" i="10"/>
  <c r="O245" i="10"/>
  <c r="O244" i="10"/>
  <c r="O243" i="10"/>
  <c r="O242" i="10"/>
  <c r="O241" i="10"/>
  <c r="O240" i="10"/>
  <c r="O239" i="10"/>
  <c r="O238" i="10"/>
  <c r="O237" i="10"/>
  <c r="O236" i="10"/>
  <c r="O235" i="10"/>
  <c r="O234" i="10"/>
  <c r="O233" i="10"/>
  <c r="O232" i="10"/>
  <c r="O231" i="10"/>
  <c r="O230" i="10"/>
  <c r="O229" i="10"/>
  <c r="O228" i="10"/>
  <c r="O227" i="10"/>
  <c r="O226" i="10"/>
  <c r="O225" i="10"/>
  <c r="O224" i="10"/>
  <c r="O223" i="10"/>
  <c r="O222" i="10"/>
  <c r="O221" i="10"/>
  <c r="O220" i="10"/>
  <c r="O219" i="10"/>
  <c r="O218" i="10"/>
  <c r="O217" i="10"/>
  <c r="O216" i="10"/>
  <c r="O215" i="10"/>
  <c r="O214" i="10"/>
  <c r="O213" i="10"/>
  <c r="O212" i="10"/>
  <c r="O211" i="10"/>
  <c r="O210" i="10"/>
  <c r="O209" i="10"/>
  <c r="O208" i="10"/>
  <c r="O207" i="10"/>
  <c r="O206" i="10"/>
  <c r="O205" i="10"/>
  <c r="O204" i="10"/>
  <c r="O203" i="10"/>
  <c r="O202" i="10"/>
  <c r="O201" i="10"/>
  <c r="O200" i="10"/>
  <c r="O199" i="10"/>
  <c r="O198" i="10"/>
  <c r="O197" i="10"/>
  <c r="O196" i="10"/>
  <c r="O195" i="10"/>
  <c r="O194" i="10"/>
  <c r="O193" i="10"/>
  <c r="O192" i="10"/>
  <c r="O191" i="10"/>
  <c r="O190" i="10"/>
  <c r="O189" i="10"/>
  <c r="O188" i="10"/>
  <c r="O187" i="10"/>
  <c r="O186" i="10"/>
  <c r="O185" i="10"/>
  <c r="O184" i="10"/>
  <c r="O183" i="10"/>
  <c r="O182" i="10"/>
  <c r="O181" i="10"/>
  <c r="O180" i="10"/>
  <c r="O179" i="10"/>
  <c r="O178" i="10"/>
  <c r="O177" i="10"/>
  <c r="O176" i="10"/>
  <c r="O175" i="10"/>
  <c r="O174" i="10"/>
  <c r="O173" i="10"/>
  <c r="O172" i="10"/>
  <c r="O171" i="10"/>
  <c r="O170" i="10"/>
  <c r="O169" i="10"/>
  <c r="O168" i="10"/>
  <c r="O167" i="10"/>
  <c r="O166" i="10"/>
  <c r="O165" i="10"/>
  <c r="O164" i="10"/>
  <c r="O163" i="10"/>
  <c r="O162" i="10"/>
  <c r="O161" i="10"/>
  <c r="O160" i="10"/>
  <c r="O159" i="10"/>
  <c r="O158" i="10"/>
  <c r="O157" i="10"/>
  <c r="O156" i="10"/>
  <c r="O155" i="10"/>
  <c r="O154" i="10"/>
  <c r="O153" i="10"/>
  <c r="O152" i="10"/>
  <c r="O151" i="10"/>
  <c r="O150" i="10"/>
  <c r="O149" i="10"/>
  <c r="O148" i="10"/>
  <c r="O147" i="10"/>
  <c r="O146" i="10"/>
  <c r="O145" i="10"/>
  <c r="O144" i="10"/>
  <c r="O143" i="10"/>
  <c r="O142" i="10"/>
  <c r="O141" i="10"/>
  <c r="O140" i="10"/>
  <c r="O139" i="10"/>
  <c r="O138" i="10"/>
  <c r="O137" i="10"/>
  <c r="O136" i="10"/>
  <c r="O135" i="10"/>
  <c r="O134" i="10"/>
  <c r="O133" i="10"/>
  <c r="O132" i="10"/>
  <c r="O131" i="10"/>
  <c r="O130" i="10"/>
  <c r="O129" i="10"/>
  <c r="O128" i="10"/>
  <c r="O127" i="10"/>
  <c r="O126" i="10"/>
  <c r="O125" i="10"/>
  <c r="O124" i="10"/>
  <c r="O123" i="10"/>
  <c r="O122" i="10"/>
  <c r="O121" i="10"/>
  <c r="O120" i="10"/>
  <c r="O119" i="10"/>
  <c r="O118" i="10"/>
  <c r="O117" i="10"/>
  <c r="O116" i="10"/>
  <c r="O115" i="10"/>
  <c r="O114" i="10"/>
  <c r="O113" i="10"/>
  <c r="O112" i="10"/>
  <c r="O111" i="10"/>
  <c r="O110" i="10"/>
  <c r="O109" i="10"/>
  <c r="O108" i="10"/>
  <c r="O107" i="10"/>
  <c r="O106" i="10"/>
  <c r="O105" i="10"/>
  <c r="O104" i="10"/>
  <c r="O103" i="10"/>
  <c r="O102" i="10"/>
  <c r="O101" i="10"/>
  <c r="O100" i="10"/>
  <c r="O99" i="10"/>
  <c r="O98" i="10"/>
  <c r="O97" i="10"/>
  <c r="O96" i="10"/>
  <c r="O95" i="10"/>
  <c r="O94" i="10"/>
  <c r="O93" i="10"/>
  <c r="O92" i="10"/>
  <c r="O91" i="10"/>
  <c r="O90" i="10"/>
  <c r="O89" i="10"/>
  <c r="O88" i="10"/>
  <c r="O87" i="10"/>
  <c r="O86" i="10"/>
  <c r="O85" i="10"/>
  <c r="O84" i="10"/>
  <c r="O83" i="10"/>
  <c r="O82" i="10"/>
  <c r="O81" i="10"/>
  <c r="O80" i="10"/>
  <c r="O79" i="10"/>
  <c r="O78" i="10"/>
  <c r="O77" i="10"/>
  <c r="O76" i="10"/>
  <c r="O75" i="10"/>
  <c r="O74" i="10"/>
  <c r="O73" i="10"/>
  <c r="O72" i="10"/>
  <c r="O71" i="10"/>
  <c r="O70" i="10"/>
  <c r="O69" i="10"/>
  <c r="O68" i="10"/>
  <c r="O67" i="10"/>
  <c r="O66" i="10"/>
  <c r="O65" i="10"/>
  <c r="O64" i="10"/>
  <c r="O63" i="10"/>
  <c r="O62" i="10"/>
  <c r="O61" i="10"/>
  <c r="O60" i="10"/>
  <c r="O59" i="10"/>
  <c r="O58" i="10"/>
  <c r="O57" i="10"/>
  <c r="O56" i="10"/>
  <c r="O55" i="10"/>
  <c r="O54" i="10"/>
  <c r="O53" i="10"/>
  <c r="O52" i="10"/>
  <c r="O51" i="10"/>
  <c r="O50" i="10"/>
  <c r="O49" i="10"/>
  <c r="O48" i="10"/>
  <c r="O47" i="10"/>
  <c r="O46" i="10"/>
  <c r="O45" i="10"/>
  <c r="O44" i="10"/>
  <c r="O43" i="10"/>
  <c r="O42" i="10"/>
  <c r="O41" i="10"/>
  <c r="O40" i="10"/>
  <c r="O39" i="10"/>
  <c r="O38" i="10"/>
  <c r="O37" i="10"/>
  <c r="O36" i="10"/>
  <c r="B36" i="10"/>
  <c r="O35" i="10"/>
  <c r="O34" i="10"/>
  <c r="O33" i="10"/>
  <c r="B33" i="10"/>
  <c r="O32" i="10"/>
  <c r="O31" i="10"/>
  <c r="O30" i="10"/>
  <c r="O29" i="10"/>
  <c r="O28" i="10"/>
  <c r="O27" i="10"/>
  <c r="O26" i="10"/>
  <c r="O25" i="10"/>
  <c r="O24" i="10"/>
  <c r="O23" i="10"/>
  <c r="O22" i="10"/>
  <c r="O21" i="10"/>
  <c r="O20" i="10"/>
  <c r="O19" i="10"/>
  <c r="AG19" i="10" s="1"/>
  <c r="B229" i="2"/>
  <c r="G222" i="2"/>
  <c r="F222" i="2"/>
  <c r="B220" i="2"/>
  <c r="B214" i="2"/>
  <c r="B226" i="2"/>
  <c r="B217" i="2"/>
  <c r="B215" i="2"/>
  <c r="B213" i="2"/>
  <c r="I72" i="10" s="1"/>
  <c r="B38" i="3"/>
  <c r="B212" i="2"/>
  <c r="B211" i="2"/>
  <c r="B210" i="2"/>
  <c r="B207" i="2"/>
  <c r="B64" i="10" s="1"/>
  <c r="B205" i="2"/>
  <c r="B63" i="10" s="1"/>
  <c r="B204" i="2"/>
  <c r="B216" i="2" l="1"/>
  <c r="H76" i="1" s="1"/>
  <c r="E232" i="2"/>
  <c r="K222" i="2"/>
  <c r="B69" i="10"/>
  <c r="AF8" i="10" s="1"/>
  <c r="B65" i="10"/>
  <c r="B71" i="10"/>
  <c r="AP19" i="10" s="1"/>
  <c r="B66" i="10"/>
  <c r="B73" i="10"/>
  <c r="B70" i="10"/>
  <c r="AM19" i="10" s="1"/>
  <c r="B72" i="10"/>
  <c r="AG31" i="10"/>
  <c r="AG33" i="10"/>
  <c r="AG39" i="10"/>
  <c r="AG47" i="10"/>
  <c r="AG57" i="10"/>
  <c r="AG69" i="10"/>
  <c r="AG81" i="10"/>
  <c r="AG89" i="10"/>
  <c r="AG97" i="10"/>
  <c r="AG105" i="10"/>
  <c r="AG113" i="10"/>
  <c r="AG121" i="10"/>
  <c r="AG129" i="10"/>
  <c r="AG137" i="10"/>
  <c r="AG145" i="10"/>
  <c r="AG153" i="10"/>
  <c r="AG161" i="10"/>
  <c r="AG165" i="10"/>
  <c r="AG173" i="10"/>
  <c r="AG181" i="10"/>
  <c r="AG189" i="10"/>
  <c r="AG197" i="10"/>
  <c r="AG205" i="10"/>
  <c r="AG213" i="10"/>
  <c r="AG221" i="10"/>
  <c r="AG229" i="10"/>
  <c r="AG237" i="10"/>
  <c r="AG245" i="10"/>
  <c r="AG253" i="10"/>
  <c r="AG261" i="10"/>
  <c r="AG269" i="10"/>
  <c r="AG277" i="10"/>
  <c r="AG285" i="10"/>
  <c r="AG289" i="10"/>
  <c r="AG297" i="10"/>
  <c r="AG305" i="10"/>
  <c r="AG313" i="10"/>
  <c r="AG321" i="10"/>
  <c r="AG329" i="10"/>
  <c r="AG337" i="10"/>
  <c r="AG349" i="10"/>
  <c r="AG353" i="10"/>
  <c r="AG361" i="10"/>
  <c r="AG369" i="10"/>
  <c r="AG377" i="10"/>
  <c r="AG385" i="10"/>
  <c r="AG397" i="10"/>
  <c r="AG405" i="10"/>
  <c r="AG413" i="10"/>
  <c r="AG421" i="10"/>
  <c r="AG429" i="10"/>
  <c r="AG437" i="10"/>
  <c r="AG445" i="10"/>
  <c r="AG453" i="10"/>
  <c r="AG461" i="10"/>
  <c r="AG469" i="10"/>
  <c r="AG477" i="10"/>
  <c r="AG485" i="10"/>
  <c r="AG493" i="10"/>
  <c r="AG497" i="10"/>
  <c r="AG505" i="10"/>
  <c r="AG517" i="10"/>
  <c r="AG525" i="10"/>
  <c r="AG533" i="10"/>
  <c r="AG537" i="10"/>
  <c r="AG545" i="10"/>
  <c r="AG553" i="10"/>
  <c r="AG20" i="10"/>
  <c r="AG26" i="10"/>
  <c r="AG36" i="10"/>
  <c r="AG48" i="10"/>
  <c r="AG58" i="10"/>
  <c r="AG66" i="10"/>
  <c r="AG78" i="10"/>
  <c r="AG86" i="10"/>
  <c r="AG94" i="10"/>
  <c r="AG102" i="10"/>
  <c r="AG110" i="10"/>
  <c r="AG118" i="10"/>
  <c r="AG126" i="10"/>
  <c r="AG138" i="10"/>
  <c r="AG146" i="10"/>
  <c r="AG154" i="10"/>
  <c r="AG162" i="10"/>
  <c r="AG170" i="10"/>
  <c r="AG178" i="10"/>
  <c r="AG186" i="10"/>
  <c r="AG194" i="10"/>
  <c r="AG202" i="10"/>
  <c r="AG206" i="10"/>
  <c r="AG214" i="10"/>
  <c r="AG222" i="10"/>
  <c r="AG230" i="10"/>
  <c r="AG238" i="10"/>
  <c r="AG246" i="10"/>
  <c r="AG254" i="10"/>
  <c r="AG262" i="10"/>
  <c r="AG270" i="10"/>
  <c r="AG282" i="10"/>
  <c r="AG290" i="10"/>
  <c r="AG298" i="10"/>
  <c r="AG306" i="10"/>
  <c r="AG314" i="10"/>
  <c r="AG322" i="10"/>
  <c r="AG330" i="10"/>
  <c r="AG338" i="10"/>
  <c r="AG346" i="10"/>
  <c r="AG354" i="10"/>
  <c r="AG362" i="10"/>
  <c r="AG370" i="10"/>
  <c r="AG378" i="10"/>
  <c r="AG386" i="10"/>
  <c r="AG394" i="10"/>
  <c r="AG402" i="10"/>
  <c r="AG410" i="10"/>
  <c r="AG414" i="10"/>
  <c r="AG422" i="10"/>
  <c r="AG434" i="10"/>
  <c r="AG442" i="10"/>
  <c r="AG450" i="10"/>
  <c r="AG454" i="10"/>
  <c r="AG458" i="10"/>
  <c r="AG466" i="10"/>
  <c r="AG470" i="10"/>
  <c r="AG474" i="10"/>
  <c r="AG478" i="10"/>
  <c r="AG482" i="10"/>
  <c r="AG486" i="10"/>
  <c r="AG490" i="10"/>
  <c r="AG494" i="10"/>
  <c r="AG498" i="10"/>
  <c r="AG502" i="10"/>
  <c r="AG506" i="10"/>
  <c r="AG510" i="10"/>
  <c r="AG514" i="10"/>
  <c r="AG518" i="10"/>
  <c r="AG522" i="10"/>
  <c r="AG526" i="10"/>
  <c r="AG530" i="10"/>
  <c r="AG538" i="10"/>
  <c r="AG542" i="10"/>
  <c r="AG546" i="10"/>
  <c r="AG550" i="10"/>
  <c r="AG554" i="10"/>
  <c r="AG558" i="10"/>
  <c r="AG21" i="10"/>
  <c r="AG27" i="10"/>
  <c r="AG30" i="10"/>
  <c r="AG32" i="10"/>
  <c r="AG34" i="10"/>
  <c r="AG37" i="10"/>
  <c r="AG41" i="10"/>
  <c r="AG45" i="10"/>
  <c r="AG49" i="10"/>
  <c r="AG52" i="10"/>
  <c r="AG55" i="10"/>
  <c r="AG59" i="10"/>
  <c r="AG63" i="10"/>
  <c r="AG67" i="10"/>
  <c r="AG71" i="10"/>
  <c r="AG75" i="10"/>
  <c r="AG79" i="10"/>
  <c r="AG83" i="10"/>
  <c r="AG87" i="10"/>
  <c r="AG91" i="10"/>
  <c r="AG95" i="10"/>
  <c r="AG99" i="10"/>
  <c r="AG103" i="10"/>
  <c r="AG107" i="10"/>
  <c r="AG111" i="10"/>
  <c r="AG115" i="10"/>
  <c r="AG119" i="10"/>
  <c r="AG123" i="10"/>
  <c r="AG127" i="10"/>
  <c r="AG131" i="10"/>
  <c r="AG135" i="10"/>
  <c r="AG139" i="10"/>
  <c r="AG143" i="10"/>
  <c r="AG147" i="10"/>
  <c r="AG151" i="10"/>
  <c r="AG155" i="10"/>
  <c r="AG159" i="10"/>
  <c r="AG163" i="10"/>
  <c r="AG167" i="10"/>
  <c r="AG171" i="10"/>
  <c r="AG175" i="10"/>
  <c r="AG179" i="10"/>
  <c r="AG183" i="10"/>
  <c r="AG187" i="10"/>
  <c r="AG191" i="10"/>
  <c r="AG195" i="10"/>
  <c r="AG199" i="10"/>
  <c r="AG203" i="10"/>
  <c r="AG207" i="10"/>
  <c r="AG211" i="10"/>
  <c r="AG215" i="10"/>
  <c r="AG219" i="10"/>
  <c r="AG223" i="10"/>
  <c r="AG227" i="10"/>
  <c r="AG231" i="10"/>
  <c r="AG235" i="10"/>
  <c r="AG239" i="10"/>
  <c r="AG243" i="10"/>
  <c r="AG247" i="10"/>
  <c r="AG251" i="10"/>
  <c r="AG255" i="10"/>
  <c r="AG259" i="10"/>
  <c r="AG263" i="10"/>
  <c r="AG267" i="10"/>
  <c r="AG271" i="10"/>
  <c r="AG275" i="10"/>
  <c r="AG279" i="10"/>
  <c r="AG283" i="10"/>
  <c r="AG287" i="10"/>
  <c r="AG291" i="10"/>
  <c r="AG295" i="10"/>
  <c r="AG299" i="10"/>
  <c r="AG303" i="10"/>
  <c r="AG307" i="10"/>
  <c r="AG311" i="10"/>
  <c r="AG315" i="10"/>
  <c r="AG319" i="10"/>
  <c r="AG323" i="10"/>
  <c r="AG327" i="10"/>
  <c r="AG331" i="10"/>
  <c r="AG335" i="10"/>
  <c r="AG339" i="10"/>
  <c r="AG343" i="10"/>
  <c r="AG347" i="10"/>
  <c r="AG351" i="10"/>
  <c r="AG355" i="10"/>
  <c r="AG359" i="10"/>
  <c r="AG363" i="10"/>
  <c r="AG367" i="10"/>
  <c r="AG371" i="10"/>
  <c r="AG375" i="10"/>
  <c r="AG379" i="10"/>
  <c r="AG383" i="10"/>
  <c r="AG387" i="10"/>
  <c r="AG391" i="10"/>
  <c r="AG395" i="10"/>
  <c r="AG399" i="10"/>
  <c r="AG403" i="10"/>
  <c r="AG407" i="10"/>
  <c r="AG411" i="10"/>
  <c r="AG415" i="10"/>
  <c r="AG419" i="10"/>
  <c r="AG423" i="10"/>
  <c r="AG427" i="10"/>
  <c r="AG431" i="10"/>
  <c r="AG435" i="10"/>
  <c r="AG439" i="10"/>
  <c r="AG443" i="10"/>
  <c r="AG447" i="10"/>
  <c r="AG451" i="10"/>
  <c r="AG455" i="10"/>
  <c r="AG459" i="10"/>
  <c r="AG463" i="10"/>
  <c r="AG467" i="10"/>
  <c r="AG471" i="10"/>
  <c r="AG475" i="10"/>
  <c r="AG479" i="10"/>
  <c r="AG483" i="10"/>
  <c r="AG487" i="10"/>
  <c r="AG491" i="10"/>
  <c r="AG495" i="10"/>
  <c r="AG499" i="10"/>
  <c r="AG503" i="10"/>
  <c r="AG507" i="10"/>
  <c r="AG511" i="10"/>
  <c r="AG515" i="10"/>
  <c r="AG519" i="10"/>
  <c r="AG523" i="10"/>
  <c r="AG527" i="10"/>
  <c r="AG531" i="10"/>
  <c r="AG535" i="10"/>
  <c r="AG539" i="10"/>
  <c r="AG543" i="10"/>
  <c r="AG547" i="10"/>
  <c r="AG551" i="10"/>
  <c r="AG555" i="10"/>
  <c r="AG559" i="10"/>
  <c r="AG23" i="10"/>
  <c r="AG43" i="10"/>
  <c r="AG61" i="10"/>
  <c r="AG65" i="10"/>
  <c r="AG73" i="10"/>
  <c r="AG77" i="10"/>
  <c r="AG85" i="10"/>
  <c r="AG93" i="10"/>
  <c r="AG101" i="10"/>
  <c r="AG109" i="10"/>
  <c r="AG117" i="10"/>
  <c r="AG125" i="10"/>
  <c r="AG133" i="10"/>
  <c r="AG141" i="10"/>
  <c r="AG149" i="10"/>
  <c r="AG157" i="10"/>
  <c r="AG169" i="10"/>
  <c r="AG177" i="10"/>
  <c r="AG185" i="10"/>
  <c r="AG193" i="10"/>
  <c r="AG201" i="10"/>
  <c r="AG209" i="10"/>
  <c r="AG217" i="10"/>
  <c r="AG225" i="10"/>
  <c r="AG233" i="10"/>
  <c r="AG241" i="10"/>
  <c r="AG249" i="10"/>
  <c r="AG257" i="10"/>
  <c r="AG265" i="10"/>
  <c r="AG273" i="10"/>
  <c r="AG281" i="10"/>
  <c r="AG293" i="10"/>
  <c r="AG301" i="10"/>
  <c r="AG309" i="10"/>
  <c r="AG317" i="10"/>
  <c r="AG325" i="10"/>
  <c r="AG333" i="10"/>
  <c r="AG341" i="10"/>
  <c r="AG345" i="10"/>
  <c r="AG357" i="10"/>
  <c r="AG365" i="10"/>
  <c r="AG373" i="10"/>
  <c r="AG381" i="10"/>
  <c r="AG389" i="10"/>
  <c r="AG393" i="10"/>
  <c r="AG401" i="10"/>
  <c r="AG409" i="10"/>
  <c r="AG417" i="10"/>
  <c r="AG425" i="10"/>
  <c r="AG433" i="10"/>
  <c r="AG441" i="10"/>
  <c r="AG449" i="10"/>
  <c r="AG457" i="10"/>
  <c r="AG465" i="10"/>
  <c r="AG473" i="10"/>
  <c r="AG481" i="10"/>
  <c r="AG489" i="10"/>
  <c r="AG501" i="10"/>
  <c r="AG509" i="10"/>
  <c r="AG513" i="10"/>
  <c r="AG521" i="10"/>
  <c r="AG529" i="10"/>
  <c r="AG541" i="10"/>
  <c r="AG549" i="10"/>
  <c r="AG557" i="10"/>
  <c r="AG24" i="10"/>
  <c r="AG29" i="10"/>
  <c r="AG40" i="10"/>
  <c r="AG44" i="10"/>
  <c r="AG51" i="10"/>
  <c r="AG54" i="10"/>
  <c r="AG62" i="10"/>
  <c r="AG70" i="10"/>
  <c r="AG74" i="10"/>
  <c r="AG82" i="10"/>
  <c r="AG90" i="10"/>
  <c r="AG98" i="10"/>
  <c r="AG106" i="10"/>
  <c r="AG114" i="10"/>
  <c r="AG122" i="10"/>
  <c r="AG130" i="10"/>
  <c r="AG134" i="10"/>
  <c r="AG142" i="10"/>
  <c r="AG150" i="10"/>
  <c r="AG158" i="10"/>
  <c r="AG166" i="10"/>
  <c r="AG174" i="10"/>
  <c r="AG182" i="10"/>
  <c r="AG190" i="10"/>
  <c r="AG198" i="10"/>
  <c r="AG210" i="10"/>
  <c r="AG218" i="10"/>
  <c r="AG226" i="10"/>
  <c r="AG234" i="10"/>
  <c r="AG242" i="10"/>
  <c r="AG250" i="10"/>
  <c r="AG258" i="10"/>
  <c r="AG266" i="10"/>
  <c r="AG274" i="10"/>
  <c r="AG278" i="10"/>
  <c r="AG286" i="10"/>
  <c r="AG294" i="10"/>
  <c r="AG302" i="10"/>
  <c r="AG310" i="10"/>
  <c r="AG318" i="10"/>
  <c r="AG326" i="10"/>
  <c r="AG334" i="10"/>
  <c r="AG342" i="10"/>
  <c r="AG350" i="10"/>
  <c r="AG358" i="10"/>
  <c r="AG366" i="10"/>
  <c r="AG374" i="10"/>
  <c r="AG382" i="10"/>
  <c r="AG390" i="10"/>
  <c r="AG398" i="10"/>
  <c r="AG406" i="10"/>
  <c r="AG418" i="10"/>
  <c r="AG426" i="10"/>
  <c r="AG430" i="10"/>
  <c r="AG438" i="10"/>
  <c r="AG446" i="10"/>
  <c r="AG462" i="10"/>
  <c r="AG534" i="10"/>
  <c r="AG22" i="10"/>
  <c r="AG25" i="10"/>
  <c r="AG28" i="10"/>
  <c r="AG35" i="10"/>
  <c r="AG38" i="10"/>
  <c r="AG42" i="10"/>
  <c r="AG46" i="10"/>
  <c r="AG50" i="10"/>
  <c r="AG53" i="10"/>
  <c r="AG56" i="10"/>
  <c r="AG60" i="10"/>
  <c r="AG64" i="10"/>
  <c r="AG68" i="10"/>
  <c r="AG72" i="10"/>
  <c r="AG76" i="10"/>
  <c r="AG80" i="10"/>
  <c r="AG84" i="10"/>
  <c r="AG88" i="10"/>
  <c r="AG92" i="10"/>
  <c r="AG96" i="10"/>
  <c r="AG100" i="10"/>
  <c r="AG104" i="10"/>
  <c r="AG108" i="10"/>
  <c r="AG112" i="10"/>
  <c r="AG116" i="10"/>
  <c r="AG120" i="10"/>
  <c r="AG124" i="10"/>
  <c r="AG128" i="10"/>
  <c r="AG132" i="10"/>
  <c r="AG136" i="10"/>
  <c r="AG140" i="10"/>
  <c r="AG144" i="10"/>
  <c r="AG148" i="10"/>
  <c r="AG152" i="10"/>
  <c r="AG156" i="10"/>
  <c r="AG160" i="10"/>
  <c r="AG164" i="10"/>
  <c r="AG168" i="10"/>
  <c r="AG172" i="10"/>
  <c r="AG176" i="10"/>
  <c r="AG180" i="10"/>
  <c r="AG184" i="10"/>
  <c r="AG188" i="10"/>
  <c r="AG192" i="10"/>
  <c r="AG196" i="10"/>
  <c r="AG200" i="10"/>
  <c r="AG204" i="10"/>
  <c r="AG208" i="10"/>
  <c r="AG212" i="10"/>
  <c r="AG216" i="10"/>
  <c r="AG220" i="10"/>
  <c r="AG224" i="10"/>
  <c r="AG228" i="10"/>
  <c r="AG232" i="10"/>
  <c r="AG236" i="10"/>
  <c r="AG240" i="10"/>
  <c r="AG244" i="10"/>
  <c r="AG248" i="10"/>
  <c r="AG252" i="10"/>
  <c r="AG256" i="10"/>
  <c r="AG260" i="10"/>
  <c r="AG264" i="10"/>
  <c r="AG268" i="10"/>
  <c r="AG272" i="10"/>
  <c r="AG276" i="10"/>
  <c r="AG280" i="10"/>
  <c r="AG284" i="10"/>
  <c r="AG288" i="10"/>
  <c r="AG292" i="10"/>
  <c r="AG296" i="10"/>
  <c r="AG300" i="10"/>
  <c r="AG304" i="10"/>
  <c r="AG308" i="10"/>
  <c r="AG312" i="10"/>
  <c r="AG316" i="10"/>
  <c r="AG320" i="10"/>
  <c r="AG324" i="10"/>
  <c r="AG328" i="10"/>
  <c r="AG332" i="10"/>
  <c r="AG336" i="10"/>
  <c r="AG340" i="10"/>
  <c r="AG344" i="10"/>
  <c r="AG348" i="10"/>
  <c r="AG352" i="10"/>
  <c r="AG356" i="10"/>
  <c r="AG360" i="10"/>
  <c r="AG364" i="10"/>
  <c r="AG368" i="10"/>
  <c r="AG372" i="10"/>
  <c r="AG376" i="10"/>
  <c r="AG380" i="10"/>
  <c r="AG384" i="10"/>
  <c r="AG388" i="10"/>
  <c r="AG392" i="10"/>
  <c r="AG396" i="10"/>
  <c r="AG400" i="10"/>
  <c r="AG404" i="10"/>
  <c r="AG408" i="10"/>
  <c r="AG412" i="10"/>
  <c r="AG416" i="10"/>
  <c r="AG420" i="10"/>
  <c r="AG424" i="10"/>
  <c r="AG428" i="10"/>
  <c r="AG432" i="10"/>
  <c r="AG436" i="10"/>
  <c r="AG440" i="10"/>
  <c r="AG444" i="10"/>
  <c r="AG448" i="10"/>
  <c r="AG452" i="10"/>
  <c r="AG456" i="10"/>
  <c r="AG460" i="10"/>
  <c r="AG464" i="10"/>
  <c r="AG468" i="10"/>
  <c r="AG472" i="10"/>
  <c r="AG476" i="10"/>
  <c r="AG480" i="10"/>
  <c r="AG484" i="10"/>
  <c r="AG488" i="10"/>
  <c r="AG492" i="10"/>
  <c r="AG496" i="10"/>
  <c r="AG500" i="10"/>
  <c r="AG504" i="10"/>
  <c r="AG508" i="10"/>
  <c r="AG512" i="10"/>
  <c r="AG516" i="10"/>
  <c r="AG520" i="10"/>
  <c r="AG524" i="10"/>
  <c r="AG528" i="10"/>
  <c r="AG532" i="10"/>
  <c r="AG536" i="10"/>
  <c r="AG540" i="10"/>
  <c r="AG544" i="10"/>
  <c r="AG548" i="10"/>
  <c r="AG552" i="10"/>
  <c r="AG556" i="10"/>
  <c r="AG560" i="10"/>
  <c r="B218" i="2"/>
  <c r="B224" i="2" s="1"/>
  <c r="B77" i="2"/>
  <c r="B142" i="2"/>
  <c r="AF19" i="10" l="1"/>
  <c r="AF13" i="10"/>
  <c r="AF7" i="10"/>
  <c r="AF11" i="10"/>
  <c r="AF12" i="10"/>
  <c r="AF10" i="10"/>
  <c r="AF9" i="10"/>
  <c r="AJ21" i="10"/>
  <c r="AL21" i="10" s="1"/>
  <c r="AJ25" i="10"/>
  <c r="AK25" i="10" s="1"/>
  <c r="AJ29" i="10"/>
  <c r="AL29" i="10" s="1"/>
  <c r="AJ33" i="10"/>
  <c r="AJ37" i="10"/>
  <c r="AJ41" i="10"/>
  <c r="AL41" i="10" s="1"/>
  <c r="AJ45" i="10"/>
  <c r="AL45" i="10" s="1"/>
  <c r="AJ49" i="10"/>
  <c r="AK49" i="10" s="1"/>
  <c r="AJ53" i="10"/>
  <c r="AL53" i="10" s="1"/>
  <c r="AJ57" i="10"/>
  <c r="AJ61" i="10"/>
  <c r="AL61" i="10" s="1"/>
  <c r="AJ65" i="10"/>
  <c r="AL65" i="10" s="1"/>
  <c r="AJ69" i="10"/>
  <c r="AK69" i="10" s="1"/>
  <c r="AJ73" i="10"/>
  <c r="AK73" i="10" s="1"/>
  <c r="AJ77" i="10"/>
  <c r="AK77" i="10" s="1"/>
  <c r="AJ81" i="10"/>
  <c r="AK81" i="10" s="1"/>
  <c r="AJ85" i="10"/>
  <c r="AK85" i="10" s="1"/>
  <c r="AJ89" i="10"/>
  <c r="AK89" i="10" s="1"/>
  <c r="AJ93" i="10"/>
  <c r="AK93" i="10" s="1"/>
  <c r="AJ97" i="10"/>
  <c r="AJ101" i="10"/>
  <c r="AL101" i="10" s="1"/>
  <c r="AJ105" i="10"/>
  <c r="AL105" i="10" s="1"/>
  <c r="AJ109" i="10"/>
  <c r="AK109" i="10" s="1"/>
  <c r="AJ113" i="10"/>
  <c r="AK113" i="10" s="1"/>
  <c r="AJ117" i="10"/>
  <c r="AK117" i="10" s="1"/>
  <c r="AJ121" i="10"/>
  <c r="AL121" i="10" s="1"/>
  <c r="AJ125" i="10"/>
  <c r="AL125" i="10" s="1"/>
  <c r="AJ129" i="10"/>
  <c r="AK129" i="10" s="1"/>
  <c r="AJ133" i="10"/>
  <c r="AL133" i="10" s="1"/>
  <c r="AJ137" i="10"/>
  <c r="AL137" i="10" s="1"/>
  <c r="AJ141" i="10"/>
  <c r="AL141" i="10" s="1"/>
  <c r="AJ145" i="10"/>
  <c r="AJ149" i="10"/>
  <c r="AL149" i="10" s="1"/>
  <c r="AJ153" i="10"/>
  <c r="AL153" i="10" s="1"/>
  <c r="AJ157" i="10"/>
  <c r="AK157" i="10" s="1"/>
  <c r="AJ161" i="10"/>
  <c r="AK161" i="10" s="1"/>
  <c r="AJ165" i="10"/>
  <c r="AJ169" i="10"/>
  <c r="AK169" i="10" s="1"/>
  <c r="AJ173" i="10"/>
  <c r="AK173" i="10" s="1"/>
  <c r="AJ177" i="10"/>
  <c r="AK177" i="10" s="1"/>
  <c r="AJ181" i="10"/>
  <c r="AJ185" i="10"/>
  <c r="AK185" i="10" s="1"/>
  <c r="AJ189" i="10"/>
  <c r="AK189" i="10" s="1"/>
  <c r="AJ193" i="10"/>
  <c r="AJ197" i="10"/>
  <c r="AK197" i="10" s="1"/>
  <c r="AJ201" i="10"/>
  <c r="AL201" i="10" s="1"/>
  <c r="AJ205" i="10"/>
  <c r="AK205" i="10" s="1"/>
  <c r="AJ209" i="10"/>
  <c r="AK209" i="10" s="1"/>
  <c r="AJ213" i="10"/>
  <c r="AL213" i="10" s="1"/>
  <c r="AJ217" i="10"/>
  <c r="AJ221" i="10"/>
  <c r="AK221" i="10" s="1"/>
  <c r="AJ225" i="10"/>
  <c r="AL225" i="10" s="1"/>
  <c r="AJ229" i="10"/>
  <c r="AJ233" i="10"/>
  <c r="AL233" i="10" s="1"/>
  <c r="AJ237" i="10"/>
  <c r="AL237" i="10" s="1"/>
  <c r="AJ241" i="10"/>
  <c r="AL241" i="10" s="1"/>
  <c r="AJ245" i="10"/>
  <c r="AK245" i="10" s="1"/>
  <c r="AJ249" i="10"/>
  <c r="AL249" i="10" s="1"/>
  <c r="AJ253" i="10"/>
  <c r="AL253" i="10" s="1"/>
  <c r="AJ257" i="10"/>
  <c r="AL257" i="10" s="1"/>
  <c r="AJ261" i="10"/>
  <c r="AL261" i="10" s="1"/>
  <c r="AJ265" i="10"/>
  <c r="AK265" i="10" s="1"/>
  <c r="AJ269" i="10"/>
  <c r="AL269" i="10" s="1"/>
  <c r="AJ273" i="10"/>
  <c r="AL273" i="10" s="1"/>
  <c r="AJ277" i="10"/>
  <c r="AJ281" i="10"/>
  <c r="AL281" i="10" s="1"/>
  <c r="AJ285" i="10"/>
  <c r="AL285" i="10" s="1"/>
  <c r="AJ289" i="10"/>
  <c r="AJ293" i="10"/>
  <c r="AK293" i="10" s="1"/>
  <c r="AJ297" i="10"/>
  <c r="AJ301" i="10"/>
  <c r="AK301" i="10" s="1"/>
  <c r="AJ305" i="10"/>
  <c r="AJ309" i="10"/>
  <c r="AK309" i="10" s="1"/>
  <c r="AJ313" i="10"/>
  <c r="AL313" i="10" s="1"/>
  <c r="AJ20" i="10"/>
  <c r="AL20" i="10" s="1"/>
  <c r="AJ24" i="10"/>
  <c r="AL24" i="10" s="1"/>
  <c r="AJ28" i="10"/>
  <c r="AK28" i="10" s="1"/>
  <c r="AJ32" i="10"/>
  <c r="AK32" i="10" s="1"/>
  <c r="AJ36" i="10"/>
  <c r="AK36" i="10" s="1"/>
  <c r="AJ40" i="10"/>
  <c r="AL40" i="10" s="1"/>
  <c r="AJ44" i="10"/>
  <c r="AK44" i="10" s="1"/>
  <c r="AJ48" i="10"/>
  <c r="AL48" i="10" s="1"/>
  <c r="AJ52" i="10"/>
  <c r="AJ56" i="10"/>
  <c r="AJ60" i="10"/>
  <c r="AK60" i="10" s="1"/>
  <c r="AJ64" i="10"/>
  <c r="AL64" i="10" s="1"/>
  <c r="AJ68" i="10"/>
  <c r="AK68" i="10" s="1"/>
  <c r="AJ72" i="10"/>
  <c r="AJ76" i="10"/>
  <c r="AJ80" i="10"/>
  <c r="AK80" i="10" s="1"/>
  <c r="AJ84" i="10"/>
  <c r="AL84" i="10" s="1"/>
  <c r="AJ88" i="10"/>
  <c r="AK88" i="10" s="1"/>
  <c r="AJ92" i="10"/>
  <c r="AL92" i="10" s="1"/>
  <c r="AJ96" i="10"/>
  <c r="AL96" i="10" s="1"/>
  <c r="AJ100" i="10"/>
  <c r="AK100" i="10" s="1"/>
  <c r="AJ104" i="10"/>
  <c r="AJ108" i="10"/>
  <c r="AK108" i="10" s="1"/>
  <c r="AJ112" i="10"/>
  <c r="AK112" i="10" s="1"/>
  <c r="AJ116" i="10"/>
  <c r="AK116" i="10" s="1"/>
  <c r="AJ120" i="10"/>
  <c r="AJ124" i="10"/>
  <c r="AK124" i="10" s="1"/>
  <c r="AJ128" i="10"/>
  <c r="AJ132" i="10"/>
  <c r="AL132" i="10" s="1"/>
  <c r="AJ136" i="10"/>
  <c r="AJ140" i="10"/>
  <c r="AL140" i="10" s="1"/>
  <c r="AJ144" i="10"/>
  <c r="AK144" i="10" s="1"/>
  <c r="AJ148" i="10"/>
  <c r="AK148" i="10" s="1"/>
  <c r="AJ152" i="10"/>
  <c r="AK152" i="10" s="1"/>
  <c r="AJ156" i="10"/>
  <c r="AL156" i="10" s="1"/>
  <c r="AJ160" i="10"/>
  <c r="AL160" i="10" s="1"/>
  <c r="AJ164" i="10"/>
  <c r="AK164" i="10" s="1"/>
  <c r="AJ168" i="10"/>
  <c r="AJ172" i="10"/>
  <c r="AK172" i="10" s="1"/>
  <c r="AJ176" i="10"/>
  <c r="AJ180" i="10"/>
  <c r="AL180" i="10" s="1"/>
  <c r="AJ184" i="10"/>
  <c r="AJ188" i="10"/>
  <c r="AL188" i="10" s="1"/>
  <c r="AJ192" i="10"/>
  <c r="AK192" i="10" s="1"/>
  <c r="AJ196" i="10"/>
  <c r="AK196" i="10" s="1"/>
  <c r="AJ200" i="10"/>
  <c r="AJ204" i="10"/>
  <c r="AK204" i="10" s="1"/>
  <c r="AJ208" i="10"/>
  <c r="AJ212" i="10"/>
  <c r="AL212" i="10" s="1"/>
  <c r="AJ216" i="10"/>
  <c r="AL216" i="10" s="1"/>
  <c r="AJ220" i="10"/>
  <c r="AJ224" i="10"/>
  <c r="AK224" i="10" s="1"/>
  <c r="AJ228" i="10"/>
  <c r="AL228" i="10" s="1"/>
  <c r="AJ232" i="10"/>
  <c r="AJ236" i="10"/>
  <c r="AK236" i="10" s="1"/>
  <c r="AJ240" i="10"/>
  <c r="AJ244" i="10"/>
  <c r="AL244" i="10" s="1"/>
  <c r="AJ248" i="10"/>
  <c r="AJ252" i="10"/>
  <c r="AL252" i="10" s="1"/>
  <c r="AJ256" i="10"/>
  <c r="AL256" i="10" s="1"/>
  <c r="AJ260" i="10"/>
  <c r="AL260" i="10" s="1"/>
  <c r="AJ264" i="10"/>
  <c r="AJ268" i="10"/>
  <c r="AL268" i="10" s="1"/>
  <c r="AJ272" i="10"/>
  <c r="AJ276" i="10"/>
  <c r="AL276" i="10" s="1"/>
  <c r="AJ280" i="10"/>
  <c r="AL280" i="10" s="1"/>
  <c r="AJ284" i="10"/>
  <c r="AK284" i="10" s="1"/>
  <c r="AJ288" i="10"/>
  <c r="AK288" i="10" s="1"/>
  <c r="AJ292" i="10"/>
  <c r="AK292" i="10" s="1"/>
  <c r="AJ296" i="10"/>
  <c r="AJ23" i="10"/>
  <c r="AL23" i="10" s="1"/>
  <c r="AJ31" i="10"/>
  <c r="AK31" i="10" s="1"/>
  <c r="AJ39" i="10"/>
  <c r="AK39" i="10" s="1"/>
  <c r="AJ47" i="10"/>
  <c r="AL47" i="10" s="1"/>
  <c r="AJ55" i="10"/>
  <c r="AK55" i="10" s="1"/>
  <c r="AJ63" i="10"/>
  <c r="AJ71" i="10"/>
  <c r="AK71" i="10" s="1"/>
  <c r="AJ79" i="10"/>
  <c r="AK79" i="10" s="1"/>
  <c r="AJ87" i="10"/>
  <c r="AJ95" i="10"/>
  <c r="AK95" i="10" s="1"/>
  <c r="AJ103" i="10"/>
  <c r="AK103" i="10" s="1"/>
  <c r="AJ111" i="10"/>
  <c r="AK111" i="10" s="1"/>
  <c r="AJ119" i="10"/>
  <c r="AK119" i="10" s="1"/>
  <c r="AJ127" i="10"/>
  <c r="AK127" i="10" s="1"/>
  <c r="AJ135" i="10"/>
  <c r="AL135" i="10" s="1"/>
  <c r="AJ143" i="10"/>
  <c r="AK143" i="10" s="1"/>
  <c r="AJ151" i="10"/>
  <c r="AJ159" i="10"/>
  <c r="AK159" i="10" s="1"/>
  <c r="AJ167" i="10"/>
  <c r="AJ175" i="10"/>
  <c r="AL175" i="10" s="1"/>
  <c r="AJ183" i="10"/>
  <c r="AK183" i="10" s="1"/>
  <c r="AJ191" i="10"/>
  <c r="AJ199" i="10"/>
  <c r="AK199" i="10" s="1"/>
  <c r="AJ207" i="10"/>
  <c r="AL207" i="10" s="1"/>
  <c r="AJ215" i="10"/>
  <c r="AL215" i="10" s="1"/>
  <c r="AJ223" i="10"/>
  <c r="AL223" i="10" s="1"/>
  <c r="AJ231" i="10"/>
  <c r="AK231" i="10" s="1"/>
  <c r="AJ239" i="10"/>
  <c r="AJ247" i="10"/>
  <c r="AK247" i="10" s="1"/>
  <c r="AJ255" i="10"/>
  <c r="AL255" i="10" s="1"/>
  <c r="AJ263" i="10"/>
  <c r="AK263" i="10" s="1"/>
  <c r="AJ271" i="10"/>
  <c r="AL271" i="10" s="1"/>
  <c r="AJ279" i="10"/>
  <c r="AL279" i="10" s="1"/>
  <c r="AJ287" i="10"/>
  <c r="AL287" i="10" s="1"/>
  <c r="AJ295" i="10"/>
  <c r="AJ302" i="10"/>
  <c r="AJ307" i="10"/>
  <c r="AK307" i="10" s="1"/>
  <c r="AJ312" i="10"/>
  <c r="AJ317" i="10"/>
  <c r="AL317" i="10" s="1"/>
  <c r="AJ321" i="10"/>
  <c r="AJ325" i="10"/>
  <c r="AJ329" i="10"/>
  <c r="AL329" i="10" s="1"/>
  <c r="AJ333" i="10"/>
  <c r="AL333" i="10" s="1"/>
  <c r="AJ337" i="10"/>
  <c r="AJ341" i="10"/>
  <c r="AK341" i="10" s="1"/>
  <c r="AJ345" i="10"/>
  <c r="AK345" i="10" s="1"/>
  <c r="AJ349" i="10"/>
  <c r="AL349" i="10" s="1"/>
  <c r="AJ353" i="10"/>
  <c r="AK353" i="10" s="1"/>
  <c r="AJ357" i="10"/>
  <c r="AL357" i="10" s="1"/>
  <c r="AJ361" i="10"/>
  <c r="AK361" i="10" s="1"/>
  <c r="AJ365" i="10"/>
  <c r="AK365" i="10" s="1"/>
  <c r="AJ369" i="10"/>
  <c r="AJ373" i="10"/>
  <c r="AL373" i="10" s="1"/>
  <c r="AJ377" i="10"/>
  <c r="AL377" i="10" s="1"/>
  <c r="AJ381" i="10"/>
  <c r="AK381" i="10" s="1"/>
  <c r="AJ385" i="10"/>
  <c r="AJ389" i="10"/>
  <c r="AL389" i="10" s="1"/>
  <c r="AJ393" i="10"/>
  <c r="AL393" i="10" s="1"/>
  <c r="AJ397" i="10"/>
  <c r="AL397" i="10" s="1"/>
  <c r="AJ401" i="10"/>
  <c r="AJ405" i="10"/>
  <c r="AL405" i="10" s="1"/>
  <c r="AJ409" i="10"/>
  <c r="AK409" i="10" s="1"/>
  <c r="AJ413" i="10"/>
  <c r="AK413" i="10" s="1"/>
  <c r="AJ417" i="10"/>
  <c r="AK417" i="10" s="1"/>
  <c r="AJ421" i="10"/>
  <c r="AL421" i="10" s="1"/>
  <c r="AJ425" i="10"/>
  <c r="AL425" i="10" s="1"/>
  <c r="AJ429" i="10"/>
  <c r="AL429" i="10" s="1"/>
  <c r="AJ433" i="10"/>
  <c r="AK433" i="10" s="1"/>
  <c r="AJ437" i="10"/>
  <c r="AJ441" i="10"/>
  <c r="AK441" i="10" s="1"/>
  <c r="AJ445" i="10"/>
  <c r="AK445" i="10" s="1"/>
  <c r="AJ449" i="10"/>
  <c r="AJ453" i="10"/>
  <c r="AL453" i="10" s="1"/>
  <c r="AJ457" i="10"/>
  <c r="AL457" i="10" s="1"/>
  <c r="AJ461" i="10"/>
  <c r="AL461" i="10" s="1"/>
  <c r="AJ465" i="10"/>
  <c r="AK465" i="10" s="1"/>
  <c r="AJ469" i="10"/>
  <c r="AJ473" i="10"/>
  <c r="AK473" i="10" s="1"/>
  <c r="AJ477" i="10"/>
  <c r="AL477" i="10" s="1"/>
  <c r="AJ481" i="10"/>
  <c r="AL481" i="10" s="1"/>
  <c r="AJ30" i="10"/>
  <c r="AK30" i="10" s="1"/>
  <c r="AJ42" i="10"/>
  <c r="AK42" i="10" s="1"/>
  <c r="AJ51" i="10"/>
  <c r="AK51" i="10" s="1"/>
  <c r="AJ62" i="10"/>
  <c r="AJ74" i="10"/>
  <c r="AL74" i="10" s="1"/>
  <c r="AJ83" i="10"/>
  <c r="AL83" i="10" s="1"/>
  <c r="AJ94" i="10"/>
  <c r="AL94" i="10" s="1"/>
  <c r="AJ106" i="10"/>
  <c r="AJ115" i="10"/>
  <c r="AJ126" i="10"/>
  <c r="AJ138" i="10"/>
  <c r="AK138" i="10" s="1"/>
  <c r="AJ147" i="10"/>
  <c r="AL147" i="10" s="1"/>
  <c r="AJ158" i="10"/>
  <c r="AK158" i="10" s="1"/>
  <c r="AJ170" i="10"/>
  <c r="AJ179" i="10"/>
  <c r="AL179" i="10" s="1"/>
  <c r="AJ190" i="10"/>
  <c r="AL190" i="10" s="1"/>
  <c r="AJ202" i="10"/>
  <c r="AL202" i="10" s="1"/>
  <c r="AJ211" i="10"/>
  <c r="AK211" i="10" s="1"/>
  <c r="AJ222" i="10"/>
  <c r="AK222" i="10" s="1"/>
  <c r="AJ234" i="10"/>
  <c r="AK234" i="10" s="1"/>
  <c r="AJ243" i="10"/>
  <c r="AK243" i="10" s="1"/>
  <c r="AJ254" i="10"/>
  <c r="AJ266" i="10"/>
  <c r="AK266" i="10" s="1"/>
  <c r="AJ275" i="10"/>
  <c r="AL275" i="10" s="1"/>
  <c r="AJ286" i="10"/>
  <c r="AK286" i="10" s="1"/>
  <c r="AJ298" i="10"/>
  <c r="AL298" i="10" s="1"/>
  <c r="AJ304" i="10"/>
  <c r="AL304" i="10" s="1"/>
  <c r="AJ311" i="10"/>
  <c r="AK311" i="10" s="1"/>
  <c r="AJ318" i="10"/>
  <c r="AK318" i="10" s="1"/>
  <c r="AJ323" i="10"/>
  <c r="AK323" i="10" s="1"/>
  <c r="AJ328" i="10"/>
  <c r="AL328" i="10" s="1"/>
  <c r="AJ334" i="10"/>
  <c r="AL334" i="10" s="1"/>
  <c r="AJ339" i="10"/>
  <c r="AL339" i="10" s="1"/>
  <c r="AJ344" i="10"/>
  <c r="AL344" i="10" s="1"/>
  <c r="AJ350" i="10"/>
  <c r="AK350" i="10" s="1"/>
  <c r="AJ355" i="10"/>
  <c r="AK355" i="10" s="1"/>
  <c r="AJ360" i="10"/>
  <c r="AL360" i="10" s="1"/>
  <c r="AJ366" i="10"/>
  <c r="AL366" i="10" s="1"/>
  <c r="AJ371" i="10"/>
  <c r="AK371" i="10" s="1"/>
  <c r="AJ376" i="10"/>
  <c r="AK376" i="10" s="1"/>
  <c r="AJ382" i="10"/>
  <c r="AL382" i="10" s="1"/>
  <c r="AJ387" i="10"/>
  <c r="AJ392" i="10"/>
  <c r="AL392" i="10" s="1"/>
  <c r="AJ398" i="10"/>
  <c r="AL398" i="10" s="1"/>
  <c r="AJ403" i="10"/>
  <c r="AJ408" i="10"/>
  <c r="AJ414" i="10"/>
  <c r="AK414" i="10" s="1"/>
  <c r="AJ419" i="10"/>
  <c r="AJ424" i="10"/>
  <c r="AK424" i="10" s="1"/>
  <c r="AJ430" i="10"/>
  <c r="AL430" i="10" s="1"/>
  <c r="AJ435" i="10"/>
  <c r="AK435" i="10" s="1"/>
  <c r="AJ440" i="10"/>
  <c r="AL440" i="10" s="1"/>
  <c r="AJ446" i="10"/>
  <c r="AK446" i="10" s="1"/>
  <c r="AJ451" i="10"/>
  <c r="AL451" i="10" s="1"/>
  <c r="AJ456" i="10"/>
  <c r="AL456" i="10" s="1"/>
  <c r="AJ462" i="10"/>
  <c r="AL462" i="10" s="1"/>
  <c r="AJ467" i="10"/>
  <c r="AK467" i="10" s="1"/>
  <c r="AJ472" i="10"/>
  <c r="AK472" i="10" s="1"/>
  <c r="AJ478" i="10"/>
  <c r="AJ483" i="10"/>
  <c r="AJ487" i="10"/>
  <c r="AL487" i="10" s="1"/>
  <c r="AJ491" i="10"/>
  <c r="AL491" i="10" s="1"/>
  <c r="AJ495" i="10"/>
  <c r="AK495" i="10" s="1"/>
  <c r="AJ499" i="10"/>
  <c r="AJ503" i="10"/>
  <c r="AK503" i="10" s="1"/>
  <c r="AJ507" i="10"/>
  <c r="AL507" i="10" s="1"/>
  <c r="AJ511" i="10"/>
  <c r="AK511" i="10" s="1"/>
  <c r="AJ515" i="10"/>
  <c r="AJ519" i="10"/>
  <c r="AK519" i="10" s="1"/>
  <c r="AJ523" i="10"/>
  <c r="AL523" i="10" s="1"/>
  <c r="AJ527" i="10"/>
  <c r="AL527" i="10" s="1"/>
  <c r="AJ531" i="10"/>
  <c r="AJ535" i="10"/>
  <c r="AK535" i="10" s="1"/>
  <c r="AJ539" i="10"/>
  <c r="AL539" i="10" s="1"/>
  <c r="AJ543" i="10"/>
  <c r="AK543" i="10" s="1"/>
  <c r="AJ547" i="10"/>
  <c r="AJ551" i="10"/>
  <c r="AL551" i="10" s="1"/>
  <c r="AJ555" i="10"/>
  <c r="AJ559" i="10"/>
  <c r="AL559" i="10" s="1"/>
  <c r="AJ27" i="10"/>
  <c r="AK27" i="10" s="1"/>
  <c r="AJ38" i="10"/>
  <c r="AK38" i="10" s="1"/>
  <c r="AJ50" i="10"/>
  <c r="AL50" i="10" s="1"/>
  <c r="AJ59" i="10"/>
  <c r="AL59" i="10" s="1"/>
  <c r="AJ70" i="10"/>
  <c r="AL70" i="10" s="1"/>
  <c r="AJ82" i="10"/>
  <c r="AK82" i="10" s="1"/>
  <c r="AJ91" i="10"/>
  <c r="AL91" i="10" s="1"/>
  <c r="AJ102" i="10"/>
  <c r="AK102" i="10" s="1"/>
  <c r="AJ114" i="10"/>
  <c r="AL114" i="10" s="1"/>
  <c r="AJ123" i="10"/>
  <c r="AK123" i="10" s="1"/>
  <c r="AJ134" i="10"/>
  <c r="AJ146" i="10"/>
  <c r="AJ155" i="10"/>
  <c r="AJ166" i="10"/>
  <c r="AL166" i="10" s="1"/>
  <c r="AJ178" i="10"/>
  <c r="AK178" i="10" s="1"/>
  <c r="AJ187" i="10"/>
  <c r="AJ198" i="10"/>
  <c r="AL198" i="10" s="1"/>
  <c r="AJ210" i="10"/>
  <c r="AL210" i="10" s="1"/>
  <c r="AJ219" i="10"/>
  <c r="AJ230" i="10"/>
  <c r="AK230" i="10" s="1"/>
  <c r="AJ242" i="10"/>
  <c r="AJ251" i="10"/>
  <c r="AL251" i="10" s="1"/>
  <c r="AJ262" i="10"/>
  <c r="AL262" i="10" s="1"/>
  <c r="AJ274" i="10"/>
  <c r="AJ283" i="10"/>
  <c r="AK283" i="10" s="1"/>
  <c r="AJ294" i="10"/>
  <c r="AL294" i="10" s="1"/>
  <c r="AJ303" i="10"/>
  <c r="AK303" i="10" s="1"/>
  <c r="AJ310" i="10"/>
  <c r="AK310" i="10" s="1"/>
  <c r="AJ316" i="10"/>
  <c r="AL316" i="10" s="1"/>
  <c r="AJ322" i="10"/>
  <c r="AL322" i="10" s="1"/>
  <c r="AJ327" i="10"/>
  <c r="AL327" i="10" s="1"/>
  <c r="AJ332" i="10"/>
  <c r="AJ338" i="10"/>
  <c r="AK338" i="10" s="1"/>
  <c r="AJ343" i="10"/>
  <c r="AK343" i="10" s="1"/>
  <c r="AJ348" i="10"/>
  <c r="AK348" i="10" s="1"/>
  <c r="AJ354" i="10"/>
  <c r="AK354" i="10" s="1"/>
  <c r="AJ359" i="10"/>
  <c r="AK359" i="10" s="1"/>
  <c r="AJ364" i="10"/>
  <c r="AL364" i="10" s="1"/>
  <c r="AJ370" i="10"/>
  <c r="AK370" i="10" s="1"/>
  <c r="AJ375" i="10"/>
  <c r="AK375" i="10" s="1"/>
  <c r="AJ380" i="10"/>
  <c r="AL380" i="10" s="1"/>
  <c r="AJ386" i="10"/>
  <c r="AJ391" i="10"/>
  <c r="AJ396" i="10"/>
  <c r="AL396" i="10" s="1"/>
  <c r="AJ402" i="10"/>
  <c r="AK402" i="10" s="1"/>
  <c r="AJ407" i="10"/>
  <c r="AK407" i="10" s="1"/>
  <c r="AJ412" i="10"/>
  <c r="AL412" i="10" s="1"/>
  <c r="AJ418" i="10"/>
  <c r="AK418" i="10" s="1"/>
  <c r="AJ423" i="10"/>
  <c r="AK423" i="10" s="1"/>
  <c r="AJ428" i="10"/>
  <c r="AJ434" i="10"/>
  <c r="AJ439" i="10"/>
  <c r="AK439" i="10" s="1"/>
  <c r="AJ444" i="10"/>
  <c r="AJ450" i="10"/>
  <c r="AJ455" i="10"/>
  <c r="AK455" i="10" s="1"/>
  <c r="AJ460" i="10"/>
  <c r="AL460" i="10" s="1"/>
  <c r="AJ466" i="10"/>
  <c r="AJ471" i="10"/>
  <c r="AK471" i="10" s="1"/>
  <c r="AJ476" i="10"/>
  <c r="AJ482" i="10"/>
  <c r="AK482" i="10" s="1"/>
  <c r="AJ486" i="10"/>
  <c r="AL486" i="10" s="1"/>
  <c r="AJ490" i="10"/>
  <c r="AL490" i="10" s="1"/>
  <c r="AJ494" i="10"/>
  <c r="AL494" i="10" s="1"/>
  <c r="AJ498" i="10"/>
  <c r="AJ502" i="10"/>
  <c r="AL502" i="10" s="1"/>
  <c r="AJ506" i="10"/>
  <c r="AL506" i="10" s="1"/>
  <c r="AJ510" i="10"/>
  <c r="AJ514" i="10"/>
  <c r="AL514" i="10" s="1"/>
  <c r="AJ518" i="10"/>
  <c r="AL518" i="10" s="1"/>
  <c r="AJ522" i="10"/>
  <c r="AK522" i="10" s="1"/>
  <c r="AJ526" i="10"/>
  <c r="AJ530" i="10"/>
  <c r="AK530" i="10" s="1"/>
  <c r="AJ534" i="10"/>
  <c r="AL534" i="10" s="1"/>
  <c r="AJ538" i="10"/>
  <c r="AL538" i="10" s="1"/>
  <c r="AJ542" i="10"/>
  <c r="AJ546" i="10"/>
  <c r="AK546" i="10" s="1"/>
  <c r="AJ550" i="10"/>
  <c r="AK550" i="10" s="1"/>
  <c r="AJ554" i="10"/>
  <c r="AK554" i="10" s="1"/>
  <c r="AJ558" i="10"/>
  <c r="AL558" i="10" s="1"/>
  <c r="AJ22" i="10"/>
  <c r="AL22" i="10" s="1"/>
  <c r="AJ43" i="10"/>
  <c r="AK43" i="10" s="1"/>
  <c r="AJ66" i="10"/>
  <c r="AK66" i="10" s="1"/>
  <c r="AJ86" i="10"/>
  <c r="AL86" i="10" s="1"/>
  <c r="AJ107" i="10"/>
  <c r="AJ130" i="10"/>
  <c r="AL130" i="10" s="1"/>
  <c r="AJ150" i="10"/>
  <c r="AL150" i="10" s="1"/>
  <c r="AJ171" i="10"/>
  <c r="AK171" i="10" s="1"/>
  <c r="AJ194" i="10"/>
  <c r="AL194" i="10" s="1"/>
  <c r="AJ214" i="10"/>
  <c r="AK214" i="10" s="1"/>
  <c r="AJ235" i="10"/>
  <c r="AL235" i="10" s="1"/>
  <c r="AJ258" i="10"/>
  <c r="AK258" i="10" s="1"/>
  <c r="AJ278" i="10"/>
  <c r="AK278" i="10" s="1"/>
  <c r="AJ299" i="10"/>
  <c r="AK299" i="10" s="1"/>
  <c r="AJ314" i="10"/>
  <c r="AJ324" i="10"/>
  <c r="AK324" i="10" s="1"/>
  <c r="AJ335" i="10"/>
  <c r="AK335" i="10" s="1"/>
  <c r="AJ346" i="10"/>
  <c r="AK346" i="10" s="1"/>
  <c r="AJ356" i="10"/>
  <c r="AK356" i="10" s="1"/>
  <c r="AJ367" i="10"/>
  <c r="AL367" i="10" s="1"/>
  <c r="AJ378" i="10"/>
  <c r="AL378" i="10" s="1"/>
  <c r="AJ388" i="10"/>
  <c r="AJ399" i="10"/>
  <c r="AL399" i="10" s="1"/>
  <c r="AJ410" i="10"/>
  <c r="AK410" i="10" s="1"/>
  <c r="AJ420" i="10"/>
  <c r="AL420" i="10" s="1"/>
  <c r="AJ431" i="10"/>
  <c r="AJ442" i="10"/>
  <c r="AK442" i="10" s="1"/>
  <c r="AJ452" i="10"/>
  <c r="AJ463" i="10"/>
  <c r="AK463" i="10" s="1"/>
  <c r="AJ474" i="10"/>
  <c r="AK474" i="10" s="1"/>
  <c r="AJ484" i="10"/>
  <c r="AK484" i="10" s="1"/>
  <c r="AJ492" i="10"/>
  <c r="AJ500" i="10"/>
  <c r="AK500" i="10" s="1"/>
  <c r="AJ508" i="10"/>
  <c r="AJ516" i="10"/>
  <c r="AK516" i="10" s="1"/>
  <c r="AJ524" i="10"/>
  <c r="AL524" i="10" s="1"/>
  <c r="AJ532" i="10"/>
  <c r="AL532" i="10" s="1"/>
  <c r="AJ540" i="10"/>
  <c r="AJ548" i="10"/>
  <c r="AJ556" i="10"/>
  <c r="AK556" i="10" s="1"/>
  <c r="AJ35" i="10"/>
  <c r="AL35" i="10" s="1"/>
  <c r="AJ58" i="10"/>
  <c r="AK58" i="10" s="1"/>
  <c r="AJ78" i="10"/>
  <c r="AL78" i="10" s="1"/>
  <c r="AJ99" i="10"/>
  <c r="AK99" i="10" s="1"/>
  <c r="AJ122" i="10"/>
  <c r="AK122" i="10" s="1"/>
  <c r="AJ142" i="10"/>
  <c r="AL142" i="10" s="1"/>
  <c r="AJ163" i="10"/>
  <c r="AL163" i="10" s="1"/>
  <c r="AJ186" i="10"/>
  <c r="AK186" i="10" s="1"/>
  <c r="AJ206" i="10"/>
  <c r="AK206" i="10" s="1"/>
  <c r="AJ227" i="10"/>
  <c r="AL227" i="10" s="1"/>
  <c r="AJ250" i="10"/>
  <c r="AK250" i="10" s="1"/>
  <c r="AJ270" i="10"/>
  <c r="AK270" i="10" s="1"/>
  <c r="AJ291" i="10"/>
  <c r="AK291" i="10" s="1"/>
  <c r="AJ308" i="10"/>
  <c r="AL308" i="10" s="1"/>
  <c r="AJ320" i="10"/>
  <c r="AK320" i="10" s="1"/>
  <c r="AJ331" i="10"/>
  <c r="AL331" i="10" s="1"/>
  <c r="AJ342" i="10"/>
  <c r="AL342" i="10" s="1"/>
  <c r="AJ352" i="10"/>
  <c r="AJ363" i="10"/>
  <c r="AK363" i="10" s="1"/>
  <c r="AJ374" i="10"/>
  <c r="AL374" i="10" s="1"/>
  <c r="AJ384" i="10"/>
  <c r="AK384" i="10" s="1"/>
  <c r="AJ395" i="10"/>
  <c r="AJ406" i="10"/>
  <c r="AK406" i="10" s="1"/>
  <c r="AJ416" i="10"/>
  <c r="AL416" i="10" s="1"/>
  <c r="AJ427" i="10"/>
  <c r="AK427" i="10" s="1"/>
  <c r="AJ438" i="10"/>
  <c r="AL438" i="10" s="1"/>
  <c r="AJ448" i="10"/>
  <c r="AL448" i="10" s="1"/>
  <c r="AJ459" i="10"/>
  <c r="AK459" i="10" s="1"/>
  <c r="AJ470" i="10"/>
  <c r="AK470" i="10" s="1"/>
  <c r="AJ480" i="10"/>
  <c r="AJ489" i="10"/>
  <c r="AL489" i="10" s="1"/>
  <c r="AJ497" i="10"/>
  <c r="AK497" i="10" s="1"/>
  <c r="AJ505" i="10"/>
  <c r="AL505" i="10" s="1"/>
  <c r="AJ513" i="10"/>
  <c r="AJ521" i="10"/>
  <c r="AL521" i="10" s="1"/>
  <c r="AJ529" i="10"/>
  <c r="AL529" i="10" s="1"/>
  <c r="AJ537" i="10"/>
  <c r="AL537" i="10" s="1"/>
  <c r="AJ545" i="10"/>
  <c r="AJ553" i="10"/>
  <c r="AJ19" i="10"/>
  <c r="AS19" i="10" s="1"/>
  <c r="AJ26" i="10"/>
  <c r="AL26" i="10" s="1"/>
  <c r="AJ67" i="10"/>
  <c r="AJ110" i="10"/>
  <c r="AL110" i="10" s="1"/>
  <c r="AJ154" i="10"/>
  <c r="AL154" i="10" s="1"/>
  <c r="AJ195" i="10"/>
  <c r="AL195" i="10" s="1"/>
  <c r="AJ238" i="10"/>
  <c r="AK238" i="10" s="1"/>
  <c r="AJ282" i="10"/>
  <c r="AK282" i="10" s="1"/>
  <c r="AJ315" i="10"/>
  <c r="AL315" i="10" s="1"/>
  <c r="AJ336" i="10"/>
  <c r="AK336" i="10" s="1"/>
  <c r="AJ358" i="10"/>
  <c r="AJ379" i="10"/>
  <c r="AK379" i="10" s="1"/>
  <c r="AJ400" i="10"/>
  <c r="AL400" i="10" s="1"/>
  <c r="AJ422" i="10"/>
  <c r="AL422" i="10" s="1"/>
  <c r="AJ443" i="10"/>
  <c r="AJ464" i="10"/>
  <c r="AL464" i="10" s="1"/>
  <c r="AJ485" i="10"/>
  <c r="AL485" i="10" s="1"/>
  <c r="AJ501" i="10"/>
  <c r="AK501" i="10" s="1"/>
  <c r="AJ517" i="10"/>
  <c r="AL517" i="10" s="1"/>
  <c r="AJ533" i="10"/>
  <c r="AJ549" i="10"/>
  <c r="AL549" i="10" s="1"/>
  <c r="AJ34" i="10"/>
  <c r="AK34" i="10" s="1"/>
  <c r="AJ75" i="10"/>
  <c r="AJ118" i="10"/>
  <c r="AL118" i="10" s="1"/>
  <c r="AJ162" i="10"/>
  <c r="AK162" i="10" s="1"/>
  <c r="AJ203" i="10"/>
  <c r="AL203" i="10" s="1"/>
  <c r="AJ246" i="10"/>
  <c r="AJ290" i="10"/>
  <c r="AK290" i="10" s="1"/>
  <c r="AJ319" i="10"/>
  <c r="AK319" i="10" s="1"/>
  <c r="AJ340" i="10"/>
  <c r="AL340" i="10" s="1"/>
  <c r="AJ362" i="10"/>
  <c r="AL362" i="10" s="1"/>
  <c r="AJ383" i="10"/>
  <c r="AL383" i="10" s="1"/>
  <c r="AJ404" i="10"/>
  <c r="AL404" i="10" s="1"/>
  <c r="AJ426" i="10"/>
  <c r="AK426" i="10" s="1"/>
  <c r="AJ447" i="10"/>
  <c r="AK447" i="10" s="1"/>
  <c r="AJ468" i="10"/>
  <c r="AL468" i="10" s="1"/>
  <c r="AJ488" i="10"/>
  <c r="AK488" i="10" s="1"/>
  <c r="AJ504" i="10"/>
  <c r="AL504" i="10" s="1"/>
  <c r="AJ520" i="10"/>
  <c r="AJ536" i="10"/>
  <c r="AK536" i="10" s="1"/>
  <c r="AJ552" i="10"/>
  <c r="AJ54" i="10"/>
  <c r="AK54" i="10" s="1"/>
  <c r="AJ98" i="10"/>
  <c r="AL98" i="10" s="1"/>
  <c r="AJ139" i="10"/>
  <c r="AJ182" i="10"/>
  <c r="AL182" i="10" s="1"/>
  <c r="AJ226" i="10"/>
  <c r="AL226" i="10" s="1"/>
  <c r="AJ267" i="10"/>
  <c r="AJ306" i="10"/>
  <c r="AK306" i="10" s="1"/>
  <c r="AJ330" i="10"/>
  <c r="AL330" i="10" s="1"/>
  <c r="AJ351" i="10"/>
  <c r="AK351" i="10" s="1"/>
  <c r="AJ372" i="10"/>
  <c r="AK372" i="10" s="1"/>
  <c r="AJ394" i="10"/>
  <c r="AL394" i="10" s="1"/>
  <c r="AJ415" i="10"/>
  <c r="AK415" i="10" s="1"/>
  <c r="AJ436" i="10"/>
  <c r="AK436" i="10" s="1"/>
  <c r="AJ458" i="10"/>
  <c r="AK458" i="10" s="1"/>
  <c r="AJ479" i="10"/>
  <c r="AL479" i="10" s="1"/>
  <c r="AJ496" i="10"/>
  <c r="AK496" i="10" s="1"/>
  <c r="AJ512" i="10"/>
  <c r="AK512" i="10" s="1"/>
  <c r="AJ528" i="10"/>
  <c r="AL528" i="10" s="1"/>
  <c r="AJ544" i="10"/>
  <c r="AK544" i="10" s="1"/>
  <c r="AJ560" i="10"/>
  <c r="AL560" i="10" s="1"/>
  <c r="AJ174" i="10"/>
  <c r="AL174" i="10" s="1"/>
  <c r="AJ326" i="10"/>
  <c r="AJ411" i="10"/>
  <c r="AK411" i="10" s="1"/>
  <c r="AJ493" i="10"/>
  <c r="AL493" i="10" s="1"/>
  <c r="AJ557" i="10"/>
  <c r="AL557" i="10" s="1"/>
  <c r="AJ46" i="10"/>
  <c r="AK46" i="10" s="1"/>
  <c r="AJ218" i="10"/>
  <c r="AK218" i="10" s="1"/>
  <c r="AJ347" i="10"/>
  <c r="AL347" i="10" s="1"/>
  <c r="AJ432" i="10"/>
  <c r="AL432" i="10" s="1"/>
  <c r="AJ509" i="10"/>
  <c r="AL509" i="10" s="1"/>
  <c r="AJ131" i="10"/>
  <c r="AL131" i="10" s="1"/>
  <c r="AJ300" i="10"/>
  <c r="AL300" i="10" s="1"/>
  <c r="AJ390" i="10"/>
  <c r="AK390" i="10" s="1"/>
  <c r="AJ475" i="10"/>
  <c r="AJ541" i="10"/>
  <c r="AL541" i="10" s="1"/>
  <c r="AJ90" i="10"/>
  <c r="AL90" i="10" s="1"/>
  <c r="AJ525" i="10"/>
  <c r="AL525" i="10" s="1"/>
  <c r="AJ259" i="10"/>
  <c r="AL259" i="10" s="1"/>
  <c r="AJ454" i="10"/>
  <c r="AK454" i="10" s="1"/>
  <c r="AJ368" i="10"/>
  <c r="AK368" i="10" s="1"/>
  <c r="AO19" i="10"/>
  <c r="AN19" i="10"/>
  <c r="AM24" i="10"/>
  <c r="AM29" i="10"/>
  <c r="AM31" i="10"/>
  <c r="AM34" i="10"/>
  <c r="AM40" i="10"/>
  <c r="AM45" i="10"/>
  <c r="AM47" i="10"/>
  <c r="AM50" i="10"/>
  <c r="AM56" i="10"/>
  <c r="AM61" i="10"/>
  <c r="AM63" i="10"/>
  <c r="AM66" i="10"/>
  <c r="AM72" i="10"/>
  <c r="AM77" i="10"/>
  <c r="AM79" i="10"/>
  <c r="AM82" i="10"/>
  <c r="AM21" i="10"/>
  <c r="AM30" i="10"/>
  <c r="AM33" i="10"/>
  <c r="AM42" i="10"/>
  <c r="AM52" i="10"/>
  <c r="AM26" i="10"/>
  <c r="AM36" i="10"/>
  <c r="AM38" i="10"/>
  <c r="AM23" i="10"/>
  <c r="AM25" i="10"/>
  <c r="AM28" i="10"/>
  <c r="AM35" i="10"/>
  <c r="AM37" i="10"/>
  <c r="AM46" i="10"/>
  <c r="AM49" i="10"/>
  <c r="AM58" i="10"/>
  <c r="AM68" i="10"/>
  <c r="AM70" i="10"/>
  <c r="AM75" i="10"/>
  <c r="AM80" i="10"/>
  <c r="AM88" i="10"/>
  <c r="AM93" i="10"/>
  <c r="AM95" i="10"/>
  <c r="AM98" i="10"/>
  <c r="AM112" i="10"/>
  <c r="AM114" i="10"/>
  <c r="AM120" i="10"/>
  <c r="AM122" i="10"/>
  <c r="AM27" i="10"/>
  <c r="AM43" i="10"/>
  <c r="AM48" i="10"/>
  <c r="AM59" i="10"/>
  <c r="AM65" i="10"/>
  <c r="AM74" i="10"/>
  <c r="AM81" i="10"/>
  <c r="AM84" i="10"/>
  <c r="AM86" i="10"/>
  <c r="AM91" i="10"/>
  <c r="AM96" i="10"/>
  <c r="AM103" i="10"/>
  <c r="AM111" i="10"/>
  <c r="AM119" i="10"/>
  <c r="AM128" i="10"/>
  <c r="AM130" i="10"/>
  <c r="AM136" i="10"/>
  <c r="AM138" i="10"/>
  <c r="AM144" i="10"/>
  <c r="AM146" i="10"/>
  <c r="AM152" i="10"/>
  <c r="AM154" i="10"/>
  <c r="AM160" i="10"/>
  <c r="AM162" i="10"/>
  <c r="AM168" i="10"/>
  <c r="AM170" i="10"/>
  <c r="AM176" i="10"/>
  <c r="AM178" i="10"/>
  <c r="AM184" i="10"/>
  <c r="AM188" i="10"/>
  <c r="AM198" i="10"/>
  <c r="AM201" i="10"/>
  <c r="AM203" i="10"/>
  <c r="AM208" i="10"/>
  <c r="AM213" i="10"/>
  <c r="AM219" i="10"/>
  <c r="AM221" i="10"/>
  <c r="AM223" i="10"/>
  <c r="AM226" i="10"/>
  <c r="AM228" i="10"/>
  <c r="AM230" i="10"/>
  <c r="AM235" i="10"/>
  <c r="AM241" i="10"/>
  <c r="AM244" i="10"/>
  <c r="AM246" i="10"/>
  <c r="AM251" i="10"/>
  <c r="AM257" i="10"/>
  <c r="AM260" i="10"/>
  <c r="AM262" i="10"/>
  <c r="AM267" i="10"/>
  <c r="AM273" i="10"/>
  <c r="AM276" i="10"/>
  <c r="AM278" i="10"/>
  <c r="AM283" i="10"/>
  <c r="AM289" i="10"/>
  <c r="AM292" i="10"/>
  <c r="AM294" i="10"/>
  <c r="AM297" i="10"/>
  <c r="AM301" i="10"/>
  <c r="AM305" i="10"/>
  <c r="AM309" i="10"/>
  <c r="AM313" i="10"/>
  <c r="AM317" i="10"/>
  <c r="AM321" i="10"/>
  <c r="AM325" i="10"/>
  <c r="AM329" i="10"/>
  <c r="AM333" i="10"/>
  <c r="AM337" i="10"/>
  <c r="AM341" i="10"/>
  <c r="AM345" i="10"/>
  <c r="AM349" i="10"/>
  <c r="AM353" i="10"/>
  <c r="AM357" i="10"/>
  <c r="AM361" i="10"/>
  <c r="AM365" i="10"/>
  <c r="AM369" i="10"/>
  <c r="AM20" i="10"/>
  <c r="AM39" i="10"/>
  <c r="AM44" i="10"/>
  <c r="AM53" i="10"/>
  <c r="AM60" i="10"/>
  <c r="AM62" i="10"/>
  <c r="AM69" i="10"/>
  <c r="AM76" i="10"/>
  <c r="AM78" i="10"/>
  <c r="AM87" i="10"/>
  <c r="AM89" i="10"/>
  <c r="AM92" i="10"/>
  <c r="AM99" i="10"/>
  <c r="AM101" i="10"/>
  <c r="AM104" i="10"/>
  <c r="AM106" i="10"/>
  <c r="AM109" i="10"/>
  <c r="AM117" i="10"/>
  <c r="AM126" i="10"/>
  <c r="AM129" i="10"/>
  <c r="AM134" i="10"/>
  <c r="AM137" i="10"/>
  <c r="AM142" i="10"/>
  <c r="AM145" i="10"/>
  <c r="AM150" i="10"/>
  <c r="AM153" i="10"/>
  <c r="AM158" i="10"/>
  <c r="AM161" i="10"/>
  <c r="AM166" i="10"/>
  <c r="AM169" i="10"/>
  <c r="AM174" i="10"/>
  <c r="AM177" i="10"/>
  <c r="AM182" i="10"/>
  <c r="AM186" i="10"/>
  <c r="AM193" i="10"/>
  <c r="AM195" i="10"/>
  <c r="AM200" i="10"/>
  <c r="AM205" i="10"/>
  <c r="AM207" i="10"/>
  <c r="AM210" i="10"/>
  <c r="AM212" i="10"/>
  <c r="AM217" i="10"/>
  <c r="AM220" i="10"/>
  <c r="AM231" i="10"/>
  <c r="AM237" i="10"/>
  <c r="AM240" i="10"/>
  <c r="AM242" i="10"/>
  <c r="AM247" i="10"/>
  <c r="AM253" i="10"/>
  <c r="AM256" i="10"/>
  <c r="AM258" i="10"/>
  <c r="AM263" i="10"/>
  <c r="AM269" i="10"/>
  <c r="AM272" i="10"/>
  <c r="AM274" i="10"/>
  <c r="AM279" i="10"/>
  <c r="AM285" i="10"/>
  <c r="AM288" i="10"/>
  <c r="AM290" i="10"/>
  <c r="AM295" i="10"/>
  <c r="AM299" i="10"/>
  <c r="AM303" i="10"/>
  <c r="AM307" i="10"/>
  <c r="AM311" i="10"/>
  <c r="AM315" i="10"/>
  <c r="AM319" i="10"/>
  <c r="AM323" i="10"/>
  <c r="AM327" i="10"/>
  <c r="AM331" i="10"/>
  <c r="AM335" i="10"/>
  <c r="AM339" i="10"/>
  <c r="AM343" i="10"/>
  <c r="AM347" i="10"/>
  <c r="AM351" i="10"/>
  <c r="AM355" i="10"/>
  <c r="AM359" i="10"/>
  <c r="AM363" i="10"/>
  <c r="AM367" i="10"/>
  <c r="AM41" i="10"/>
  <c r="AM51" i="10"/>
  <c r="AM55" i="10"/>
  <c r="AM71" i="10"/>
  <c r="AM90" i="10"/>
  <c r="AM100" i="10"/>
  <c r="AM102" i="10"/>
  <c r="AM105" i="10"/>
  <c r="AM108" i="10"/>
  <c r="AM110" i="10"/>
  <c r="AM116" i="10"/>
  <c r="AM118" i="10"/>
  <c r="AM124" i="10"/>
  <c r="AM132" i="10"/>
  <c r="AM140" i="10"/>
  <c r="AM148" i="10"/>
  <c r="AM156" i="10"/>
  <c r="AM164" i="10"/>
  <c r="AM172" i="10"/>
  <c r="AM180" i="10"/>
  <c r="AM187" i="10"/>
  <c r="AM189" i="10"/>
  <c r="AM191" i="10"/>
  <c r="AM194" i="10"/>
  <c r="AM196" i="10"/>
  <c r="AM206" i="10"/>
  <c r="AM209" i="10"/>
  <c r="AM211" i="10"/>
  <c r="AM215" i="10"/>
  <c r="AM224" i="10"/>
  <c r="AM229" i="10"/>
  <c r="AM232" i="10"/>
  <c r="AM234" i="10"/>
  <c r="AM239" i="10"/>
  <c r="AM245" i="10"/>
  <c r="AM248" i="10"/>
  <c r="AM250" i="10"/>
  <c r="AM255" i="10"/>
  <c r="AM261" i="10"/>
  <c r="AM264" i="10"/>
  <c r="AM266" i="10"/>
  <c r="AM271" i="10"/>
  <c r="AM277" i="10"/>
  <c r="AM280" i="10"/>
  <c r="AM282" i="10"/>
  <c r="AM287" i="10"/>
  <c r="AM293" i="10"/>
  <c r="AM296" i="10"/>
  <c r="AM300" i="10"/>
  <c r="AM304" i="10"/>
  <c r="AM308" i="10"/>
  <c r="AM312" i="10"/>
  <c r="AM316" i="10"/>
  <c r="AM320" i="10"/>
  <c r="AM324" i="10"/>
  <c r="AM332" i="10"/>
  <c r="AM340" i="10"/>
  <c r="AM348" i="10"/>
  <c r="AM356" i="10"/>
  <c r="AM364" i="10"/>
  <c r="AM372" i="10"/>
  <c r="AM380" i="10"/>
  <c r="AM388" i="10"/>
  <c r="AM396" i="10"/>
  <c r="AM404" i="10"/>
  <c r="AM410" i="10"/>
  <c r="AM414" i="10"/>
  <c r="AM418" i="10"/>
  <c r="AM422" i="10"/>
  <c r="AM426" i="10"/>
  <c r="AM430" i="10"/>
  <c r="AM434" i="10"/>
  <c r="AM438" i="10"/>
  <c r="AM442" i="10"/>
  <c r="AM446" i="10"/>
  <c r="AM22" i="10"/>
  <c r="AM64" i="10"/>
  <c r="AM97" i="10"/>
  <c r="AM107" i="10"/>
  <c r="AM127" i="10"/>
  <c r="AM135" i="10"/>
  <c r="AM143" i="10"/>
  <c r="AM151" i="10"/>
  <c r="AM159" i="10"/>
  <c r="AM167" i="10"/>
  <c r="AM175" i="10"/>
  <c r="AM183" i="10"/>
  <c r="AM190" i="10"/>
  <c r="AM197" i="10"/>
  <c r="AM204" i="10"/>
  <c r="AM218" i="10"/>
  <c r="AM225" i="10"/>
  <c r="AM233" i="10"/>
  <c r="AM243" i="10"/>
  <c r="AM252" i="10"/>
  <c r="AM270" i="10"/>
  <c r="AM298" i="10"/>
  <c r="AM306" i="10"/>
  <c r="AM314" i="10"/>
  <c r="AM322" i="10"/>
  <c r="AM330" i="10"/>
  <c r="AM338" i="10"/>
  <c r="AM346" i="10"/>
  <c r="AM354" i="10"/>
  <c r="AM362" i="10"/>
  <c r="AM412" i="10"/>
  <c r="AM420" i="10"/>
  <c r="AM428" i="10"/>
  <c r="AM436" i="10"/>
  <c r="AM444" i="10"/>
  <c r="AM451" i="10"/>
  <c r="AM455" i="10"/>
  <c r="AM459" i="10"/>
  <c r="AM463" i="10"/>
  <c r="AM467" i="10"/>
  <c r="AM471" i="10"/>
  <c r="AM475" i="10"/>
  <c r="AM479" i="10"/>
  <c r="AM483" i="10"/>
  <c r="AM487" i="10"/>
  <c r="AM491" i="10"/>
  <c r="AM495" i="10"/>
  <c r="AM499" i="10"/>
  <c r="AM503" i="10"/>
  <c r="AM507" i="10"/>
  <c r="AM511" i="10"/>
  <c r="AM515" i="10"/>
  <c r="AM519" i="10"/>
  <c r="AM523" i="10"/>
  <c r="AM527" i="10"/>
  <c r="AM531" i="10"/>
  <c r="AM535" i="10"/>
  <c r="AM539" i="10"/>
  <c r="AM543" i="10"/>
  <c r="AM547" i="10"/>
  <c r="AM551" i="10"/>
  <c r="AM559" i="10"/>
  <c r="AM57" i="10"/>
  <c r="AM123" i="10"/>
  <c r="AM163" i="10"/>
  <c r="AM179" i="10"/>
  <c r="AM238" i="10"/>
  <c r="AM284" i="10"/>
  <c r="AM318" i="10"/>
  <c r="AM342" i="10"/>
  <c r="AM366" i="10"/>
  <c r="AM400" i="10"/>
  <c r="AM432" i="10"/>
  <c r="AM448" i="10"/>
  <c r="AM458" i="10"/>
  <c r="AM470" i="10"/>
  <c r="AM482" i="10"/>
  <c r="AM490" i="10"/>
  <c r="AM506" i="10"/>
  <c r="AM522" i="10"/>
  <c r="AM534" i="10"/>
  <c r="AM546" i="10"/>
  <c r="AM558" i="10"/>
  <c r="AM32" i="10"/>
  <c r="AM54" i="10"/>
  <c r="AM67" i="10"/>
  <c r="AM121" i="10"/>
  <c r="AM185" i="10"/>
  <c r="AM192" i="10"/>
  <c r="AM199" i="10"/>
  <c r="AM227" i="10"/>
  <c r="AM236" i="10"/>
  <c r="AM254" i="10"/>
  <c r="AM281" i="10"/>
  <c r="AM291" i="10"/>
  <c r="AM370" i="10"/>
  <c r="AM373" i="10"/>
  <c r="AM375" i="10"/>
  <c r="AM378" i="10"/>
  <c r="AM381" i="10"/>
  <c r="AM383" i="10"/>
  <c r="AM386" i="10"/>
  <c r="AM389" i="10"/>
  <c r="AM391" i="10"/>
  <c r="AM394" i="10"/>
  <c r="AM397" i="10"/>
  <c r="AM399" i="10"/>
  <c r="AM402" i="10"/>
  <c r="AM405" i="10"/>
  <c r="AM407" i="10"/>
  <c r="AM413" i="10"/>
  <c r="AM415" i="10"/>
  <c r="AM421" i="10"/>
  <c r="AM423" i="10"/>
  <c r="AM429" i="10"/>
  <c r="AM431" i="10"/>
  <c r="AM437" i="10"/>
  <c r="AM439" i="10"/>
  <c r="AM445" i="10"/>
  <c r="AM447" i="10"/>
  <c r="AM452" i="10"/>
  <c r="AM456" i="10"/>
  <c r="AM460" i="10"/>
  <c r="AM464" i="10"/>
  <c r="AM468" i="10"/>
  <c r="AM472" i="10"/>
  <c r="AM476" i="10"/>
  <c r="AM480" i="10"/>
  <c r="AM484" i="10"/>
  <c r="AM488" i="10"/>
  <c r="AM492" i="10"/>
  <c r="AM496" i="10"/>
  <c r="AM500" i="10"/>
  <c r="AM504" i="10"/>
  <c r="AM508" i="10"/>
  <c r="AM512" i="10"/>
  <c r="AM516" i="10"/>
  <c r="AM520" i="10"/>
  <c r="AM524" i="10"/>
  <c r="AM528" i="10"/>
  <c r="AM532" i="10"/>
  <c r="AM536" i="10"/>
  <c r="AM540" i="10"/>
  <c r="AM544" i="10"/>
  <c r="AM548" i="10"/>
  <c r="AM552" i="10"/>
  <c r="AM556" i="10"/>
  <c r="AM83" i="10"/>
  <c r="AM131" i="10"/>
  <c r="AM155" i="10"/>
  <c r="AM222" i="10"/>
  <c r="AM275" i="10"/>
  <c r="AM310" i="10"/>
  <c r="AM334" i="10"/>
  <c r="AM358" i="10"/>
  <c r="AM384" i="10"/>
  <c r="AM408" i="10"/>
  <c r="AM424" i="10"/>
  <c r="AM440" i="10"/>
  <c r="AM454" i="10"/>
  <c r="AM466" i="10"/>
  <c r="AM478" i="10"/>
  <c r="AM494" i="10"/>
  <c r="AM502" i="10"/>
  <c r="AM514" i="10"/>
  <c r="AM530" i="10"/>
  <c r="AM538" i="10"/>
  <c r="AM554" i="10"/>
  <c r="AM73" i="10"/>
  <c r="AM85" i="10"/>
  <c r="AM94" i="10"/>
  <c r="AM115" i="10"/>
  <c r="AM125" i="10"/>
  <c r="AM133" i="10"/>
  <c r="AM141" i="10"/>
  <c r="AM149" i="10"/>
  <c r="AM157" i="10"/>
  <c r="AM165" i="10"/>
  <c r="AM173" i="10"/>
  <c r="AM181" i="10"/>
  <c r="AM202" i="10"/>
  <c r="AM216" i="10"/>
  <c r="AM249" i="10"/>
  <c r="AM259" i="10"/>
  <c r="AM268" i="10"/>
  <c r="AM286" i="10"/>
  <c r="AM328" i="10"/>
  <c r="AM336" i="10"/>
  <c r="AM344" i="10"/>
  <c r="AM352" i="10"/>
  <c r="AM360" i="10"/>
  <c r="AM368" i="10"/>
  <c r="AM371" i="10"/>
  <c r="AM374" i="10"/>
  <c r="AM377" i="10"/>
  <c r="AM379" i="10"/>
  <c r="AM382" i="10"/>
  <c r="AM385" i="10"/>
  <c r="AM387" i="10"/>
  <c r="AM390" i="10"/>
  <c r="AM393" i="10"/>
  <c r="AM395" i="10"/>
  <c r="AM398" i="10"/>
  <c r="AM401" i="10"/>
  <c r="AM403" i="10"/>
  <c r="AM406" i="10"/>
  <c r="AM409" i="10"/>
  <c r="AM411" i="10"/>
  <c r="AM417" i="10"/>
  <c r="AM419" i="10"/>
  <c r="AM425" i="10"/>
  <c r="AM427" i="10"/>
  <c r="AM433" i="10"/>
  <c r="AM435" i="10"/>
  <c r="AM441" i="10"/>
  <c r="AM443" i="10"/>
  <c r="AM449" i="10"/>
  <c r="AM453" i="10"/>
  <c r="AM457" i="10"/>
  <c r="AM461" i="10"/>
  <c r="AM465" i="10"/>
  <c r="AM469" i="10"/>
  <c r="AM473" i="10"/>
  <c r="AM477" i="10"/>
  <c r="AM481" i="10"/>
  <c r="AM485" i="10"/>
  <c r="AM489" i="10"/>
  <c r="AM493" i="10"/>
  <c r="AM497" i="10"/>
  <c r="AM501" i="10"/>
  <c r="AM505" i="10"/>
  <c r="AM509" i="10"/>
  <c r="AM513" i="10"/>
  <c r="AM517" i="10"/>
  <c r="AM521" i="10"/>
  <c r="AM525" i="10"/>
  <c r="AM529" i="10"/>
  <c r="AM533" i="10"/>
  <c r="AM537" i="10"/>
  <c r="AM541" i="10"/>
  <c r="AM545" i="10"/>
  <c r="AM549" i="10"/>
  <c r="AM553" i="10"/>
  <c r="AM557" i="10"/>
  <c r="AM555" i="10"/>
  <c r="AM560" i="10"/>
  <c r="AM113" i="10"/>
  <c r="AM139" i="10"/>
  <c r="AM147" i="10"/>
  <c r="AM171" i="10"/>
  <c r="AM214" i="10"/>
  <c r="AM265" i="10"/>
  <c r="AM302" i="10"/>
  <c r="AM326" i="10"/>
  <c r="AM350" i="10"/>
  <c r="AM376" i="10"/>
  <c r="AM392" i="10"/>
  <c r="AM416" i="10"/>
  <c r="AM450" i="10"/>
  <c r="AM462" i="10"/>
  <c r="AM474" i="10"/>
  <c r="AM486" i="10"/>
  <c r="AM498" i="10"/>
  <c r="AM510" i="10"/>
  <c r="AM518" i="10"/>
  <c r="AM526" i="10"/>
  <c r="AM542" i="10"/>
  <c r="AM550" i="10"/>
  <c r="AL288" i="10"/>
  <c r="AK105" i="10" l="1"/>
  <c r="AL473" i="10"/>
  <c r="AL152" i="10"/>
  <c r="AL353" i="10"/>
  <c r="AL465" i="10"/>
  <c r="AL209" i="10"/>
  <c r="AL458" i="10"/>
  <c r="AK490" i="10"/>
  <c r="AL79" i="10"/>
  <c r="AL341" i="10"/>
  <c r="AL309" i="10"/>
  <c r="AK551" i="10"/>
  <c r="AL119" i="10"/>
  <c r="AK453" i="10"/>
  <c r="AK294" i="10"/>
  <c r="AK399" i="10"/>
  <c r="AK210" i="10"/>
  <c r="AL379" i="10"/>
  <c r="AK188" i="10"/>
  <c r="AK357" i="10"/>
  <c r="AK53" i="10"/>
  <c r="AL124" i="10"/>
  <c r="AL69" i="10"/>
  <c r="AL183" i="10"/>
  <c r="AL471" i="10"/>
  <c r="AK149" i="10"/>
  <c r="AL284" i="10"/>
  <c r="AL442" i="10"/>
  <c r="AL554" i="10"/>
  <c r="AL243" i="10"/>
  <c r="AK101" i="10"/>
  <c r="AK360" i="10"/>
  <c r="AL28" i="10"/>
  <c r="AK268" i="10"/>
  <c r="AL516" i="10"/>
  <c r="AK405" i="10"/>
  <c r="AL318" i="10"/>
  <c r="AL535" i="10"/>
  <c r="AL172" i="10"/>
  <c r="AL44" i="10"/>
  <c r="AK322" i="10"/>
  <c r="AK506" i="10"/>
  <c r="AL123" i="10"/>
  <c r="AL411" i="10"/>
  <c r="AL236" i="10"/>
  <c r="AK150" i="10"/>
  <c r="AL85" i="10"/>
  <c r="AK215" i="10"/>
  <c r="AL66" i="10"/>
  <c r="AL158" i="10"/>
  <c r="AK21" i="10"/>
  <c r="AL343" i="10"/>
  <c r="AL55" i="10"/>
  <c r="AK202" i="10"/>
  <c r="AK23" i="10"/>
  <c r="AK251" i="10"/>
  <c r="AK389" i="10"/>
  <c r="AK92" i="10"/>
  <c r="AL484" i="10"/>
  <c r="AK510" i="10"/>
  <c r="AL510" i="10"/>
  <c r="AK126" i="10"/>
  <c r="AL126" i="10"/>
  <c r="AK191" i="10"/>
  <c r="AL191" i="10"/>
  <c r="AL128" i="10"/>
  <c r="AK128" i="10"/>
  <c r="AL57" i="10"/>
  <c r="AK57" i="10"/>
  <c r="AL139" i="10"/>
  <c r="AK139" i="10"/>
  <c r="AL533" i="10"/>
  <c r="AK533" i="10"/>
  <c r="AL553" i="10"/>
  <c r="AK553" i="10"/>
  <c r="AK548" i="10"/>
  <c r="AL548" i="10"/>
  <c r="AK314" i="10"/>
  <c r="AL314" i="10"/>
  <c r="AK450" i="10"/>
  <c r="AL450" i="10"/>
  <c r="AL428" i="10"/>
  <c r="AK428" i="10"/>
  <c r="AK386" i="10"/>
  <c r="AL386" i="10"/>
  <c r="AK403" i="10"/>
  <c r="AL403" i="10"/>
  <c r="AK115" i="10"/>
  <c r="AL115" i="10"/>
  <c r="AL469" i="10"/>
  <c r="AK469" i="10"/>
  <c r="AL437" i="10"/>
  <c r="AK437" i="10"/>
  <c r="AL325" i="10"/>
  <c r="AK325" i="10"/>
  <c r="AL151" i="10"/>
  <c r="AK151" i="10"/>
  <c r="AK87" i="10"/>
  <c r="AL87" i="10"/>
  <c r="AL220" i="10"/>
  <c r="AK220" i="10"/>
  <c r="AK76" i="10"/>
  <c r="AL76" i="10"/>
  <c r="AL277" i="10"/>
  <c r="AK277" i="10"/>
  <c r="AL229" i="10"/>
  <c r="AK229" i="10"/>
  <c r="AK181" i="10"/>
  <c r="AL181" i="10"/>
  <c r="AK165" i="10"/>
  <c r="AL165" i="10"/>
  <c r="AK37" i="10"/>
  <c r="AL37" i="10"/>
  <c r="AK487" i="10"/>
  <c r="AK133" i="10"/>
  <c r="AK252" i="10"/>
  <c r="AK78" i="10"/>
  <c r="AK166" i="10"/>
  <c r="AK382" i="10"/>
  <c r="AL197" i="10"/>
  <c r="AL247" i="10"/>
  <c r="AL407" i="10"/>
  <c r="AK373" i="10"/>
  <c r="AL108" i="10"/>
  <c r="AL117" i="10"/>
  <c r="AK74" i="10"/>
  <c r="AL290" i="10"/>
  <c r="AL522" i="10"/>
  <c r="AK213" i="10"/>
  <c r="AL307" i="10"/>
  <c r="AL467" i="10"/>
  <c r="AL424" i="10"/>
  <c r="AK421" i="10"/>
  <c r="AL38" i="10"/>
  <c r="AK156" i="10"/>
  <c r="AL356" i="10"/>
  <c r="AL503" i="10"/>
  <c r="AK261" i="10"/>
  <c r="AK110" i="10"/>
  <c r="AL286" i="10"/>
  <c r="AL446" i="10"/>
  <c r="AK279" i="10"/>
  <c r="AL519" i="10"/>
  <c r="AL30" i="10"/>
  <c r="AK140" i="10"/>
  <c r="AL245" i="10"/>
  <c r="AL497" i="10"/>
  <c r="AL82" i="10"/>
  <c r="AK538" i="10"/>
  <c r="AL293" i="10"/>
  <c r="AK235" i="10"/>
  <c r="AK339" i="10"/>
  <c r="AL536" i="10"/>
  <c r="AL60" i="10"/>
  <c r="AL204" i="10"/>
  <c r="AK364" i="10"/>
  <c r="AL185" i="10"/>
  <c r="AK48" i="10"/>
  <c r="AK430" i="10"/>
  <c r="AK377" i="10"/>
  <c r="AK366" i="10"/>
  <c r="AK153" i="10"/>
  <c r="AK281" i="10"/>
  <c r="AK91" i="10"/>
  <c r="AK262" i="10"/>
  <c r="AK137" i="10"/>
  <c r="AL89" i="10"/>
  <c r="AL409" i="10"/>
  <c r="AK523" i="10"/>
  <c r="AK121" i="10"/>
  <c r="AK64" i="10"/>
  <c r="AL224" i="10"/>
  <c r="AL73" i="10"/>
  <c r="AK41" i="10"/>
  <c r="AL323" i="10"/>
  <c r="AK160" i="10"/>
  <c r="AL492" i="10"/>
  <c r="AK492" i="10"/>
  <c r="AK542" i="10"/>
  <c r="AL542" i="10"/>
  <c r="AL391" i="10"/>
  <c r="AK391" i="10"/>
  <c r="AL219" i="10"/>
  <c r="AK219" i="10"/>
  <c r="AK134" i="10"/>
  <c r="AL134" i="10"/>
  <c r="AK555" i="10"/>
  <c r="AL555" i="10"/>
  <c r="AL408" i="10"/>
  <c r="AK408" i="10"/>
  <c r="AL240" i="10"/>
  <c r="AK240" i="10"/>
  <c r="AK494" i="10"/>
  <c r="AK223" i="10"/>
  <c r="AL169" i="10"/>
  <c r="AL258" i="10"/>
  <c r="AL265" i="10"/>
  <c r="AK393" i="10"/>
  <c r="AK457" i="10"/>
  <c r="AL95" i="10"/>
  <c r="AK315" i="10"/>
  <c r="AK451" i="10"/>
  <c r="AK507" i="10"/>
  <c r="AK201" i="10"/>
  <c r="AL361" i="10"/>
  <c r="AK50" i="10"/>
  <c r="AL112" i="10"/>
  <c r="AK416" i="10"/>
  <c r="AL488" i="10"/>
  <c r="AL452" i="10"/>
  <c r="AK452" i="10"/>
  <c r="AK254" i="10"/>
  <c r="AL254" i="10"/>
  <c r="AK170" i="10"/>
  <c r="AL170" i="10"/>
  <c r="AL312" i="10"/>
  <c r="AK312" i="10"/>
  <c r="AK63" i="10"/>
  <c r="AL63" i="10"/>
  <c r="AL272" i="10"/>
  <c r="AK272" i="10"/>
  <c r="AK208" i="10"/>
  <c r="AL208" i="10"/>
  <c r="AL217" i="10"/>
  <c r="AK217" i="10"/>
  <c r="AK552" i="10"/>
  <c r="AL552" i="10"/>
  <c r="AL526" i="10"/>
  <c r="AK526" i="10"/>
  <c r="AL476" i="10"/>
  <c r="AK476" i="10"/>
  <c r="AK434" i="10"/>
  <c r="AL434" i="10"/>
  <c r="AK387" i="10"/>
  <c r="AL387" i="10"/>
  <c r="AK176" i="10"/>
  <c r="AL176" i="10"/>
  <c r="AL297" i="10"/>
  <c r="AK297" i="10"/>
  <c r="AL455" i="10"/>
  <c r="AK233" i="10"/>
  <c r="AK313" i="10"/>
  <c r="AK558" i="10"/>
  <c r="AK249" i="10"/>
  <c r="AL159" i="10"/>
  <c r="AK287" i="10"/>
  <c r="AK367" i="10"/>
  <c r="AL162" i="10"/>
  <c r="AK298" i="10"/>
  <c r="AL410" i="10"/>
  <c r="AK425" i="10"/>
  <c r="AL32" i="10"/>
  <c r="AL171" i="10"/>
  <c r="AK539" i="10"/>
  <c r="AL25" i="10"/>
  <c r="AL80" i="10"/>
  <c r="AL144" i="10"/>
  <c r="AL192" i="10"/>
  <c r="AK256" i="10"/>
  <c r="AK344" i="10"/>
  <c r="AL368" i="10"/>
  <c r="AL31" i="10"/>
  <c r="AK86" i="10"/>
  <c r="AL127" i="10"/>
  <c r="AK255" i="10"/>
  <c r="AL303" i="10"/>
  <c r="AK329" i="10"/>
  <c r="AL178" i="10"/>
  <c r="AL370" i="10"/>
  <c r="AL345" i="10"/>
  <c r="AL441" i="10"/>
  <c r="AK83" i="10"/>
  <c r="AL211" i="10"/>
  <c r="AK491" i="10"/>
  <c r="AL42" i="10"/>
  <c r="AK96" i="10"/>
  <c r="AK400" i="10"/>
  <c r="AL472" i="10"/>
  <c r="AK412" i="10"/>
  <c r="AK142" i="10"/>
  <c r="AK528" i="10"/>
  <c r="AL556" i="10"/>
  <c r="AK331" i="10"/>
  <c r="AK19" i="10"/>
  <c r="AL324" i="10"/>
  <c r="AL348" i="10"/>
  <c r="AK374" i="10"/>
  <c r="AK327" i="10"/>
  <c r="AK404" i="10"/>
  <c r="AK347" i="10"/>
  <c r="AL19" i="10"/>
  <c r="AK276" i="10"/>
  <c r="AK182" i="10"/>
  <c r="AK90" i="10"/>
  <c r="AK521" i="10"/>
  <c r="AL415" i="10"/>
  <c r="AK524" i="10"/>
  <c r="AL306" i="10"/>
  <c r="AK237" i="10"/>
  <c r="AL496" i="10"/>
  <c r="AK560" i="10"/>
  <c r="AL109" i="10"/>
  <c r="AK349" i="10"/>
  <c r="AL546" i="10"/>
  <c r="AL99" i="10"/>
  <c r="AK493" i="10"/>
  <c r="AL270" i="10"/>
  <c r="AK549" i="10"/>
  <c r="AL319" i="10"/>
  <c r="AL375" i="10"/>
  <c r="AK485" i="10"/>
  <c r="AK529" i="10"/>
  <c r="AL186" i="10"/>
  <c r="AL459" i="10"/>
  <c r="AK300" i="10"/>
  <c r="AK285" i="10"/>
  <c r="AK154" i="10"/>
  <c r="AK330" i="10"/>
  <c r="AL206" i="10"/>
  <c r="AL54" i="10"/>
  <c r="AK94" i="10"/>
  <c r="AL77" i="10"/>
  <c r="AL414" i="10"/>
  <c r="AK125" i="10"/>
  <c r="AK541" i="10"/>
  <c r="AL363" i="10"/>
  <c r="AK141" i="10"/>
  <c r="AL100" i="10"/>
  <c r="AL103" i="10"/>
  <c r="AL196" i="10"/>
  <c r="AK45" i="10"/>
  <c r="AL427" i="10"/>
  <c r="AK537" i="10"/>
  <c r="AL500" i="10"/>
  <c r="AK226" i="10"/>
  <c r="AK525" i="10"/>
  <c r="AK35" i="10"/>
  <c r="AL384" i="10"/>
  <c r="AL164" i="10"/>
  <c r="AL71" i="10"/>
  <c r="AL439" i="10"/>
  <c r="AL68" i="10"/>
  <c r="AK260" i="10"/>
  <c r="AL530" i="10"/>
  <c r="AK174" i="10"/>
  <c r="AK342" i="10"/>
  <c r="AL470" i="10"/>
  <c r="AL231" i="10"/>
  <c r="AL301" i="10"/>
  <c r="AK559" i="10"/>
  <c r="AL436" i="10"/>
  <c r="AL221" i="10"/>
  <c r="AL418" i="10"/>
  <c r="AL482" i="10"/>
  <c r="AK195" i="10"/>
  <c r="AL512" i="10"/>
  <c r="AL46" i="10"/>
  <c r="AK502" i="10"/>
  <c r="AK259" i="10"/>
  <c r="AL27" i="10"/>
  <c r="AK308" i="10"/>
  <c r="AK271" i="10"/>
  <c r="AK40" i="10"/>
  <c r="AL49" i="10"/>
  <c r="AK114" i="10"/>
  <c r="AL346" i="10"/>
  <c r="AK227" i="10"/>
  <c r="AL355" i="10"/>
  <c r="AL43" i="10"/>
  <c r="AK334" i="10"/>
  <c r="AK398" i="10"/>
  <c r="AK438" i="10"/>
  <c r="AK175" i="10"/>
  <c r="AK557" i="10"/>
  <c r="AL326" i="10"/>
  <c r="AK326" i="10"/>
  <c r="AK267" i="10"/>
  <c r="AL267" i="10"/>
  <c r="AL520" i="10"/>
  <c r="AK520" i="10"/>
  <c r="AK75" i="10"/>
  <c r="AL75" i="10"/>
  <c r="AL443" i="10"/>
  <c r="AK443" i="10"/>
  <c r="AK67" i="10"/>
  <c r="AL67" i="10"/>
  <c r="AL513" i="10"/>
  <c r="AK513" i="10"/>
  <c r="AK352" i="10"/>
  <c r="AL352" i="10"/>
  <c r="AL508" i="10"/>
  <c r="AK508" i="10"/>
  <c r="AK388" i="10"/>
  <c r="AL388" i="10"/>
  <c r="AK444" i="10"/>
  <c r="AL444" i="10"/>
  <c r="AL242" i="10"/>
  <c r="AK242" i="10"/>
  <c r="AK531" i="10"/>
  <c r="AL531" i="10"/>
  <c r="AL499" i="10"/>
  <c r="AK499" i="10"/>
  <c r="AL62" i="10"/>
  <c r="AK62" i="10"/>
  <c r="AK401" i="10"/>
  <c r="AL401" i="10"/>
  <c r="AL369" i="10"/>
  <c r="AK369" i="10"/>
  <c r="AL321" i="10"/>
  <c r="AK321" i="10"/>
  <c r="AL296" i="10"/>
  <c r="AK296" i="10"/>
  <c r="AL264" i="10"/>
  <c r="AK264" i="10"/>
  <c r="AL232" i="10"/>
  <c r="AK232" i="10"/>
  <c r="AK200" i="10"/>
  <c r="AL200" i="10"/>
  <c r="AK184" i="10"/>
  <c r="AL184" i="10"/>
  <c r="AK168" i="10"/>
  <c r="AL168" i="10"/>
  <c r="AK136" i="10"/>
  <c r="AL136" i="10"/>
  <c r="AK120" i="10"/>
  <c r="AL120" i="10"/>
  <c r="AK104" i="10"/>
  <c r="AL104" i="10"/>
  <c r="AK72" i="10"/>
  <c r="AL72" i="10"/>
  <c r="AK56" i="10"/>
  <c r="AL56" i="10"/>
  <c r="AL305" i="10"/>
  <c r="AK305" i="10"/>
  <c r="AL289" i="10"/>
  <c r="AK289" i="10"/>
  <c r="AK193" i="10"/>
  <c r="AL193" i="10"/>
  <c r="AK145" i="10"/>
  <c r="AL145" i="10"/>
  <c r="AK97" i="10"/>
  <c r="AL97" i="10"/>
  <c r="AK33" i="10"/>
  <c r="AL33" i="10"/>
  <c r="AL475" i="10"/>
  <c r="AK475" i="10"/>
  <c r="AK246" i="10"/>
  <c r="AL246" i="10"/>
  <c r="AK358" i="10"/>
  <c r="AL358" i="10"/>
  <c r="AL545" i="10"/>
  <c r="AK545" i="10"/>
  <c r="AK480" i="10"/>
  <c r="AL480" i="10"/>
  <c r="AK395" i="10"/>
  <c r="AL395" i="10"/>
  <c r="AK540" i="10"/>
  <c r="AL540" i="10"/>
  <c r="AL431" i="10"/>
  <c r="AK431" i="10"/>
  <c r="AK466" i="10"/>
  <c r="AL466" i="10"/>
  <c r="AK155" i="10"/>
  <c r="AL155" i="10"/>
  <c r="AK547" i="10"/>
  <c r="AL547" i="10"/>
  <c r="AK515" i="10"/>
  <c r="AL515" i="10"/>
  <c r="AK483" i="10"/>
  <c r="AL483" i="10"/>
  <c r="AL419" i="10"/>
  <c r="AK419" i="10"/>
  <c r="AK106" i="10"/>
  <c r="AL106" i="10"/>
  <c r="AL449" i="10"/>
  <c r="AK449" i="10"/>
  <c r="AL385" i="10"/>
  <c r="AK385" i="10"/>
  <c r="AK337" i="10"/>
  <c r="AL337" i="10"/>
  <c r="AK302" i="10"/>
  <c r="AL302" i="10"/>
  <c r="AK239" i="10"/>
  <c r="AL239" i="10"/>
  <c r="AL248" i="10"/>
  <c r="AK248" i="10"/>
  <c r="AK70" i="10"/>
  <c r="AL214" i="10"/>
  <c r="AK486" i="10"/>
  <c r="AL550" i="10"/>
  <c r="AK481" i="10"/>
  <c r="AK207" i="10"/>
  <c r="AL447" i="10"/>
  <c r="AK316" i="10"/>
  <c r="AK362" i="10"/>
  <c r="AL474" i="10"/>
  <c r="AK275" i="10"/>
  <c r="AK216" i="10"/>
  <c r="AL376" i="10"/>
  <c r="AK190" i="10"/>
  <c r="AL238" i="10"/>
  <c r="AK534" i="10"/>
  <c r="AL417" i="10"/>
  <c r="AK517" i="10"/>
  <c r="AL111" i="10"/>
  <c r="AL359" i="10"/>
  <c r="AL58" i="10"/>
  <c r="AK130" i="10"/>
  <c r="AL234" i="10"/>
  <c r="AL402" i="10"/>
  <c r="AK24" i="10"/>
  <c r="AK147" i="10"/>
  <c r="AL283" i="10"/>
  <c r="AK280" i="10"/>
  <c r="AK380" i="10"/>
  <c r="AL129" i="10"/>
  <c r="AK198" i="10"/>
  <c r="AK462" i="10"/>
  <c r="AK518" i="10"/>
  <c r="AL433" i="10"/>
  <c r="AL143" i="10"/>
  <c r="AL311" i="10"/>
  <c r="AL423" i="10"/>
  <c r="AK47" i="10"/>
  <c r="AL372" i="10"/>
  <c r="AK98" i="10"/>
  <c r="AL338" i="10"/>
  <c r="AK509" i="10"/>
  <c r="AL299" i="10"/>
  <c r="AK257" i="10"/>
  <c r="AL88" i="10"/>
  <c r="AK440" i="10"/>
  <c r="AK498" i="10"/>
  <c r="AL498" i="10"/>
  <c r="AL332" i="10"/>
  <c r="AK332" i="10"/>
  <c r="AK274" i="10"/>
  <c r="AL274" i="10"/>
  <c r="AL187" i="10"/>
  <c r="AK187" i="10"/>
  <c r="AK295" i="10"/>
  <c r="AL295" i="10"/>
  <c r="AL167" i="10"/>
  <c r="AK167" i="10"/>
  <c r="AK52" i="10"/>
  <c r="AL52" i="10"/>
  <c r="AL543" i="10"/>
  <c r="AK269" i="10"/>
  <c r="AK460" i="10"/>
  <c r="AL157" i="10"/>
  <c r="AL205" i="10"/>
  <c r="AK429" i="10"/>
  <c r="AK505" i="10"/>
  <c r="AL350" i="10"/>
  <c r="AL390" i="10"/>
  <c r="AK422" i="10"/>
  <c r="AK135" i="10"/>
  <c r="AL463" i="10"/>
  <c r="AL93" i="10"/>
  <c r="AL189" i="10"/>
  <c r="AK22" i="10"/>
  <c r="AK340" i="10"/>
  <c r="AK61" i="10"/>
  <c r="AL122" i="10"/>
  <c r="AL426" i="10"/>
  <c r="AK514" i="10"/>
  <c r="AL291" i="10"/>
  <c r="AL34" i="10"/>
  <c r="AK328" i="10"/>
  <c r="AK392" i="10"/>
  <c r="AK456" i="10"/>
  <c r="AL173" i="10"/>
  <c r="AK253" i="10"/>
  <c r="AK26" i="10"/>
  <c r="AK107" i="10"/>
  <c r="AL107" i="10"/>
  <c r="AK146" i="10"/>
  <c r="AL146" i="10"/>
  <c r="AK478" i="10"/>
  <c r="AL478" i="10"/>
  <c r="AK396" i="10"/>
  <c r="AK461" i="10"/>
  <c r="AL222" i="10"/>
  <c r="AL501" i="10"/>
  <c r="AL199" i="10"/>
  <c r="AL263" i="10"/>
  <c r="AL351" i="10"/>
  <c r="AL495" i="10"/>
  <c r="AK397" i="10"/>
  <c r="AL51" i="10"/>
  <c r="AK194" i="10"/>
  <c r="AL354" i="10"/>
  <c r="AK203" i="10"/>
  <c r="AK29" i="10"/>
  <c r="AL336" i="10"/>
  <c r="AK432" i="10"/>
  <c r="AK504" i="10"/>
  <c r="AN498" i="10"/>
  <c r="AO498" i="10"/>
  <c r="AO214" i="10"/>
  <c r="AN214" i="10"/>
  <c r="AO113" i="10"/>
  <c r="AN113" i="10"/>
  <c r="AN521" i="10"/>
  <c r="AO521" i="10"/>
  <c r="AN473" i="10"/>
  <c r="AO473" i="10"/>
  <c r="AN457" i="10"/>
  <c r="AO457" i="10"/>
  <c r="AN409" i="10"/>
  <c r="AO409" i="10"/>
  <c r="AN398" i="10"/>
  <c r="AO398" i="10"/>
  <c r="AO360" i="10"/>
  <c r="AN360" i="10"/>
  <c r="AO173" i="10"/>
  <c r="AN173" i="10"/>
  <c r="AO141" i="10"/>
  <c r="AN141" i="10"/>
  <c r="AN494" i="10"/>
  <c r="AO494" i="10"/>
  <c r="AO440" i="10"/>
  <c r="AN440" i="10"/>
  <c r="AO556" i="10"/>
  <c r="AN556" i="10"/>
  <c r="AO508" i="10"/>
  <c r="AN508" i="10"/>
  <c r="AO492" i="10"/>
  <c r="AN492" i="10"/>
  <c r="AO445" i="10"/>
  <c r="AN445" i="10"/>
  <c r="AO413" i="10"/>
  <c r="AN413" i="10"/>
  <c r="AO389" i="10"/>
  <c r="AN389" i="10"/>
  <c r="AO227" i="10"/>
  <c r="AN227" i="10"/>
  <c r="AO121" i="10"/>
  <c r="AN121" i="10"/>
  <c r="AN458" i="10"/>
  <c r="AO458" i="10"/>
  <c r="AO238" i="10"/>
  <c r="AN238" i="10"/>
  <c r="AN543" i="10"/>
  <c r="AO543" i="10"/>
  <c r="AN495" i="10"/>
  <c r="AO495" i="10"/>
  <c r="AN463" i="10"/>
  <c r="AO463" i="10"/>
  <c r="AO412" i="10"/>
  <c r="AN412" i="10"/>
  <c r="AO243" i="10"/>
  <c r="AN243" i="10"/>
  <c r="AO175" i="10"/>
  <c r="AN175" i="10"/>
  <c r="AO97" i="10"/>
  <c r="AN97" i="10"/>
  <c r="AN426" i="10"/>
  <c r="AO426" i="10"/>
  <c r="AO348" i="10"/>
  <c r="AN348" i="10"/>
  <c r="AN304" i="10"/>
  <c r="AO304" i="10"/>
  <c r="AN271" i="10"/>
  <c r="AO271" i="10"/>
  <c r="AN239" i="10"/>
  <c r="AO239" i="10"/>
  <c r="AN189" i="10"/>
  <c r="AO189" i="10"/>
  <c r="AN132" i="10"/>
  <c r="AO132" i="10"/>
  <c r="AN100" i="10"/>
  <c r="AO100" i="10"/>
  <c r="AN359" i="10"/>
  <c r="AO359" i="10"/>
  <c r="AN311" i="10"/>
  <c r="AO311" i="10"/>
  <c r="AN279" i="10"/>
  <c r="AO279" i="10"/>
  <c r="AN247" i="10"/>
  <c r="AO247" i="10"/>
  <c r="AO210" i="10"/>
  <c r="AN210" i="10"/>
  <c r="AO177" i="10"/>
  <c r="AN177" i="10"/>
  <c r="AO129" i="10"/>
  <c r="AN129" i="10"/>
  <c r="AO92" i="10"/>
  <c r="AN92" i="10"/>
  <c r="AO53" i="10"/>
  <c r="AN53" i="10"/>
  <c r="AN353" i="10"/>
  <c r="AO353" i="10"/>
  <c r="AO305" i="10"/>
  <c r="AN305" i="10"/>
  <c r="AN276" i="10"/>
  <c r="AO276" i="10"/>
  <c r="AN244" i="10"/>
  <c r="AO244" i="10"/>
  <c r="AO219" i="10"/>
  <c r="AN219" i="10"/>
  <c r="AN178" i="10"/>
  <c r="AO178" i="10"/>
  <c r="AN130" i="10"/>
  <c r="AO130" i="10"/>
  <c r="AN84" i="10"/>
  <c r="AO84" i="10"/>
  <c r="AN122" i="10"/>
  <c r="AO122" i="10"/>
  <c r="AO80" i="10"/>
  <c r="AN80" i="10"/>
  <c r="AN38" i="10"/>
  <c r="AO38" i="10"/>
  <c r="AO82" i="10"/>
  <c r="AN82" i="10"/>
  <c r="AN50" i="10"/>
  <c r="AO50" i="10"/>
  <c r="AN526" i="10"/>
  <c r="AO526" i="10"/>
  <c r="AO326" i="10"/>
  <c r="AN326" i="10"/>
  <c r="AO560" i="10"/>
  <c r="AN560" i="10"/>
  <c r="AN533" i="10"/>
  <c r="AO533" i="10"/>
  <c r="AN485" i="10"/>
  <c r="AO485" i="10"/>
  <c r="AN453" i="10"/>
  <c r="AO453" i="10"/>
  <c r="AN419" i="10"/>
  <c r="AO419" i="10"/>
  <c r="AN395" i="10"/>
  <c r="AO395" i="10"/>
  <c r="AN374" i="10"/>
  <c r="AO374" i="10"/>
  <c r="AO216" i="10"/>
  <c r="AN216" i="10"/>
  <c r="AO133" i="10"/>
  <c r="AN133" i="10"/>
  <c r="AN530" i="10"/>
  <c r="AO530" i="10"/>
  <c r="AO334" i="10"/>
  <c r="AN334" i="10"/>
  <c r="AO520" i="10"/>
  <c r="AN520" i="10"/>
  <c r="AL36" i="10"/>
  <c r="AK477" i="10"/>
  <c r="AK118" i="10"/>
  <c r="AL230" i="10"/>
  <c r="AL278" i="10"/>
  <c r="AL310" i="10"/>
  <c r="AL406" i="10"/>
  <c r="AL454" i="10"/>
  <c r="AL113" i="10"/>
  <c r="AK225" i="10"/>
  <c r="AK333" i="10"/>
  <c r="AL335" i="10"/>
  <c r="AL511" i="10"/>
  <c r="AL39" i="10"/>
  <c r="AK228" i="10"/>
  <c r="AK468" i="10"/>
  <c r="AK273" i="10"/>
  <c r="AL138" i="10"/>
  <c r="AL218" i="10"/>
  <c r="AL250" i="10"/>
  <c r="AL266" i="10"/>
  <c r="AL282" i="10"/>
  <c r="AL177" i="10"/>
  <c r="AK489" i="10"/>
  <c r="AK131" i="10"/>
  <c r="AK163" i="10"/>
  <c r="AK179" i="10"/>
  <c r="AL371" i="10"/>
  <c r="AL435" i="10"/>
  <c r="AL81" i="10"/>
  <c r="AL161" i="10"/>
  <c r="AK241" i="10"/>
  <c r="AK317" i="10"/>
  <c r="AK304" i="10"/>
  <c r="AK448" i="10"/>
  <c r="AK464" i="10"/>
  <c r="AL544" i="10"/>
  <c r="AL116" i="10"/>
  <c r="AL148" i="10"/>
  <c r="AK212" i="10"/>
  <c r="AK244" i="10"/>
  <c r="AK420" i="10"/>
  <c r="AN518" i="10"/>
  <c r="AO518" i="10"/>
  <c r="AN474" i="10"/>
  <c r="AO474" i="10"/>
  <c r="AO302" i="10"/>
  <c r="AN302" i="10"/>
  <c r="AO147" i="10"/>
  <c r="AN147" i="10"/>
  <c r="AN545" i="10"/>
  <c r="AO545" i="10"/>
  <c r="AN513" i="10"/>
  <c r="AO513" i="10"/>
  <c r="AN497" i="10"/>
  <c r="AO497" i="10"/>
  <c r="AN465" i="10"/>
  <c r="AO465" i="10"/>
  <c r="AN449" i="10"/>
  <c r="AO449" i="10"/>
  <c r="AN417" i="10"/>
  <c r="AO417" i="10"/>
  <c r="AN393" i="10"/>
  <c r="AO393" i="10"/>
  <c r="AN382" i="10"/>
  <c r="AO382" i="10"/>
  <c r="AO344" i="10"/>
  <c r="AN344" i="10"/>
  <c r="AO268" i="10"/>
  <c r="AN268" i="10"/>
  <c r="AO157" i="10"/>
  <c r="AN157" i="10"/>
  <c r="AO125" i="10"/>
  <c r="AN125" i="10"/>
  <c r="AN514" i="10"/>
  <c r="AO514" i="10"/>
  <c r="AO408" i="10"/>
  <c r="AN408" i="10"/>
  <c r="AO310" i="10"/>
  <c r="AN310" i="10"/>
  <c r="AO548" i="10"/>
  <c r="AN548" i="10"/>
  <c r="AO532" i="10"/>
  <c r="AN532" i="10"/>
  <c r="AO500" i="10"/>
  <c r="AN500" i="10"/>
  <c r="AO468" i="10"/>
  <c r="AN468" i="10"/>
  <c r="AO452" i="10"/>
  <c r="AN452" i="10"/>
  <c r="AN421" i="10"/>
  <c r="AO421" i="10"/>
  <c r="AO405" i="10"/>
  <c r="AN405" i="10"/>
  <c r="AN383" i="10"/>
  <c r="AO383" i="10"/>
  <c r="AO254" i="10"/>
  <c r="AN254" i="10"/>
  <c r="AO192" i="10"/>
  <c r="AN192" i="10"/>
  <c r="AN534" i="10"/>
  <c r="AO534" i="10"/>
  <c r="AN482" i="10"/>
  <c r="AO482" i="10"/>
  <c r="AO318" i="10"/>
  <c r="AN318" i="10"/>
  <c r="AN551" i="10"/>
  <c r="AO551" i="10"/>
  <c r="AN535" i="10"/>
  <c r="AO535" i="10"/>
  <c r="AN503" i="10"/>
  <c r="AO503" i="10"/>
  <c r="AN487" i="10"/>
  <c r="AO487" i="10"/>
  <c r="AN455" i="10"/>
  <c r="AO455" i="10"/>
  <c r="AO354" i="10"/>
  <c r="AN354" i="10"/>
  <c r="AO322" i="10"/>
  <c r="AN322" i="10"/>
  <c r="AN225" i="10"/>
  <c r="AO225" i="10"/>
  <c r="AO190" i="10"/>
  <c r="AN190" i="10"/>
  <c r="AO127" i="10"/>
  <c r="AN127" i="10"/>
  <c r="AN434" i="10"/>
  <c r="AO434" i="10"/>
  <c r="AN418" i="10"/>
  <c r="AO418" i="10"/>
  <c r="AO364" i="10"/>
  <c r="AN364" i="10"/>
  <c r="AO332" i="10"/>
  <c r="AN332" i="10"/>
  <c r="AN296" i="10"/>
  <c r="AO296" i="10"/>
  <c r="AN264" i="10"/>
  <c r="AO264" i="10"/>
  <c r="AN248" i="10"/>
  <c r="AO248" i="10"/>
  <c r="AO211" i="10"/>
  <c r="AN211" i="10"/>
  <c r="AO194" i="10"/>
  <c r="AN194" i="10"/>
  <c r="AN148" i="10"/>
  <c r="AO148" i="10"/>
  <c r="AO105" i="10"/>
  <c r="AN105" i="10"/>
  <c r="AO71" i="10"/>
  <c r="AN71" i="10"/>
  <c r="AN351" i="10"/>
  <c r="AO351" i="10"/>
  <c r="AN335" i="10"/>
  <c r="AO335" i="10"/>
  <c r="AO256" i="10"/>
  <c r="AN256" i="10"/>
  <c r="AK527" i="10"/>
  <c r="AK132" i="10"/>
  <c r="AL365" i="10"/>
  <c r="AL445" i="10"/>
  <c r="AL102" i="10"/>
  <c r="AK65" i="10"/>
  <c r="AL381" i="10"/>
  <c r="AK383" i="10"/>
  <c r="AK479" i="10"/>
  <c r="AL413" i="10"/>
  <c r="AK378" i="10"/>
  <c r="AK394" i="10"/>
  <c r="AK59" i="10"/>
  <c r="AK20" i="10"/>
  <c r="AL320" i="10"/>
  <c r="AK84" i="10"/>
  <c r="AK180" i="10"/>
  <c r="AL292" i="10"/>
  <c r="AK532" i="10"/>
  <c r="AN550" i="10"/>
  <c r="AO550" i="10"/>
  <c r="AN510" i="10"/>
  <c r="AO510" i="10"/>
  <c r="AN462" i="10"/>
  <c r="AO462" i="10"/>
  <c r="AO376" i="10"/>
  <c r="AN376" i="10"/>
  <c r="AN265" i="10"/>
  <c r="AO265" i="10"/>
  <c r="AO139" i="10"/>
  <c r="AN139" i="10"/>
  <c r="AN557" i="10"/>
  <c r="AO557" i="10"/>
  <c r="AN541" i="10"/>
  <c r="AO541" i="10"/>
  <c r="AN525" i="10"/>
  <c r="AO525" i="10"/>
  <c r="AN509" i="10"/>
  <c r="AO509" i="10"/>
  <c r="AN493" i="10"/>
  <c r="AO493" i="10"/>
  <c r="AN477" i="10"/>
  <c r="AO477" i="10"/>
  <c r="AN461" i="10"/>
  <c r="AO461" i="10"/>
  <c r="AN443" i="10"/>
  <c r="AO443" i="10"/>
  <c r="AN427" i="10"/>
  <c r="AO427" i="10"/>
  <c r="AN411" i="10"/>
  <c r="AO411" i="10"/>
  <c r="AN401" i="10"/>
  <c r="AO401" i="10"/>
  <c r="AN390" i="10"/>
  <c r="AO390" i="10"/>
  <c r="AN379" i="10"/>
  <c r="AO379" i="10"/>
  <c r="AO368" i="10"/>
  <c r="AN368" i="10"/>
  <c r="AO336" i="10"/>
  <c r="AN336" i="10"/>
  <c r="AO259" i="10"/>
  <c r="AN259" i="10"/>
  <c r="AO181" i="10"/>
  <c r="AN181" i="10"/>
  <c r="AO149" i="10"/>
  <c r="AN149" i="10"/>
  <c r="AO115" i="10"/>
  <c r="AN115" i="10"/>
  <c r="AN554" i="10"/>
  <c r="AO554" i="10"/>
  <c r="AN502" i="10"/>
  <c r="AO502" i="10"/>
  <c r="AN454" i="10"/>
  <c r="AO454" i="10"/>
  <c r="AO384" i="10"/>
  <c r="AN384" i="10"/>
  <c r="AO275" i="10"/>
  <c r="AN275" i="10"/>
  <c r="AO83" i="10"/>
  <c r="AN83" i="10"/>
  <c r="AO544" i="10"/>
  <c r="AN544" i="10"/>
  <c r="AO528" i="10"/>
  <c r="AN528" i="10"/>
  <c r="AO512" i="10"/>
  <c r="AN512" i="10"/>
  <c r="AO496" i="10"/>
  <c r="AN496" i="10"/>
  <c r="AO480" i="10"/>
  <c r="AN480" i="10"/>
  <c r="AO464" i="10"/>
  <c r="AN464" i="10"/>
  <c r="AN447" i="10"/>
  <c r="AO447" i="10"/>
  <c r="AN431" i="10"/>
  <c r="AO431" i="10"/>
  <c r="AN415" i="10"/>
  <c r="AO415" i="10"/>
  <c r="AN402" i="10"/>
  <c r="AO402" i="10"/>
  <c r="AN391" i="10"/>
  <c r="AO391" i="10"/>
  <c r="AO381" i="10"/>
  <c r="AN381" i="10"/>
  <c r="AN370" i="10"/>
  <c r="AO370" i="10"/>
  <c r="AO236" i="10"/>
  <c r="AN236" i="10"/>
  <c r="AO185" i="10"/>
  <c r="AN185" i="10"/>
  <c r="AO32" i="10"/>
  <c r="AN32" i="10"/>
  <c r="AN522" i="10"/>
  <c r="AO522" i="10"/>
  <c r="AN470" i="10"/>
  <c r="AO470" i="10"/>
  <c r="AO400" i="10"/>
  <c r="AN400" i="10"/>
  <c r="AO284" i="10"/>
  <c r="AN284" i="10"/>
  <c r="AN123" i="10"/>
  <c r="AO123" i="10"/>
  <c r="AN547" i="10"/>
  <c r="AO547" i="10"/>
  <c r="AN531" i="10"/>
  <c r="AO531" i="10"/>
  <c r="AN515" i="10"/>
  <c r="AO515" i="10"/>
  <c r="AN499" i="10"/>
  <c r="AO499" i="10"/>
  <c r="AN483" i="10"/>
  <c r="AO483" i="10"/>
  <c r="AN467" i="10"/>
  <c r="AO467" i="10"/>
  <c r="AN451" i="10"/>
  <c r="AO451" i="10"/>
  <c r="AO420" i="10"/>
  <c r="AN420" i="10"/>
  <c r="AO346" i="10"/>
  <c r="AN346" i="10"/>
  <c r="AO314" i="10"/>
  <c r="AN314" i="10"/>
  <c r="AO252" i="10"/>
  <c r="AN252" i="10"/>
  <c r="AO218" i="10"/>
  <c r="AN218" i="10"/>
  <c r="AO183" i="10"/>
  <c r="AN183" i="10"/>
  <c r="AO151" i="10"/>
  <c r="AN151" i="10"/>
  <c r="AO107" i="10"/>
  <c r="AN107" i="10"/>
  <c r="AN446" i="10"/>
  <c r="AO446" i="10"/>
  <c r="AN430" i="10"/>
  <c r="AO430" i="10"/>
  <c r="AN414" i="10"/>
  <c r="AO414" i="10"/>
  <c r="AO388" i="10"/>
  <c r="AN388" i="10"/>
  <c r="AO356" i="10"/>
  <c r="AN356" i="10"/>
  <c r="AO324" i="10"/>
  <c r="AN324" i="10"/>
  <c r="AN308" i="10"/>
  <c r="AO308" i="10"/>
  <c r="AN293" i="10"/>
  <c r="AO293" i="10"/>
  <c r="AN277" i="10"/>
  <c r="AO277" i="10"/>
  <c r="AN261" i="10"/>
  <c r="AO261" i="10"/>
  <c r="AN245" i="10"/>
  <c r="AO245" i="10"/>
  <c r="AN229" i="10"/>
  <c r="AO229" i="10"/>
  <c r="AN209" i="10"/>
  <c r="AO209" i="10"/>
  <c r="AN191" i="10"/>
  <c r="AO191" i="10"/>
  <c r="AN172" i="10"/>
  <c r="AO172" i="10"/>
  <c r="AN140" i="10"/>
  <c r="AO140" i="10"/>
  <c r="AN116" i="10"/>
  <c r="AO116" i="10"/>
  <c r="AN102" i="10"/>
  <c r="AO102" i="10"/>
  <c r="AO55" i="10"/>
  <c r="AN55" i="10"/>
  <c r="AN363" i="10"/>
  <c r="AO363" i="10"/>
  <c r="AN347" i="10"/>
  <c r="AO347" i="10"/>
  <c r="AN331" i="10"/>
  <c r="AO331" i="10"/>
  <c r="AN315" i="10"/>
  <c r="AO315" i="10"/>
  <c r="AN299" i="10"/>
  <c r="AO299" i="10"/>
  <c r="AN285" i="10"/>
  <c r="AO285" i="10"/>
  <c r="AN269" i="10"/>
  <c r="AO269" i="10"/>
  <c r="AN253" i="10"/>
  <c r="AO253" i="10"/>
  <c r="AN237" i="10"/>
  <c r="AO237" i="10"/>
  <c r="AO212" i="10"/>
  <c r="AN212" i="10"/>
  <c r="AO200" i="10"/>
  <c r="AN200" i="10"/>
  <c r="AO182" i="10"/>
  <c r="AN182" i="10"/>
  <c r="AO166" i="10"/>
  <c r="AN166" i="10"/>
  <c r="AO150" i="10"/>
  <c r="AN150" i="10"/>
  <c r="AO134" i="10"/>
  <c r="AN134" i="10"/>
  <c r="AO109" i="10"/>
  <c r="AN109" i="10"/>
  <c r="AO99" i="10"/>
  <c r="AN99" i="10"/>
  <c r="AO78" i="10"/>
  <c r="AN78" i="10"/>
  <c r="AO60" i="10"/>
  <c r="AN60" i="10"/>
  <c r="AN20" i="10"/>
  <c r="AO20" i="10"/>
  <c r="AO357" i="10"/>
  <c r="AN357" i="10"/>
  <c r="AO341" i="10"/>
  <c r="AN341" i="10"/>
  <c r="AO325" i="10"/>
  <c r="AN325" i="10"/>
  <c r="AO309" i="10"/>
  <c r="AN309" i="10"/>
  <c r="AO294" i="10"/>
  <c r="AN294" i="10"/>
  <c r="AO278" i="10"/>
  <c r="AN278" i="10"/>
  <c r="AO262" i="10"/>
  <c r="AN262" i="10"/>
  <c r="AO246" i="10"/>
  <c r="AN246" i="10"/>
  <c r="AO230" i="10"/>
  <c r="AN230" i="10"/>
  <c r="AN221" i="10"/>
  <c r="AO221" i="10"/>
  <c r="AO203" i="10"/>
  <c r="AN203" i="10"/>
  <c r="AN184" i="10"/>
  <c r="AO184" i="10"/>
  <c r="AN168" i="10"/>
  <c r="AO168" i="10"/>
  <c r="AN152" i="10"/>
  <c r="AO152" i="10"/>
  <c r="AN136" i="10"/>
  <c r="AO136" i="10"/>
  <c r="AO111" i="10"/>
  <c r="AN111" i="10"/>
  <c r="AO86" i="10"/>
  <c r="AN86" i="10"/>
  <c r="AN65" i="10"/>
  <c r="AO65" i="10"/>
  <c r="AO27" i="10"/>
  <c r="AN27" i="10"/>
  <c r="AN112" i="10"/>
  <c r="AO112" i="10"/>
  <c r="AO88" i="10"/>
  <c r="AN88" i="10"/>
  <c r="AN68" i="10"/>
  <c r="AO68" i="10"/>
  <c r="AO37" i="10"/>
  <c r="AN37" i="10"/>
  <c r="AO23" i="10"/>
  <c r="AN23" i="10"/>
  <c r="AN52" i="10"/>
  <c r="AO52" i="10"/>
  <c r="AO21" i="10"/>
  <c r="AN21" i="10"/>
  <c r="AO72" i="10"/>
  <c r="AN72" i="10"/>
  <c r="AN56" i="10"/>
  <c r="AO56" i="10"/>
  <c r="AN40" i="10"/>
  <c r="AO40" i="10"/>
  <c r="AN24" i="10"/>
  <c r="AO24" i="10"/>
  <c r="AN450" i="10"/>
  <c r="AO450" i="10"/>
  <c r="AO553" i="10"/>
  <c r="AN553" i="10"/>
  <c r="AN489" i="10"/>
  <c r="AO489" i="10"/>
  <c r="AN441" i="10"/>
  <c r="AO441" i="10"/>
  <c r="AN377" i="10"/>
  <c r="AO377" i="10"/>
  <c r="AN249" i="10"/>
  <c r="AO249" i="10"/>
  <c r="AN538" i="10"/>
  <c r="AO538" i="10"/>
  <c r="AO222" i="10"/>
  <c r="AN222" i="10"/>
  <c r="AO524" i="10"/>
  <c r="AN524" i="10"/>
  <c r="AO460" i="10"/>
  <c r="AN460" i="10"/>
  <c r="AN399" i="10"/>
  <c r="AO399" i="10"/>
  <c r="AO291" i="10"/>
  <c r="AN291" i="10"/>
  <c r="AN506" i="10"/>
  <c r="AO506" i="10"/>
  <c r="AN57" i="10"/>
  <c r="AO57" i="10"/>
  <c r="AN511" i="10"/>
  <c r="AO511" i="10"/>
  <c r="AO444" i="10"/>
  <c r="AN444" i="10"/>
  <c r="AO306" i="10"/>
  <c r="AN306" i="10"/>
  <c r="AO143" i="10"/>
  <c r="AN143" i="10"/>
  <c r="AN410" i="10"/>
  <c r="AO410" i="10"/>
  <c r="AN320" i="10"/>
  <c r="AO320" i="10"/>
  <c r="AN255" i="10"/>
  <c r="AO255" i="10"/>
  <c r="AO206" i="10"/>
  <c r="AN206" i="10"/>
  <c r="AO110" i="10"/>
  <c r="AN110" i="10"/>
  <c r="AN343" i="10"/>
  <c r="AO343" i="10"/>
  <c r="AN295" i="10"/>
  <c r="AO295" i="10"/>
  <c r="AN231" i="10"/>
  <c r="AO231" i="10"/>
  <c r="AO161" i="10"/>
  <c r="AN161" i="10"/>
  <c r="AO106" i="10"/>
  <c r="AN106" i="10"/>
  <c r="AN369" i="10"/>
  <c r="AO369" i="10"/>
  <c r="AO321" i="10"/>
  <c r="AN321" i="10"/>
  <c r="AN260" i="10"/>
  <c r="AO260" i="10"/>
  <c r="AN201" i="10"/>
  <c r="AO201" i="10"/>
  <c r="AN146" i="10"/>
  <c r="AO146" i="10"/>
  <c r="AO59" i="10"/>
  <c r="AN59" i="10"/>
  <c r="AO58" i="10"/>
  <c r="AN58" i="10"/>
  <c r="AN42" i="10"/>
  <c r="AO42" i="10"/>
  <c r="AO416" i="10"/>
  <c r="AN416" i="10"/>
  <c r="AN549" i="10"/>
  <c r="AO549" i="10"/>
  <c r="AN501" i="10"/>
  <c r="AO501" i="10"/>
  <c r="AN435" i="10"/>
  <c r="AO435" i="10"/>
  <c r="AN385" i="10"/>
  <c r="AO385" i="10"/>
  <c r="AO286" i="10"/>
  <c r="AN286" i="10"/>
  <c r="AO85" i="10"/>
  <c r="AN85" i="10"/>
  <c r="AO424" i="10"/>
  <c r="AN424" i="10"/>
  <c r="AN155" i="10"/>
  <c r="AO155" i="10"/>
  <c r="AO552" i="10"/>
  <c r="AN552" i="10"/>
  <c r="AO504" i="10"/>
  <c r="AN504" i="10"/>
  <c r="AO488" i="10"/>
  <c r="AN488" i="10"/>
  <c r="AO472" i="10"/>
  <c r="AN472" i="10"/>
  <c r="AO456" i="10"/>
  <c r="AN456" i="10"/>
  <c r="AN439" i="10"/>
  <c r="AO439" i="10"/>
  <c r="AN423" i="10"/>
  <c r="AO423" i="10"/>
  <c r="AN407" i="10"/>
  <c r="AO407" i="10"/>
  <c r="AO397" i="10"/>
  <c r="AN397" i="10"/>
  <c r="AN386" i="10"/>
  <c r="AO386" i="10"/>
  <c r="AN375" i="10"/>
  <c r="AO375" i="10"/>
  <c r="AN281" i="10"/>
  <c r="AO281" i="10"/>
  <c r="AO199" i="10"/>
  <c r="AN199" i="10"/>
  <c r="AO67" i="10"/>
  <c r="AN67" i="10"/>
  <c r="AN546" i="10"/>
  <c r="AO546" i="10"/>
  <c r="AN490" i="10"/>
  <c r="AO490" i="10"/>
  <c r="AO448" i="10"/>
  <c r="AN448" i="10"/>
  <c r="AO342" i="10"/>
  <c r="AN342" i="10"/>
  <c r="AO179" i="10"/>
  <c r="AN179" i="10"/>
  <c r="AN559" i="10"/>
  <c r="AO559" i="10"/>
  <c r="AN539" i="10"/>
  <c r="AO539" i="10"/>
  <c r="AN523" i="10"/>
  <c r="AO523" i="10"/>
  <c r="AN507" i="10"/>
  <c r="AO507" i="10"/>
  <c r="AN491" i="10"/>
  <c r="AO491" i="10"/>
  <c r="AN475" i="10"/>
  <c r="AO475" i="10"/>
  <c r="AN459" i="10"/>
  <c r="AO459" i="10"/>
  <c r="AO436" i="10"/>
  <c r="AN436" i="10"/>
  <c r="AO362" i="10"/>
  <c r="AN362" i="10"/>
  <c r="AO330" i="10"/>
  <c r="AN330" i="10"/>
  <c r="AO298" i="10"/>
  <c r="AN298" i="10"/>
  <c r="AN233" i="10"/>
  <c r="AO233" i="10"/>
  <c r="AN197" i="10"/>
  <c r="AO197" i="10"/>
  <c r="AO167" i="10"/>
  <c r="AN167" i="10"/>
  <c r="AO135" i="10"/>
  <c r="AN135" i="10"/>
  <c r="AO64" i="10"/>
  <c r="AN64" i="10"/>
  <c r="AN438" i="10"/>
  <c r="AO438" i="10"/>
  <c r="AN422" i="10"/>
  <c r="AO422" i="10"/>
  <c r="AO404" i="10"/>
  <c r="AN404" i="10"/>
  <c r="AO372" i="10"/>
  <c r="AN372" i="10"/>
  <c r="AO340" i="10"/>
  <c r="AN340" i="10"/>
  <c r="AO316" i="10"/>
  <c r="AN316" i="10"/>
  <c r="AN300" i="10"/>
  <c r="AO300" i="10"/>
  <c r="AO282" i="10"/>
  <c r="AN282" i="10"/>
  <c r="AO266" i="10"/>
  <c r="AN266" i="10"/>
  <c r="AO250" i="10"/>
  <c r="AN250" i="10"/>
  <c r="AO234" i="10"/>
  <c r="AN234" i="10"/>
  <c r="AN215" i="10"/>
  <c r="AO215" i="10"/>
  <c r="AN196" i="10"/>
  <c r="AO196" i="10"/>
  <c r="AO187" i="10"/>
  <c r="AN187" i="10"/>
  <c r="AN156" i="10"/>
  <c r="AO156" i="10"/>
  <c r="AN124" i="10"/>
  <c r="AO124" i="10"/>
  <c r="AN108" i="10"/>
  <c r="AO108" i="10"/>
  <c r="AO90" i="10"/>
  <c r="AN90" i="10"/>
  <c r="AN41" i="10"/>
  <c r="AO41" i="10"/>
  <c r="AN355" i="10"/>
  <c r="AO355" i="10"/>
  <c r="AN339" i="10"/>
  <c r="AO339" i="10"/>
  <c r="AN323" i="10"/>
  <c r="AO323" i="10"/>
  <c r="AN307" i="10"/>
  <c r="AO307" i="10"/>
  <c r="AO290" i="10"/>
  <c r="AN290" i="10"/>
  <c r="AO274" i="10"/>
  <c r="AN274" i="10"/>
  <c r="AO258" i="10"/>
  <c r="AN258" i="10"/>
  <c r="AO242" i="10"/>
  <c r="AN242" i="10"/>
  <c r="AO220" i="10"/>
  <c r="AN220" i="10"/>
  <c r="AO207" i="10"/>
  <c r="AN207" i="10"/>
  <c r="AN193" i="10"/>
  <c r="AO193" i="10"/>
  <c r="AN174" i="10"/>
  <c r="AO174" i="10"/>
  <c r="AN158" i="10"/>
  <c r="AO158" i="10"/>
  <c r="AN142" i="10"/>
  <c r="AO142" i="10"/>
  <c r="AO126" i="10"/>
  <c r="AN126" i="10"/>
  <c r="AN104" i="10"/>
  <c r="AO104" i="10"/>
  <c r="AN89" i="10"/>
  <c r="AO89" i="10"/>
  <c r="AO69" i="10"/>
  <c r="AN69" i="10"/>
  <c r="AO44" i="10"/>
  <c r="AN44" i="10"/>
  <c r="AO365" i="10"/>
  <c r="AN365" i="10"/>
  <c r="AO349" i="10"/>
  <c r="AN349" i="10"/>
  <c r="AO333" i="10"/>
  <c r="AN333" i="10"/>
  <c r="AO317" i="10"/>
  <c r="AN317" i="10"/>
  <c r="AO301" i="10"/>
  <c r="AN301" i="10"/>
  <c r="AN289" i="10"/>
  <c r="AO289" i="10"/>
  <c r="AN273" i="10"/>
  <c r="AO273" i="10"/>
  <c r="AN257" i="10"/>
  <c r="AO257" i="10"/>
  <c r="AN241" i="10"/>
  <c r="AO241" i="10"/>
  <c r="AO226" i="10"/>
  <c r="AN226" i="10"/>
  <c r="AN213" i="10"/>
  <c r="AO213" i="10"/>
  <c r="AO198" i="10"/>
  <c r="AN198" i="10"/>
  <c r="AO176" i="10"/>
  <c r="AN176" i="10"/>
  <c r="AN160" i="10"/>
  <c r="AO160" i="10"/>
  <c r="AN144" i="10"/>
  <c r="AO144" i="10"/>
  <c r="AO128" i="10"/>
  <c r="AN128" i="10"/>
  <c r="AO96" i="10"/>
  <c r="AN96" i="10"/>
  <c r="AO81" i="10"/>
  <c r="AN81" i="10"/>
  <c r="AO48" i="10"/>
  <c r="AN48" i="10"/>
  <c r="AN120" i="10"/>
  <c r="AO120" i="10"/>
  <c r="AO95" i="10"/>
  <c r="AN95" i="10"/>
  <c r="AO75" i="10"/>
  <c r="AN75" i="10"/>
  <c r="AN49" i="10"/>
  <c r="AO49" i="10"/>
  <c r="AN28" i="10"/>
  <c r="AO28" i="10"/>
  <c r="AN36" i="10"/>
  <c r="AO36" i="10"/>
  <c r="AN33" i="10"/>
  <c r="AO33" i="10"/>
  <c r="AO79" i="10"/>
  <c r="AN79" i="10"/>
  <c r="AO63" i="10"/>
  <c r="AN63" i="10"/>
  <c r="AO47" i="10"/>
  <c r="AN47" i="10"/>
  <c r="AO31" i="10"/>
  <c r="AN31" i="10"/>
  <c r="AN542" i="10"/>
  <c r="AO542" i="10"/>
  <c r="AO350" i="10"/>
  <c r="AN350" i="10"/>
  <c r="AN537" i="10"/>
  <c r="AO537" i="10"/>
  <c r="AN505" i="10"/>
  <c r="AO505" i="10"/>
  <c r="AN425" i="10"/>
  <c r="AO425" i="10"/>
  <c r="AN387" i="10"/>
  <c r="AO387" i="10"/>
  <c r="AO328" i="10"/>
  <c r="AN328" i="10"/>
  <c r="AN94" i="10"/>
  <c r="AO94" i="10"/>
  <c r="AO358" i="10"/>
  <c r="AN358" i="10"/>
  <c r="AO540" i="10"/>
  <c r="AN540" i="10"/>
  <c r="AO476" i="10"/>
  <c r="AN476" i="10"/>
  <c r="AN429" i="10"/>
  <c r="AO429" i="10"/>
  <c r="AN378" i="10"/>
  <c r="AO378" i="10"/>
  <c r="AN558" i="10"/>
  <c r="AO558" i="10"/>
  <c r="AO366" i="10"/>
  <c r="AN366" i="10"/>
  <c r="AN527" i="10"/>
  <c r="AO527" i="10"/>
  <c r="AN479" i="10"/>
  <c r="AO479" i="10"/>
  <c r="AO338" i="10"/>
  <c r="AN338" i="10"/>
  <c r="AO204" i="10"/>
  <c r="AN204" i="10"/>
  <c r="AN442" i="10"/>
  <c r="AO442" i="10"/>
  <c r="AO380" i="10"/>
  <c r="AN380" i="10"/>
  <c r="AN287" i="10"/>
  <c r="AO287" i="10"/>
  <c r="AN224" i="10"/>
  <c r="AO224" i="10"/>
  <c r="AN164" i="10"/>
  <c r="AO164" i="10"/>
  <c r="AO51" i="10"/>
  <c r="AN51" i="10"/>
  <c r="AN327" i="10"/>
  <c r="AO327" i="10"/>
  <c r="AN263" i="10"/>
  <c r="AO263" i="10"/>
  <c r="AO195" i="10"/>
  <c r="AN195" i="10"/>
  <c r="AO145" i="10"/>
  <c r="AN145" i="10"/>
  <c r="AO76" i="10"/>
  <c r="AN76" i="10"/>
  <c r="AN337" i="10"/>
  <c r="AO337" i="10"/>
  <c r="AN292" i="10"/>
  <c r="AO292" i="10"/>
  <c r="AN228" i="10"/>
  <c r="AO228" i="10"/>
  <c r="AN162" i="10"/>
  <c r="AO162" i="10"/>
  <c r="AO103" i="10"/>
  <c r="AN103" i="10"/>
  <c r="AN98" i="10"/>
  <c r="AO98" i="10"/>
  <c r="AO35" i="10"/>
  <c r="AN35" i="10"/>
  <c r="AN66" i="10"/>
  <c r="AO66" i="10"/>
  <c r="AN34" i="10"/>
  <c r="AO34" i="10"/>
  <c r="AN486" i="10"/>
  <c r="AO486" i="10"/>
  <c r="AO171" i="10"/>
  <c r="AN171" i="10"/>
  <c r="AN517" i="10"/>
  <c r="AO517" i="10"/>
  <c r="AN469" i="10"/>
  <c r="AO469" i="10"/>
  <c r="AN406" i="10"/>
  <c r="AO406" i="10"/>
  <c r="AO352" i="10"/>
  <c r="AN352" i="10"/>
  <c r="AO165" i="10"/>
  <c r="AN165" i="10"/>
  <c r="AN478" i="10"/>
  <c r="AO478" i="10"/>
  <c r="AO536" i="10"/>
  <c r="AN536" i="10"/>
  <c r="AO392" i="10"/>
  <c r="AN392" i="10"/>
  <c r="AN555" i="10"/>
  <c r="AO555" i="10"/>
  <c r="AN529" i="10"/>
  <c r="AO529" i="10"/>
  <c r="AN481" i="10"/>
  <c r="AO481" i="10"/>
  <c r="AN433" i="10"/>
  <c r="AO433" i="10"/>
  <c r="AN403" i="10"/>
  <c r="AO403" i="10"/>
  <c r="AN371" i="10"/>
  <c r="AO371" i="10"/>
  <c r="AO202" i="10"/>
  <c r="AN202" i="10"/>
  <c r="AN73" i="10"/>
  <c r="AO73" i="10"/>
  <c r="AN466" i="10"/>
  <c r="AO466" i="10"/>
  <c r="AO131" i="10"/>
  <c r="AN131" i="10"/>
  <c r="AO516" i="10"/>
  <c r="AN516" i="10"/>
  <c r="AO484" i="10"/>
  <c r="AN484" i="10"/>
  <c r="AO437" i="10"/>
  <c r="AN437" i="10"/>
  <c r="AN394" i="10"/>
  <c r="AO394" i="10"/>
  <c r="AO373" i="10"/>
  <c r="AN373" i="10"/>
  <c r="AO54" i="10"/>
  <c r="AN54" i="10"/>
  <c r="AO432" i="10"/>
  <c r="AN432" i="10"/>
  <c r="AN163" i="10"/>
  <c r="AO163" i="10"/>
  <c r="AN519" i="10"/>
  <c r="AO519" i="10"/>
  <c r="AN471" i="10"/>
  <c r="AO471" i="10"/>
  <c r="AO428" i="10"/>
  <c r="AN428" i="10"/>
  <c r="AO270" i="10"/>
  <c r="AN270" i="10"/>
  <c r="AO159" i="10"/>
  <c r="AN159" i="10"/>
  <c r="AN22" i="10"/>
  <c r="AO22" i="10"/>
  <c r="AO396" i="10"/>
  <c r="AN396" i="10"/>
  <c r="AN312" i="10"/>
  <c r="AO312" i="10"/>
  <c r="AN280" i="10"/>
  <c r="AO280" i="10"/>
  <c r="AN232" i="10"/>
  <c r="AO232" i="10"/>
  <c r="AN180" i="10"/>
  <c r="AO180" i="10"/>
  <c r="AO118" i="10"/>
  <c r="AN118" i="10"/>
  <c r="AN367" i="10"/>
  <c r="AO367" i="10"/>
  <c r="AN319" i="10"/>
  <c r="AO319" i="10"/>
  <c r="AN303" i="10"/>
  <c r="AO303" i="10"/>
  <c r="AO288" i="10"/>
  <c r="AN288" i="10"/>
  <c r="AO272" i="10"/>
  <c r="AN272" i="10"/>
  <c r="AO240" i="10"/>
  <c r="AN240" i="10"/>
  <c r="AN217" i="10"/>
  <c r="AO217" i="10"/>
  <c r="AN205" i="10"/>
  <c r="AO205" i="10"/>
  <c r="AN186" i="10"/>
  <c r="AO186" i="10"/>
  <c r="AO169" i="10"/>
  <c r="AN169" i="10"/>
  <c r="AO153" i="10"/>
  <c r="AN153" i="10"/>
  <c r="AO137" i="10"/>
  <c r="AN137" i="10"/>
  <c r="AO117" i="10"/>
  <c r="AN117" i="10"/>
  <c r="AO101" i="10"/>
  <c r="AN101" i="10"/>
  <c r="AO87" i="10"/>
  <c r="AN87" i="10"/>
  <c r="AN62" i="10"/>
  <c r="AO62" i="10"/>
  <c r="AO39" i="10"/>
  <c r="AN39" i="10"/>
  <c r="AN361" i="10"/>
  <c r="AO361" i="10"/>
  <c r="AN345" i="10"/>
  <c r="AO345" i="10"/>
  <c r="AN329" i="10"/>
  <c r="AO329" i="10"/>
  <c r="AO313" i="10"/>
  <c r="AN313" i="10"/>
  <c r="AO297" i="10"/>
  <c r="AN297" i="10"/>
  <c r="AO283" i="10"/>
  <c r="AN283" i="10"/>
  <c r="AO267" i="10"/>
  <c r="AN267" i="10"/>
  <c r="AO251" i="10"/>
  <c r="AN251" i="10"/>
  <c r="AO235" i="10"/>
  <c r="AN235" i="10"/>
  <c r="AN223" i="10"/>
  <c r="AO223" i="10"/>
  <c r="AN208" i="10"/>
  <c r="AO208" i="10"/>
  <c r="AN188" i="10"/>
  <c r="AO188" i="10"/>
  <c r="AN170" i="10"/>
  <c r="AO170" i="10"/>
  <c r="AN154" i="10"/>
  <c r="AO154" i="10"/>
  <c r="AN138" i="10"/>
  <c r="AO138" i="10"/>
  <c r="AO119" i="10"/>
  <c r="AN119" i="10"/>
  <c r="AO91" i="10"/>
  <c r="AN91" i="10"/>
  <c r="AN74" i="10"/>
  <c r="AO74" i="10"/>
  <c r="AO43" i="10"/>
  <c r="AN43" i="10"/>
  <c r="AN114" i="10"/>
  <c r="AO114" i="10"/>
  <c r="AN93" i="10"/>
  <c r="AO93" i="10"/>
  <c r="AN70" i="10"/>
  <c r="AO70" i="10"/>
  <c r="AO46" i="10"/>
  <c r="AN46" i="10"/>
  <c r="AN25" i="10"/>
  <c r="AO25" i="10"/>
  <c r="AO26" i="10"/>
  <c r="AN26" i="10"/>
  <c r="AN30" i="10"/>
  <c r="AO30" i="10"/>
  <c r="AN77" i="10"/>
  <c r="AO77" i="10"/>
  <c r="AO61" i="10"/>
  <c r="AN61" i="10"/>
  <c r="AO45" i="10"/>
  <c r="AN45" i="10"/>
  <c r="AO29" i="10"/>
  <c r="AN29" i="10"/>
  <c r="B69" i="2"/>
  <c r="B54" i="2"/>
  <c r="H231" i="2" s="1"/>
  <c r="B16" i="2"/>
  <c r="B127" i="2" s="1"/>
  <c r="B15" i="2"/>
  <c r="B52" i="2"/>
  <c r="B26" i="10" l="1"/>
  <c r="B37" i="2"/>
  <c r="B38" i="2"/>
  <c r="B71" i="2"/>
  <c r="B29" i="2"/>
  <c r="B66" i="2"/>
  <c r="B10" i="4"/>
  <c r="B11" i="4" s="1"/>
  <c r="B219" i="2"/>
  <c r="H78" i="1" s="1"/>
  <c r="B25" i="10"/>
  <c r="E222" i="2"/>
  <c r="B206" i="2"/>
  <c r="B34" i="2"/>
  <c r="B143" i="2" s="1"/>
  <c r="B147" i="2"/>
  <c r="B148" i="2" s="1"/>
  <c r="B146" i="2"/>
  <c r="B138" i="2"/>
  <c r="B139" i="2"/>
  <c r="B25" i="2"/>
  <c r="B135" i="2" s="1"/>
  <c r="B60" i="2"/>
  <c r="B70" i="2"/>
  <c r="B64" i="2"/>
  <c r="B33" i="2"/>
  <c r="BL27" i="4" s="1"/>
  <c r="B24" i="2"/>
  <c r="B140" i="2" l="1"/>
  <c r="K150" i="2"/>
  <c r="BL125" i="4"/>
  <c r="BL60" i="4"/>
  <c r="BL150" i="4"/>
  <c r="BL57" i="4"/>
  <c r="BL143" i="4"/>
  <c r="BL75" i="4"/>
  <c r="BL133" i="4"/>
  <c r="BL17" i="4"/>
  <c r="BL154" i="4"/>
  <c r="BL104" i="4"/>
  <c r="BL19" i="4"/>
  <c r="BL106" i="4"/>
  <c r="BL9" i="4"/>
  <c r="BL48" i="4"/>
  <c r="BL13" i="4"/>
  <c r="BL115" i="4"/>
  <c r="BL52" i="4"/>
  <c r="BL70" i="4"/>
  <c r="BL7" i="4"/>
  <c r="BL151" i="4"/>
  <c r="BL153" i="4"/>
  <c r="BL40" i="4"/>
  <c r="BL87" i="4"/>
  <c r="BL84" i="4"/>
  <c r="BL85" i="4"/>
  <c r="BL16" i="4"/>
  <c r="BL22" i="4"/>
  <c r="BL37" i="4"/>
  <c r="BL43" i="4"/>
  <c r="BL65" i="4"/>
  <c r="BL80" i="4"/>
  <c r="BL86" i="4"/>
  <c r="BL101" i="4"/>
  <c r="BL108" i="4"/>
  <c r="BL10" i="4"/>
  <c r="BL25" i="4"/>
  <c r="BL31" i="4"/>
  <c r="BL73" i="4"/>
  <c r="BL79" i="4"/>
  <c r="BL12" i="4"/>
  <c r="BL18" i="4"/>
  <c r="BL33" i="4"/>
  <c r="BL39" i="4"/>
  <c r="BL76" i="4"/>
  <c r="BL82" i="4"/>
  <c r="BL97" i="4"/>
  <c r="BL103" i="4"/>
  <c r="BL29" i="4"/>
  <c r="BL88" i="4"/>
  <c r="BL141" i="4"/>
  <c r="BL147" i="4"/>
  <c r="BL46" i="4"/>
  <c r="BL117" i="4"/>
  <c r="BL139" i="4"/>
  <c r="BL45" i="4"/>
  <c r="BL118" i="4"/>
  <c r="BL124" i="4"/>
  <c r="BL152" i="4"/>
  <c r="BL105" i="4"/>
  <c r="BL62" i="4"/>
  <c r="BL126" i="4"/>
  <c r="BL132" i="4"/>
  <c r="BL56" i="4"/>
  <c r="BL123" i="4"/>
  <c r="BL138" i="4"/>
  <c r="BL32" i="4"/>
  <c r="BL38" i="4"/>
  <c r="BL53" i="4"/>
  <c r="BL59" i="4"/>
  <c r="BL96" i="4"/>
  <c r="BL102" i="4"/>
  <c r="BL109" i="4"/>
  <c r="BL20" i="4"/>
  <c r="BL26" i="4"/>
  <c r="BL41" i="4"/>
  <c r="BL47" i="4"/>
  <c r="BL68" i="4"/>
  <c r="BL74" i="4"/>
  <c r="BL89" i="4"/>
  <c r="BL95" i="4"/>
  <c r="BL28" i="4"/>
  <c r="BL34" i="4"/>
  <c r="BL49" i="4"/>
  <c r="BL55" i="4"/>
  <c r="BL92" i="4"/>
  <c r="BL98" i="4"/>
  <c r="BL14" i="4"/>
  <c r="BL93" i="4"/>
  <c r="BL114" i="4"/>
  <c r="BL120" i="4"/>
  <c r="BL61" i="4"/>
  <c r="BL144" i="4"/>
  <c r="BL30" i="4"/>
  <c r="BL94" i="4"/>
  <c r="BL113" i="4"/>
  <c r="BL119" i="4"/>
  <c r="BL134" i="4"/>
  <c r="BL140" i="4"/>
  <c r="BL149" i="4"/>
  <c r="BL67" i="4"/>
  <c r="BL121" i="4"/>
  <c r="BL127" i="4"/>
  <c r="BL142" i="4"/>
  <c r="BL148" i="4"/>
  <c r="BL128" i="4"/>
  <c r="BL21" i="4"/>
  <c r="BL64" i="4"/>
  <c r="BL91" i="4"/>
  <c r="BL107" i="4"/>
  <c r="BL15" i="4"/>
  <c r="BL58" i="4"/>
  <c r="BL100" i="4"/>
  <c r="BL23" i="4"/>
  <c r="BL66" i="4"/>
  <c r="BL81" i="4"/>
  <c r="BL24" i="4"/>
  <c r="BL83" i="4"/>
  <c r="BL131" i="4"/>
  <c r="BL146" i="4"/>
  <c r="BL112" i="4"/>
  <c r="BL157" i="4"/>
  <c r="BL145" i="4"/>
  <c r="BL77" i="4"/>
  <c r="BL116" i="4"/>
  <c r="BL156" i="4"/>
  <c r="BL51" i="4"/>
  <c r="BL11" i="4"/>
  <c r="BL54" i="4"/>
  <c r="BL69" i="4"/>
  <c r="BL110" i="4"/>
  <c r="BL36" i="4"/>
  <c r="BL63" i="4"/>
  <c r="BL90" i="4"/>
  <c r="BL44" i="4"/>
  <c r="BL71" i="4"/>
  <c r="BL111" i="4"/>
  <c r="BL136" i="4"/>
  <c r="BL155" i="4"/>
  <c r="BL35" i="4"/>
  <c r="BL99" i="4"/>
  <c r="BL135" i="4"/>
  <c r="BL122" i="4"/>
  <c r="BL137" i="4"/>
  <c r="BL72" i="4"/>
  <c r="BL129" i="4"/>
  <c r="BL130" i="4"/>
  <c r="BL78" i="4"/>
  <c r="BL50" i="4"/>
  <c r="BL42" i="4"/>
  <c r="BL8" i="4"/>
  <c r="B18" i="4"/>
  <c r="BA8" i="4"/>
  <c r="BA12" i="4"/>
  <c r="BA15" i="4"/>
  <c r="BA18" i="4"/>
  <c r="BA22" i="4"/>
  <c r="BA25" i="4"/>
  <c r="BA29" i="4"/>
  <c r="BA33" i="4"/>
  <c r="BA37" i="4"/>
  <c r="BA40" i="4"/>
  <c r="BA7" i="4"/>
  <c r="BA10" i="4"/>
  <c r="BA13" i="4"/>
  <c r="BA16" i="4"/>
  <c r="BA19" i="4"/>
  <c r="BA23" i="4"/>
  <c r="BA27" i="4"/>
  <c r="BA30" i="4"/>
  <c r="BA34" i="4"/>
  <c r="BA38" i="4"/>
  <c r="BA42" i="4"/>
  <c r="B14" i="4"/>
  <c r="BA9" i="4"/>
  <c r="BA11" i="4"/>
  <c r="BA14" i="4"/>
  <c r="BA17" i="4"/>
  <c r="BA20" i="4"/>
  <c r="BA21" i="4"/>
  <c r="BA24" i="4"/>
  <c r="BA26" i="4"/>
  <c r="BA28" i="4"/>
  <c r="BA31" i="4"/>
  <c r="BA32" i="4"/>
  <c r="BA35" i="4"/>
  <c r="BA36" i="4"/>
  <c r="BA39" i="4"/>
  <c r="BA41" i="4"/>
  <c r="BA131" i="4"/>
  <c r="BA142" i="4"/>
  <c r="BA145" i="4"/>
  <c r="BA148" i="4"/>
  <c r="BA149" i="4"/>
  <c r="BA152" i="4"/>
  <c r="BA155" i="4"/>
  <c r="BA156" i="4"/>
  <c r="BA43" i="4"/>
  <c r="BA44" i="4"/>
  <c r="BA45" i="4"/>
  <c r="BA46" i="4"/>
  <c r="BA48" i="4"/>
  <c r="BA49" i="4"/>
  <c r="BA50" i="4"/>
  <c r="BA51" i="4"/>
  <c r="BA53" i="4"/>
  <c r="BA55" i="4"/>
  <c r="BA57" i="4"/>
  <c r="BA59" i="4"/>
  <c r="BA61" i="4"/>
  <c r="BA63" i="4"/>
  <c r="BA65" i="4"/>
  <c r="BA67" i="4"/>
  <c r="BA69" i="4"/>
  <c r="BA71" i="4"/>
  <c r="BA73" i="4"/>
  <c r="BA75" i="4"/>
  <c r="BA77" i="4"/>
  <c r="BA79" i="4"/>
  <c r="BA81" i="4"/>
  <c r="BA83" i="4"/>
  <c r="BA85" i="4"/>
  <c r="BA87" i="4"/>
  <c r="BA89" i="4"/>
  <c r="BA91" i="4"/>
  <c r="BA93" i="4"/>
  <c r="BA95" i="4"/>
  <c r="BA97" i="4"/>
  <c r="BA99" i="4"/>
  <c r="BA101" i="4"/>
  <c r="BA103" i="4"/>
  <c r="BA105" i="4"/>
  <c r="BA107" i="4"/>
  <c r="BA109" i="4"/>
  <c r="BA111" i="4"/>
  <c r="BA113" i="4"/>
  <c r="BA115" i="4"/>
  <c r="BA117" i="4"/>
  <c r="BA119" i="4"/>
  <c r="BA121" i="4"/>
  <c r="BA123" i="4"/>
  <c r="BA125" i="4"/>
  <c r="BA127" i="4"/>
  <c r="BA129" i="4"/>
  <c r="BA132" i="4"/>
  <c r="BA134" i="4"/>
  <c r="BA136" i="4"/>
  <c r="BA138" i="4"/>
  <c r="BA140" i="4"/>
  <c r="BA143" i="4"/>
  <c r="BA146" i="4"/>
  <c r="BA150" i="4"/>
  <c r="BA153" i="4"/>
  <c r="BA157" i="4"/>
  <c r="BA47" i="4"/>
  <c r="BA52" i="4"/>
  <c r="BA54" i="4"/>
  <c r="BA56" i="4"/>
  <c r="BA58" i="4"/>
  <c r="BA60" i="4"/>
  <c r="BA62" i="4"/>
  <c r="BA64" i="4"/>
  <c r="BA66" i="4"/>
  <c r="BA68" i="4"/>
  <c r="BA70" i="4"/>
  <c r="BA72" i="4"/>
  <c r="BA74" i="4"/>
  <c r="BA76" i="4"/>
  <c r="BA78" i="4"/>
  <c r="BA80" i="4"/>
  <c r="BA82" i="4"/>
  <c r="BA84" i="4"/>
  <c r="BA86" i="4"/>
  <c r="BA88" i="4"/>
  <c r="BA90" i="4"/>
  <c r="BA92" i="4"/>
  <c r="BA94" i="4"/>
  <c r="BA96" i="4"/>
  <c r="BA98" i="4"/>
  <c r="BA100" i="4"/>
  <c r="BA102" i="4"/>
  <c r="BA104" i="4"/>
  <c r="BA106" i="4"/>
  <c r="BA108" i="4"/>
  <c r="BA110" i="4"/>
  <c r="BA112" i="4"/>
  <c r="BA114" i="4"/>
  <c r="BA116" i="4"/>
  <c r="BA118" i="4"/>
  <c r="BA120" i="4"/>
  <c r="BA122" i="4"/>
  <c r="BA124" i="4"/>
  <c r="BA126" i="4"/>
  <c r="BA128" i="4"/>
  <c r="BA130" i="4"/>
  <c r="BA133" i="4"/>
  <c r="BA135" i="4"/>
  <c r="BA137" i="4"/>
  <c r="BA139" i="4"/>
  <c r="BA141" i="4"/>
  <c r="BA144" i="4"/>
  <c r="BA147" i="4"/>
  <c r="BA151" i="4"/>
  <c r="BA154" i="4"/>
  <c r="AK114" i="4"/>
  <c r="AK50" i="4"/>
  <c r="AK66" i="4"/>
  <c r="AK58" i="4"/>
  <c r="AK106" i="4"/>
  <c r="AK40" i="4"/>
  <c r="AK94" i="4"/>
  <c r="AK18" i="4"/>
  <c r="AK68" i="4"/>
  <c r="AK123" i="4"/>
  <c r="AK75" i="4"/>
  <c r="AK27" i="4"/>
  <c r="AK125" i="4"/>
  <c r="AK61" i="4"/>
  <c r="AK13" i="4"/>
  <c r="AK87" i="4"/>
  <c r="AK23" i="4"/>
  <c r="AK121" i="4"/>
  <c r="AK89" i="4"/>
  <c r="AK41" i="4"/>
  <c r="AK78" i="4"/>
  <c r="AK14" i="4"/>
  <c r="AK116" i="4"/>
  <c r="AK147" i="4"/>
  <c r="AK115" i="4"/>
  <c r="AK35" i="4"/>
  <c r="AK133" i="4"/>
  <c r="AK69" i="4"/>
  <c r="AK146" i="4"/>
  <c r="AK9" i="4"/>
  <c r="AK154" i="4"/>
  <c r="AK74" i="4"/>
  <c r="AK130" i="4"/>
  <c r="AK136" i="4"/>
  <c r="AK80" i="4"/>
  <c r="AK24" i="4"/>
  <c r="AK150" i="4"/>
  <c r="AK118" i="4"/>
  <c r="AK86" i="4"/>
  <c r="AK54" i="4"/>
  <c r="AK22" i="4"/>
  <c r="AK10" i="4"/>
  <c r="AK88" i="4"/>
  <c r="AK156" i="4"/>
  <c r="AK124" i="4"/>
  <c r="AK92" i="4"/>
  <c r="AK60" i="4"/>
  <c r="AK28" i="4"/>
  <c r="AK151" i="4"/>
  <c r="AK119" i="4"/>
  <c r="AK55" i="4"/>
  <c r="AK137" i="4"/>
  <c r="AK73" i="4"/>
  <c r="AK122" i="4"/>
  <c r="AK72" i="4"/>
  <c r="AK52" i="4"/>
  <c r="AK83" i="4"/>
  <c r="AK19" i="4"/>
  <c r="AK101" i="4"/>
  <c r="AK37" i="4"/>
  <c r="AK98" i="4"/>
  <c r="AK90" i="4"/>
  <c r="AK138" i="4"/>
  <c r="AK104" i="4"/>
  <c r="AK48" i="4"/>
  <c r="AK8" i="4"/>
  <c r="AK134" i="4"/>
  <c r="AK102" i="4"/>
  <c r="AK70" i="4"/>
  <c r="AK38" i="4"/>
  <c r="AK26" i="4"/>
  <c r="AK128" i="4"/>
  <c r="AK56" i="4"/>
  <c r="AK140" i="4"/>
  <c r="AK108" i="4"/>
  <c r="AK76" i="4"/>
  <c r="AK44" i="4"/>
  <c r="AK12" i="4"/>
  <c r="AK143" i="4"/>
  <c r="AK127" i="4"/>
  <c r="AK111" i="4"/>
  <c r="AK95" i="4"/>
  <c r="AK79" i="4"/>
  <c r="AK63" i="4"/>
  <c r="AK47" i="4"/>
  <c r="AK31" i="4"/>
  <c r="AK15" i="4"/>
  <c r="AK145" i="4"/>
  <c r="AK129" i="4"/>
  <c r="AK113" i="4"/>
  <c r="AK97" i="4"/>
  <c r="AK81" i="4"/>
  <c r="AK65" i="4"/>
  <c r="AK49" i="4"/>
  <c r="AK33" i="4"/>
  <c r="AK17" i="4"/>
  <c r="AK152" i="4"/>
  <c r="AK96" i="4"/>
  <c r="AK7" i="4"/>
  <c r="AK126" i="4"/>
  <c r="AK62" i="4"/>
  <c r="AK30" i="4"/>
  <c r="AK112" i="4"/>
  <c r="AK32" i="4"/>
  <c r="AK132" i="4"/>
  <c r="AK100" i="4"/>
  <c r="AK36" i="4"/>
  <c r="AK155" i="4"/>
  <c r="AK139" i="4"/>
  <c r="AK107" i="4"/>
  <c r="AK91" i="4"/>
  <c r="AK59" i="4"/>
  <c r="AK43" i="4"/>
  <c r="AK11" i="4"/>
  <c r="AK141" i="4"/>
  <c r="AK109" i="4"/>
  <c r="AK93" i="4"/>
  <c r="AK77" i="4"/>
  <c r="AK45" i="4"/>
  <c r="AK29" i="4"/>
  <c r="AK135" i="4"/>
  <c r="AK103" i="4"/>
  <c r="AK71" i="4"/>
  <c r="AK39" i="4"/>
  <c r="AK153" i="4"/>
  <c r="AK105" i="4"/>
  <c r="AK57" i="4"/>
  <c r="AK25" i="4"/>
  <c r="AK82" i="4"/>
  <c r="AK157" i="4"/>
  <c r="AK42" i="4"/>
  <c r="AK34" i="4"/>
  <c r="AK120" i="4"/>
  <c r="AK64" i="4"/>
  <c r="AK16" i="4"/>
  <c r="AK142" i="4"/>
  <c r="AK110" i="4"/>
  <c r="AK46" i="4"/>
  <c r="AK144" i="4"/>
  <c r="AK148" i="4"/>
  <c r="AK84" i="4"/>
  <c r="AK20" i="4"/>
  <c r="AK131" i="4"/>
  <c r="AK99" i="4"/>
  <c r="AK67" i="4"/>
  <c r="AK51" i="4"/>
  <c r="AK149" i="4"/>
  <c r="AK117" i="4"/>
  <c r="AK85" i="4"/>
  <c r="AK53" i="4"/>
  <c r="AK21" i="4"/>
  <c r="B27" i="2"/>
  <c r="B15" i="4" s="1"/>
  <c r="B65" i="2"/>
  <c r="N19" i="1" s="1"/>
  <c r="N27" i="1"/>
  <c r="B63" i="2"/>
  <c r="N16" i="1" s="1"/>
  <c r="B35" i="2"/>
  <c r="B68" i="2"/>
  <c r="N24" i="1" s="1"/>
  <c r="B26" i="2"/>
  <c r="B36" i="2"/>
  <c r="B19" i="4" s="1"/>
  <c r="BK9" i="4" l="1"/>
  <c r="BM9" i="4" s="1"/>
  <c r="BK31" i="4"/>
  <c r="BM31" i="4" s="1"/>
  <c r="BK52" i="4"/>
  <c r="BM52" i="4" s="1"/>
  <c r="BK58" i="4"/>
  <c r="BM58" i="4" s="1"/>
  <c r="BK73" i="4"/>
  <c r="BM73" i="4" s="1"/>
  <c r="BK95" i="4"/>
  <c r="BK19" i="4"/>
  <c r="BM19" i="4" s="1"/>
  <c r="BK40" i="4"/>
  <c r="BM40" i="4" s="1"/>
  <c r="BK46" i="4"/>
  <c r="BM46" i="4" s="1"/>
  <c r="BK61" i="4"/>
  <c r="BM61" i="4" s="1"/>
  <c r="BK67" i="4"/>
  <c r="BM67" i="4" s="1"/>
  <c r="BK88" i="4"/>
  <c r="BK94" i="4"/>
  <c r="BK27" i="4"/>
  <c r="BM27" i="4" s="1"/>
  <c r="BK48" i="4"/>
  <c r="BM48" i="4" s="1"/>
  <c r="BK54" i="4"/>
  <c r="BM54" i="4" s="1"/>
  <c r="BK69" i="4"/>
  <c r="BM69" i="4" s="1"/>
  <c r="BK91" i="4"/>
  <c r="BK109" i="4"/>
  <c r="BK49" i="4"/>
  <c r="BM49" i="4" s="1"/>
  <c r="BK113" i="4"/>
  <c r="BK119" i="4"/>
  <c r="BK134" i="4"/>
  <c r="BK112" i="4"/>
  <c r="BK133" i="4"/>
  <c r="BK139" i="4"/>
  <c r="BK132" i="4"/>
  <c r="BK23" i="4"/>
  <c r="BM23" i="4" s="1"/>
  <c r="BK82" i="4"/>
  <c r="BK111" i="4"/>
  <c r="BK120" i="4"/>
  <c r="BK141" i="4"/>
  <c r="BK147" i="4"/>
  <c r="BK153" i="4"/>
  <c r="BK157" i="4"/>
  <c r="BK10" i="4"/>
  <c r="BM10" i="4" s="1"/>
  <c r="BK25" i="4"/>
  <c r="BM25" i="4" s="1"/>
  <c r="BK47" i="4"/>
  <c r="BM47" i="4" s="1"/>
  <c r="BK68" i="4"/>
  <c r="BM68" i="4" s="1"/>
  <c r="BK74" i="4"/>
  <c r="BM74" i="4" s="1"/>
  <c r="BK89" i="4"/>
  <c r="BK13" i="4"/>
  <c r="BM13" i="4" s="1"/>
  <c r="BK35" i="4"/>
  <c r="BM35" i="4" s="1"/>
  <c r="BK56" i="4"/>
  <c r="BM56" i="4" s="1"/>
  <c r="BK62" i="4"/>
  <c r="BM62" i="4" s="1"/>
  <c r="BK83" i="4"/>
  <c r="BK104" i="4"/>
  <c r="BK21" i="4"/>
  <c r="BM21" i="4" s="1"/>
  <c r="BK43" i="4"/>
  <c r="BM43" i="4" s="1"/>
  <c r="BK64" i="4"/>
  <c r="BM64" i="4" s="1"/>
  <c r="BK70" i="4"/>
  <c r="BM70" i="4" s="1"/>
  <c r="BK85" i="4"/>
  <c r="BK110" i="4"/>
  <c r="BK34" i="4"/>
  <c r="BM34" i="4" s="1"/>
  <c r="BK129" i="4"/>
  <c r="BK135" i="4"/>
  <c r="BK152" i="4"/>
  <c r="BK121" i="4"/>
  <c r="BK50" i="4"/>
  <c r="BM50" i="4" s="1"/>
  <c r="BK128" i="4"/>
  <c r="BK149" i="4"/>
  <c r="BK28" i="4"/>
  <c r="BM28" i="4" s="1"/>
  <c r="BK87" i="4"/>
  <c r="BK114" i="4"/>
  <c r="BK136" i="4"/>
  <c r="BK154" i="4"/>
  <c r="BK8" i="4"/>
  <c r="BM8" i="4" s="1"/>
  <c r="BS8" i="4" s="1"/>
  <c r="BK12" i="4"/>
  <c r="BM12" i="4" s="1"/>
  <c r="BK71" i="4"/>
  <c r="BM71" i="4" s="1"/>
  <c r="BK142" i="4"/>
  <c r="BK36" i="4"/>
  <c r="BM36" i="4" s="1"/>
  <c r="BK79" i="4"/>
  <c r="BM79" i="4" s="1"/>
  <c r="BK30" i="4"/>
  <c r="BM30" i="4" s="1"/>
  <c r="BK45" i="4"/>
  <c r="BM45" i="4" s="1"/>
  <c r="BK72" i="4"/>
  <c r="BM72" i="4" s="1"/>
  <c r="BK11" i="4"/>
  <c r="BM11" i="4" s="1"/>
  <c r="BK38" i="4"/>
  <c r="BM38" i="4" s="1"/>
  <c r="BK53" i="4"/>
  <c r="BM53" i="4" s="1"/>
  <c r="BK96" i="4"/>
  <c r="BN96" i="4" s="1"/>
  <c r="BK108" i="4"/>
  <c r="BK118" i="4"/>
  <c r="BK60" i="4"/>
  <c r="BM60" i="4" s="1"/>
  <c r="BK117" i="4"/>
  <c r="BK66" i="4"/>
  <c r="BM66" i="4" s="1"/>
  <c r="BK18" i="4"/>
  <c r="BM18" i="4" s="1"/>
  <c r="BK131" i="4"/>
  <c r="BK146" i="4"/>
  <c r="BK156" i="4"/>
  <c r="BK26" i="4"/>
  <c r="BM26" i="4" s="1"/>
  <c r="BK41" i="4"/>
  <c r="BM41" i="4" s="1"/>
  <c r="BK84" i="4"/>
  <c r="BK51" i="4"/>
  <c r="BM51" i="4" s="1"/>
  <c r="BK77" i="4"/>
  <c r="BM77" i="4" s="1"/>
  <c r="BK105" i="4"/>
  <c r="BK16" i="4"/>
  <c r="BM16" i="4" s="1"/>
  <c r="BK59" i="4"/>
  <c r="BM59" i="4" s="1"/>
  <c r="BK86" i="4"/>
  <c r="BK101" i="4"/>
  <c r="BK39" i="4"/>
  <c r="BM39" i="4" s="1"/>
  <c r="BK98" i="4"/>
  <c r="BK124" i="4"/>
  <c r="BK126" i="4"/>
  <c r="BK122" i="4"/>
  <c r="BK150" i="4"/>
  <c r="BK33" i="4"/>
  <c r="BM33" i="4" s="1"/>
  <c r="BK92" i="4"/>
  <c r="BK151" i="4"/>
  <c r="BK63" i="4"/>
  <c r="BM63" i="4" s="1"/>
  <c r="BK90" i="4"/>
  <c r="BK14" i="4"/>
  <c r="BM14" i="4" s="1"/>
  <c r="BK99" i="4"/>
  <c r="BK22" i="4"/>
  <c r="BM22" i="4" s="1"/>
  <c r="BK80" i="4"/>
  <c r="BK107" i="4"/>
  <c r="BK81" i="4"/>
  <c r="BK55" i="4"/>
  <c r="BM55" i="4" s="1"/>
  <c r="BK125" i="4"/>
  <c r="BK143" i="4"/>
  <c r="BK15" i="4"/>
  <c r="BM15" i="4" s="1"/>
  <c r="BK42" i="4"/>
  <c r="BM42" i="4" s="1"/>
  <c r="BK100" i="4"/>
  <c r="BK24" i="4"/>
  <c r="BM24" i="4" s="1"/>
  <c r="BK78" i="4"/>
  <c r="BM78" i="4" s="1"/>
  <c r="BK32" i="4"/>
  <c r="BM32" i="4" s="1"/>
  <c r="BK103" i="4"/>
  <c r="BK140" i="4"/>
  <c r="BK137" i="4"/>
  <c r="BK138" i="4"/>
  <c r="BK127" i="4"/>
  <c r="BK97" i="4"/>
  <c r="BK130" i="4"/>
  <c r="BK155" i="4"/>
  <c r="BK76" i="4"/>
  <c r="BM76" i="4" s="1"/>
  <c r="BK20" i="4"/>
  <c r="BM20" i="4" s="1"/>
  <c r="BK106" i="4"/>
  <c r="BK29" i="4"/>
  <c r="BM29" i="4" s="1"/>
  <c r="BK37" i="4"/>
  <c r="BM37" i="4" s="1"/>
  <c r="BK65" i="4"/>
  <c r="BM65" i="4" s="1"/>
  <c r="BK145" i="4"/>
  <c r="BK148" i="4"/>
  <c r="BK144" i="4"/>
  <c r="BK115" i="4"/>
  <c r="BK116" i="4"/>
  <c r="BK57" i="4"/>
  <c r="BM57" i="4" s="1"/>
  <c r="BK93" i="4"/>
  <c r="BK75" i="4"/>
  <c r="BM75" i="4" s="1"/>
  <c r="BK102" i="4"/>
  <c r="BK44" i="4"/>
  <c r="BM44" i="4" s="1"/>
  <c r="BK17" i="4"/>
  <c r="BM17" i="4" s="1"/>
  <c r="BK123" i="4"/>
  <c r="BK7" i="4"/>
  <c r="BM7" i="4" s="1"/>
  <c r="AZ7" i="4"/>
  <c r="AZ31" i="4"/>
  <c r="AZ134" i="4"/>
  <c r="AZ130" i="4"/>
  <c r="AZ109" i="4"/>
  <c r="AZ95" i="4"/>
  <c r="AZ148" i="4"/>
  <c r="AZ132" i="4"/>
  <c r="AZ76" i="4"/>
  <c r="AZ8" i="4"/>
  <c r="BC8" i="4" s="1"/>
  <c r="AZ24" i="4"/>
  <c r="AZ40" i="4"/>
  <c r="AZ56" i="4"/>
  <c r="AZ72" i="4"/>
  <c r="AZ88" i="4"/>
  <c r="AZ102" i="4"/>
  <c r="AZ118" i="4"/>
  <c r="AZ22" i="4"/>
  <c r="AZ38" i="4"/>
  <c r="AZ54" i="4"/>
  <c r="AZ70" i="4"/>
  <c r="AZ86" i="4"/>
  <c r="AZ100" i="4"/>
  <c r="AZ116" i="4"/>
  <c r="AZ10" i="4"/>
  <c r="AZ26" i="4"/>
  <c r="AZ42" i="4"/>
  <c r="AZ58" i="4"/>
  <c r="AZ74" i="4"/>
  <c r="AZ90" i="4"/>
  <c r="AZ107" i="4"/>
  <c r="AZ123" i="4"/>
  <c r="AZ152" i="4"/>
  <c r="AZ136" i="4"/>
  <c r="AZ92" i="4"/>
  <c r="AZ28" i="4"/>
  <c r="AZ146" i="4"/>
  <c r="AZ68" i="4"/>
  <c r="AZ157" i="4"/>
  <c r="AZ156" i="4"/>
  <c r="AZ16" i="4"/>
  <c r="AZ80" i="4"/>
  <c r="AZ110" i="4"/>
  <c r="AZ78" i="4"/>
  <c r="AZ34" i="4"/>
  <c r="AZ131" i="4"/>
  <c r="AZ117" i="4"/>
  <c r="AZ36" i="4"/>
  <c r="AZ12" i="4"/>
  <c r="AZ145" i="4"/>
  <c r="AZ137" i="4"/>
  <c r="AZ154" i="4"/>
  <c r="BB7" i="4"/>
  <c r="AZ143" i="4"/>
  <c r="AZ126" i="4"/>
  <c r="AZ55" i="4"/>
  <c r="AZ11" i="4"/>
  <c r="AZ27" i="4"/>
  <c r="AZ43" i="4"/>
  <c r="AZ59" i="4"/>
  <c r="AZ75" i="4"/>
  <c r="AZ91" i="4"/>
  <c r="AZ105" i="4"/>
  <c r="AZ9" i="4"/>
  <c r="AZ25" i="4"/>
  <c r="R25" i="4" s="1"/>
  <c r="AF25" i="4" s="1"/>
  <c r="AZ41" i="4"/>
  <c r="AZ57" i="4"/>
  <c r="AZ73" i="4"/>
  <c r="AZ89" i="4"/>
  <c r="AZ103" i="4"/>
  <c r="AZ119" i="4"/>
  <c r="AZ13" i="4"/>
  <c r="AZ29" i="4"/>
  <c r="AZ45" i="4"/>
  <c r="AZ61" i="4"/>
  <c r="AZ77" i="4"/>
  <c r="AZ93" i="4"/>
  <c r="AZ112" i="4"/>
  <c r="AZ128" i="4"/>
  <c r="AZ147" i="4"/>
  <c r="AZ125" i="4"/>
  <c r="AZ71" i="4"/>
  <c r="AZ141" i="4"/>
  <c r="AZ122" i="4"/>
  <c r="AZ47" i="4"/>
  <c r="AZ20" i="4"/>
  <c r="AZ101" i="4"/>
  <c r="AZ48" i="4"/>
  <c r="AZ96" i="4"/>
  <c r="AZ30" i="4"/>
  <c r="AZ46" i="4"/>
  <c r="AZ18" i="4"/>
  <c r="AZ82" i="4"/>
  <c r="AZ98" i="4"/>
  <c r="AZ115" i="4"/>
  <c r="AZ60" i="4"/>
  <c r="AZ114" i="4"/>
  <c r="AZ142" i="4"/>
  <c r="AZ84" i="4"/>
  <c r="AZ52" i="4"/>
  <c r="AZ150" i="4"/>
  <c r="AZ63" i="4"/>
  <c r="AZ151" i="4"/>
  <c r="AZ135" i="4"/>
  <c r="AZ87" i="4"/>
  <c r="AZ23" i="4"/>
  <c r="AZ19" i="4"/>
  <c r="AZ35" i="4"/>
  <c r="AZ51" i="4"/>
  <c r="AZ67" i="4"/>
  <c r="AZ83" i="4"/>
  <c r="AZ99" i="4"/>
  <c r="AZ113" i="4"/>
  <c r="AZ17" i="4"/>
  <c r="AZ33" i="4"/>
  <c r="AZ49" i="4"/>
  <c r="AZ65" i="4"/>
  <c r="AZ81" i="4"/>
  <c r="AZ97" i="4"/>
  <c r="AZ111" i="4"/>
  <c r="AZ127" i="4"/>
  <c r="AZ21" i="4"/>
  <c r="AZ37" i="4"/>
  <c r="AZ53" i="4"/>
  <c r="AZ69" i="4"/>
  <c r="AZ85" i="4"/>
  <c r="AZ104" i="4"/>
  <c r="AZ120" i="4"/>
  <c r="AZ155" i="4"/>
  <c r="AZ139" i="4"/>
  <c r="AZ106" i="4"/>
  <c r="AZ39" i="4"/>
  <c r="AZ149" i="4"/>
  <c r="AZ133" i="4"/>
  <c r="AZ79" i="4"/>
  <c r="AZ15" i="4"/>
  <c r="AZ129" i="4"/>
  <c r="AZ153" i="4"/>
  <c r="AZ121" i="4"/>
  <c r="AZ140" i="4"/>
  <c r="AZ44" i="4"/>
  <c r="AZ32" i="4"/>
  <c r="AZ64" i="4"/>
  <c r="AZ14" i="4"/>
  <c r="AZ62" i="4"/>
  <c r="AZ94" i="4"/>
  <c r="AZ108" i="4"/>
  <c r="AZ124" i="4"/>
  <c r="AZ50" i="4"/>
  <c r="AZ66" i="4"/>
  <c r="AZ144" i="4"/>
  <c r="AZ138" i="4"/>
  <c r="B56" i="3"/>
  <c r="BM96" i="4" l="1"/>
  <c r="BB14" i="4"/>
  <c r="BH14" i="4" s="1"/>
  <c r="BC14" i="4"/>
  <c r="BB120" i="4"/>
  <c r="BH120" i="4" s="1"/>
  <c r="BC120" i="4"/>
  <c r="BB99" i="4"/>
  <c r="BH99" i="4" s="1"/>
  <c r="BC99" i="4"/>
  <c r="BB35" i="4"/>
  <c r="BH35" i="4" s="1"/>
  <c r="BC35" i="4"/>
  <c r="BB135" i="4"/>
  <c r="BH135" i="4" s="1"/>
  <c r="BC135" i="4"/>
  <c r="BB52" i="4"/>
  <c r="BH52" i="4" s="1"/>
  <c r="BC52" i="4"/>
  <c r="BC60" i="4"/>
  <c r="BB60" i="4"/>
  <c r="BH60" i="4" s="1"/>
  <c r="BB18" i="4"/>
  <c r="BH18" i="4" s="1"/>
  <c r="BC18" i="4"/>
  <c r="BC48" i="4"/>
  <c r="BB48" i="4"/>
  <c r="BH48" i="4" s="1"/>
  <c r="BB122" i="4"/>
  <c r="BH122" i="4" s="1"/>
  <c r="BC122" i="4"/>
  <c r="BC147" i="4"/>
  <c r="BB147" i="4"/>
  <c r="BH147" i="4" s="1"/>
  <c r="BC77" i="4"/>
  <c r="BB77" i="4"/>
  <c r="BH77" i="4" s="1"/>
  <c r="BC13" i="4"/>
  <c r="BB13" i="4"/>
  <c r="BH13" i="4" s="1"/>
  <c r="BC73" i="4"/>
  <c r="BB73" i="4"/>
  <c r="BH73" i="4" s="1"/>
  <c r="BB9" i="4"/>
  <c r="BH9" i="4" s="1"/>
  <c r="BC9" i="4"/>
  <c r="BC59" i="4"/>
  <c r="BB59" i="4"/>
  <c r="BH59" i="4" s="1"/>
  <c r="BB55" i="4"/>
  <c r="BH55" i="4" s="1"/>
  <c r="BC55" i="4"/>
  <c r="BC154" i="4"/>
  <c r="BB154" i="4"/>
  <c r="BH154" i="4" s="1"/>
  <c r="BB36" i="4"/>
  <c r="BH36" i="4" s="1"/>
  <c r="BC36" i="4"/>
  <c r="BB78" i="4"/>
  <c r="BH78" i="4" s="1"/>
  <c r="BC78" i="4"/>
  <c r="BB156" i="4"/>
  <c r="BH156" i="4" s="1"/>
  <c r="BC156" i="4"/>
  <c r="BB28" i="4"/>
  <c r="BH28" i="4" s="1"/>
  <c r="BC28" i="4"/>
  <c r="BC123" i="4"/>
  <c r="BB123" i="4"/>
  <c r="BH123" i="4" s="1"/>
  <c r="BB58" i="4"/>
  <c r="BH58" i="4" s="1"/>
  <c r="BC58" i="4"/>
  <c r="BB116" i="4"/>
  <c r="BH116" i="4" s="1"/>
  <c r="BC116" i="4"/>
  <c r="BB54" i="4"/>
  <c r="BH54" i="4" s="1"/>
  <c r="BC54" i="4"/>
  <c r="BB102" i="4"/>
  <c r="BH102" i="4" s="1"/>
  <c r="BC102" i="4"/>
  <c r="BC40" i="4"/>
  <c r="BB40" i="4"/>
  <c r="BH40" i="4" s="1"/>
  <c r="BB132" i="4"/>
  <c r="BH132" i="4" s="1"/>
  <c r="BC132" i="4"/>
  <c r="BB130" i="4"/>
  <c r="BH130" i="4" s="1"/>
  <c r="BC130" i="4"/>
  <c r="BM148" i="4"/>
  <c r="BS148" i="4" s="1"/>
  <c r="BN148" i="4"/>
  <c r="BM155" i="4"/>
  <c r="BS155" i="4" s="1"/>
  <c r="BN155" i="4"/>
  <c r="BM138" i="4"/>
  <c r="BN138" i="4"/>
  <c r="BM150" i="4"/>
  <c r="BS150" i="4" s="1"/>
  <c r="BN150" i="4"/>
  <c r="BM98" i="4"/>
  <c r="BN98" i="4"/>
  <c r="BM156" i="4"/>
  <c r="BP156" i="4" s="1"/>
  <c r="BQ156" i="4" s="1"/>
  <c r="BN156" i="4"/>
  <c r="BM108" i="4"/>
  <c r="BN108" i="4"/>
  <c r="BM114" i="4"/>
  <c r="BP114" i="4" s="1"/>
  <c r="BQ114" i="4" s="1"/>
  <c r="BN114" i="4"/>
  <c r="BM128" i="4"/>
  <c r="BN128" i="4"/>
  <c r="BM135" i="4"/>
  <c r="BP135" i="4" s="1"/>
  <c r="BQ135" i="4" s="1"/>
  <c r="BN135" i="4"/>
  <c r="BM85" i="4"/>
  <c r="BN85" i="4"/>
  <c r="BM141" i="4"/>
  <c r="BS141" i="4" s="1"/>
  <c r="BN141" i="4"/>
  <c r="BM112" i="4"/>
  <c r="BN112" i="4"/>
  <c r="BM88" i="4"/>
  <c r="BS88" i="4" s="1"/>
  <c r="BN88" i="4"/>
  <c r="BB140" i="4"/>
  <c r="BH140" i="4" s="1"/>
  <c r="BC140" i="4"/>
  <c r="BC53" i="4"/>
  <c r="BB53" i="4"/>
  <c r="BH53" i="4" s="1"/>
  <c r="BB144" i="4"/>
  <c r="BH144" i="4" s="1"/>
  <c r="BC144" i="4"/>
  <c r="BB121" i="4"/>
  <c r="BH121" i="4" s="1"/>
  <c r="BC121" i="4"/>
  <c r="BB104" i="4"/>
  <c r="BH104" i="4" s="1"/>
  <c r="BC104" i="4"/>
  <c r="BB37" i="4"/>
  <c r="BH37" i="4" s="1"/>
  <c r="BC37" i="4"/>
  <c r="BC97" i="4"/>
  <c r="BB97" i="4"/>
  <c r="BH97" i="4" s="1"/>
  <c r="BB33" i="4"/>
  <c r="BH33" i="4" s="1"/>
  <c r="BC33" i="4"/>
  <c r="BC83" i="4"/>
  <c r="BB83" i="4"/>
  <c r="BH83" i="4" s="1"/>
  <c r="BC19" i="4"/>
  <c r="BB19" i="4"/>
  <c r="BH19" i="4" s="1"/>
  <c r="BB151" i="4"/>
  <c r="BH151" i="4" s="1"/>
  <c r="BC151" i="4"/>
  <c r="BC84" i="4"/>
  <c r="BB84" i="4"/>
  <c r="BH84" i="4" s="1"/>
  <c r="BB115" i="4"/>
  <c r="BH115" i="4" s="1"/>
  <c r="BC115" i="4"/>
  <c r="BC46" i="4"/>
  <c r="BB46" i="4"/>
  <c r="BH46" i="4" s="1"/>
  <c r="BC101" i="4"/>
  <c r="BB101" i="4"/>
  <c r="BH101" i="4" s="1"/>
  <c r="BB141" i="4"/>
  <c r="BH141" i="4" s="1"/>
  <c r="BC141" i="4"/>
  <c r="BB128" i="4"/>
  <c r="BH128" i="4" s="1"/>
  <c r="BC128" i="4"/>
  <c r="BB61" i="4"/>
  <c r="BH61" i="4" s="1"/>
  <c r="BC61" i="4"/>
  <c r="BB119" i="4"/>
  <c r="BH119" i="4" s="1"/>
  <c r="BC119" i="4"/>
  <c r="BB57" i="4"/>
  <c r="BH57" i="4" s="1"/>
  <c r="BC57" i="4"/>
  <c r="BB105" i="4"/>
  <c r="BH105" i="4" s="1"/>
  <c r="BC105" i="4"/>
  <c r="BC43" i="4"/>
  <c r="BB43" i="4"/>
  <c r="BH43" i="4" s="1"/>
  <c r="BB126" i="4"/>
  <c r="BH126" i="4" s="1"/>
  <c r="BC126" i="4"/>
  <c r="BB137" i="4"/>
  <c r="BH137" i="4" s="1"/>
  <c r="BC137" i="4"/>
  <c r="BB117" i="4"/>
  <c r="BH117" i="4" s="1"/>
  <c r="BC117" i="4"/>
  <c r="BB110" i="4"/>
  <c r="BH110" i="4" s="1"/>
  <c r="BC110" i="4"/>
  <c r="BC157" i="4"/>
  <c r="BB157" i="4"/>
  <c r="BH157" i="4" s="1"/>
  <c r="BC92" i="4"/>
  <c r="BB92" i="4"/>
  <c r="BH92" i="4" s="1"/>
  <c r="BB107" i="4"/>
  <c r="BH107" i="4" s="1"/>
  <c r="BC107" i="4"/>
  <c r="BB42" i="4"/>
  <c r="BH42" i="4" s="1"/>
  <c r="BC42" i="4"/>
  <c r="BB100" i="4"/>
  <c r="BH100" i="4" s="1"/>
  <c r="BC100" i="4"/>
  <c r="BB38" i="4"/>
  <c r="BH38" i="4" s="1"/>
  <c r="BC38" i="4"/>
  <c r="BB88" i="4"/>
  <c r="BH88" i="4" s="1"/>
  <c r="BC88" i="4"/>
  <c r="BC24" i="4"/>
  <c r="BB24" i="4"/>
  <c r="BH24" i="4" s="1"/>
  <c r="BB148" i="4"/>
  <c r="BH148" i="4" s="1"/>
  <c r="BC148" i="4"/>
  <c r="BB134" i="4"/>
  <c r="BH134" i="4" s="1"/>
  <c r="BC134" i="4"/>
  <c r="BM102" i="4"/>
  <c r="BN102" i="4"/>
  <c r="BM116" i="4"/>
  <c r="BS116" i="4" s="1"/>
  <c r="BN116" i="4"/>
  <c r="BM145" i="4"/>
  <c r="BN145" i="4"/>
  <c r="BM106" i="4"/>
  <c r="BS106" i="4" s="1"/>
  <c r="BN106" i="4"/>
  <c r="BM130" i="4"/>
  <c r="BN130" i="4"/>
  <c r="BM137" i="4"/>
  <c r="BP137" i="4" s="1"/>
  <c r="BQ137" i="4" s="1"/>
  <c r="BN137" i="4"/>
  <c r="BM81" i="4"/>
  <c r="BP81" i="4" s="1"/>
  <c r="BQ81" i="4" s="1"/>
  <c r="BN81" i="4"/>
  <c r="BM99" i="4"/>
  <c r="BS99" i="4" s="1"/>
  <c r="BN99" i="4"/>
  <c r="BM151" i="4"/>
  <c r="BN151" i="4"/>
  <c r="BM122" i="4"/>
  <c r="BS122" i="4" s="1"/>
  <c r="BN122" i="4"/>
  <c r="BM84" i="4"/>
  <c r="BN84" i="4"/>
  <c r="BM146" i="4"/>
  <c r="BS146" i="4" s="1"/>
  <c r="BN146" i="4"/>
  <c r="BM117" i="4"/>
  <c r="BP117" i="4" s="1"/>
  <c r="BQ117" i="4" s="1"/>
  <c r="BN117" i="4"/>
  <c r="BM87" i="4"/>
  <c r="BP87" i="4" s="1"/>
  <c r="BQ87" i="4" s="1"/>
  <c r="BN87" i="4"/>
  <c r="BM129" i="4"/>
  <c r="BS129" i="4" s="1"/>
  <c r="BN129" i="4"/>
  <c r="BM104" i="4"/>
  <c r="BS104" i="4" s="1"/>
  <c r="BN104" i="4"/>
  <c r="BM157" i="4"/>
  <c r="BN157" i="4"/>
  <c r="BM120" i="4"/>
  <c r="BP120" i="4" s="1"/>
  <c r="BQ120" i="4" s="1"/>
  <c r="BN120" i="4"/>
  <c r="BM132" i="4"/>
  <c r="BN132" i="4"/>
  <c r="BM134" i="4"/>
  <c r="BS134" i="4" s="1"/>
  <c r="BN134" i="4"/>
  <c r="BM109" i="4"/>
  <c r="BN109" i="4"/>
  <c r="BB138" i="4"/>
  <c r="BH138" i="4" s="1"/>
  <c r="BC138" i="4"/>
  <c r="BB15" i="4"/>
  <c r="BH15" i="4" s="1"/>
  <c r="BC15" i="4"/>
  <c r="BC111" i="4"/>
  <c r="BB111" i="4"/>
  <c r="BH111" i="4" s="1"/>
  <c r="BB108" i="4"/>
  <c r="BH108" i="4" s="1"/>
  <c r="BC108" i="4"/>
  <c r="BC79" i="4"/>
  <c r="BB79" i="4"/>
  <c r="BH79" i="4" s="1"/>
  <c r="BB94" i="4"/>
  <c r="BH94" i="4" s="1"/>
  <c r="BC94" i="4"/>
  <c r="BC133" i="4"/>
  <c r="BB133" i="4"/>
  <c r="BH133" i="4" s="1"/>
  <c r="BB21" i="4"/>
  <c r="BH21" i="4" s="1"/>
  <c r="BC21" i="4"/>
  <c r="BC17" i="4"/>
  <c r="BB17" i="4"/>
  <c r="BH17" i="4" s="1"/>
  <c r="BB23" i="4"/>
  <c r="BH23" i="4" s="1"/>
  <c r="BC23" i="4"/>
  <c r="BB142" i="4"/>
  <c r="BH142" i="4" s="1"/>
  <c r="BC142" i="4"/>
  <c r="BB30" i="4"/>
  <c r="BH30" i="4" s="1"/>
  <c r="BC30" i="4"/>
  <c r="BB20" i="4"/>
  <c r="BH20" i="4" s="1"/>
  <c r="BC20" i="4"/>
  <c r="BC71" i="4"/>
  <c r="BB71" i="4"/>
  <c r="BH71" i="4" s="1"/>
  <c r="BB112" i="4"/>
  <c r="BH112" i="4" s="1"/>
  <c r="BC112" i="4"/>
  <c r="BC45" i="4"/>
  <c r="BB45" i="4"/>
  <c r="BH45" i="4" s="1"/>
  <c r="BB103" i="4"/>
  <c r="BH103" i="4" s="1"/>
  <c r="BC103" i="4"/>
  <c r="BB41" i="4"/>
  <c r="BH41" i="4" s="1"/>
  <c r="BC41" i="4"/>
  <c r="BB91" i="4"/>
  <c r="BH91" i="4" s="1"/>
  <c r="BC91" i="4"/>
  <c r="BC27" i="4"/>
  <c r="BB27" i="4"/>
  <c r="BH27" i="4" s="1"/>
  <c r="BC143" i="4"/>
  <c r="BB143" i="4"/>
  <c r="BH143" i="4" s="1"/>
  <c r="BB145" i="4"/>
  <c r="BH145" i="4" s="1"/>
  <c r="BC145" i="4"/>
  <c r="BB131" i="4"/>
  <c r="BH131" i="4" s="1"/>
  <c r="BC131" i="4"/>
  <c r="BB80" i="4"/>
  <c r="BH80" i="4" s="1"/>
  <c r="BC80" i="4"/>
  <c r="BC68" i="4"/>
  <c r="BB68" i="4"/>
  <c r="BH68" i="4" s="1"/>
  <c r="BB136" i="4"/>
  <c r="BH136" i="4" s="1"/>
  <c r="BC136" i="4"/>
  <c r="BB90" i="4"/>
  <c r="BH90" i="4" s="1"/>
  <c r="BC90" i="4"/>
  <c r="BB26" i="4"/>
  <c r="BH26" i="4" s="1"/>
  <c r="BC26" i="4"/>
  <c r="BB86" i="4"/>
  <c r="BH86" i="4" s="1"/>
  <c r="BC86" i="4"/>
  <c r="BB22" i="4"/>
  <c r="BH22" i="4" s="1"/>
  <c r="BC22" i="4"/>
  <c r="BB72" i="4"/>
  <c r="BH72" i="4" s="1"/>
  <c r="BC72" i="4"/>
  <c r="BC95" i="4"/>
  <c r="BB95" i="4"/>
  <c r="BH95" i="4" s="1"/>
  <c r="BB31" i="4"/>
  <c r="BH31" i="4" s="1"/>
  <c r="BC31" i="4"/>
  <c r="BM123" i="4"/>
  <c r="BP123" i="4" s="1"/>
  <c r="BQ123" i="4" s="1"/>
  <c r="BN123" i="4"/>
  <c r="BM115" i="4"/>
  <c r="BS115" i="4" s="1"/>
  <c r="BN115" i="4"/>
  <c r="BM97" i="4"/>
  <c r="BS97" i="4" s="1"/>
  <c r="BN97" i="4"/>
  <c r="BM140" i="4"/>
  <c r="BS140" i="4" s="1"/>
  <c r="BN140" i="4"/>
  <c r="BM143" i="4"/>
  <c r="BP143" i="4" s="1"/>
  <c r="BQ143" i="4" s="1"/>
  <c r="BN143" i="4"/>
  <c r="BM107" i="4"/>
  <c r="BS107" i="4" s="1"/>
  <c r="BN107" i="4"/>
  <c r="BM92" i="4"/>
  <c r="BS92" i="4" s="1"/>
  <c r="BN92" i="4"/>
  <c r="BM126" i="4"/>
  <c r="BP126" i="4" s="1"/>
  <c r="BQ126" i="4" s="1"/>
  <c r="BN126" i="4"/>
  <c r="BM101" i="4"/>
  <c r="BS101" i="4" s="1"/>
  <c r="BN101" i="4"/>
  <c r="BM105" i="4"/>
  <c r="BP105" i="4" s="1"/>
  <c r="BQ105" i="4" s="1"/>
  <c r="BN105" i="4"/>
  <c r="BM131" i="4"/>
  <c r="BP131" i="4" s="1"/>
  <c r="BQ131" i="4" s="1"/>
  <c r="BN131" i="4"/>
  <c r="BM142" i="4"/>
  <c r="BS142" i="4" s="1"/>
  <c r="BN142" i="4"/>
  <c r="BM154" i="4"/>
  <c r="BP154" i="4" s="1"/>
  <c r="BQ154" i="4" s="1"/>
  <c r="BN154" i="4"/>
  <c r="BM121" i="4"/>
  <c r="BS121" i="4" s="1"/>
  <c r="BN121" i="4"/>
  <c r="BM83" i="4"/>
  <c r="BS83" i="4" s="1"/>
  <c r="BN83" i="4"/>
  <c r="BM153" i="4"/>
  <c r="BS153" i="4" s="1"/>
  <c r="BN153" i="4"/>
  <c r="BM111" i="4"/>
  <c r="BP111" i="4" s="1"/>
  <c r="BQ111" i="4" s="1"/>
  <c r="BN111" i="4"/>
  <c r="BM139" i="4"/>
  <c r="BP139" i="4" s="1"/>
  <c r="BQ139" i="4" s="1"/>
  <c r="BN139" i="4"/>
  <c r="BM119" i="4"/>
  <c r="BS119" i="4" s="1"/>
  <c r="BN119" i="4"/>
  <c r="BM91" i="4"/>
  <c r="BP91" i="4" s="1"/>
  <c r="BQ91" i="4" s="1"/>
  <c r="BN91" i="4"/>
  <c r="BM95" i="4"/>
  <c r="BP95" i="4" s="1"/>
  <c r="BQ95" i="4" s="1"/>
  <c r="BN95" i="4"/>
  <c r="BB124" i="4"/>
  <c r="BH124" i="4" s="1"/>
  <c r="BC124" i="4"/>
  <c r="BB39" i="4"/>
  <c r="BH39" i="4" s="1"/>
  <c r="BC39" i="4"/>
  <c r="BB49" i="4"/>
  <c r="BH49" i="4" s="1"/>
  <c r="BC49" i="4"/>
  <c r="BB64" i="4"/>
  <c r="BH64" i="4" s="1"/>
  <c r="BC64" i="4"/>
  <c r="BB106" i="4"/>
  <c r="BH106" i="4" s="1"/>
  <c r="BC106" i="4"/>
  <c r="BC66" i="4"/>
  <c r="BB66" i="4"/>
  <c r="BH66" i="4" s="1"/>
  <c r="BC32" i="4"/>
  <c r="BB32" i="4"/>
  <c r="BH32" i="4" s="1"/>
  <c r="BC153" i="4"/>
  <c r="BB153" i="4"/>
  <c r="BH153" i="4" s="1"/>
  <c r="BB139" i="4"/>
  <c r="BH139" i="4" s="1"/>
  <c r="BC139" i="4"/>
  <c r="BC85" i="4"/>
  <c r="BB85" i="4"/>
  <c r="BH85" i="4" s="1"/>
  <c r="BB81" i="4"/>
  <c r="BH81" i="4" s="1"/>
  <c r="BC81" i="4"/>
  <c r="BC67" i="4"/>
  <c r="BB67" i="4"/>
  <c r="BH67" i="4" s="1"/>
  <c r="BB63" i="4"/>
  <c r="BH63" i="4" s="1"/>
  <c r="BC63" i="4"/>
  <c r="BB98" i="4"/>
  <c r="BH98" i="4" s="1"/>
  <c r="BC98" i="4"/>
  <c r="BB50" i="4"/>
  <c r="BH50" i="4" s="1"/>
  <c r="BC50" i="4"/>
  <c r="BC62" i="4"/>
  <c r="BB62" i="4"/>
  <c r="BH62" i="4" s="1"/>
  <c r="BC44" i="4"/>
  <c r="BB44" i="4"/>
  <c r="BH44" i="4" s="1"/>
  <c r="BC129" i="4"/>
  <c r="BB129" i="4"/>
  <c r="BH129" i="4" s="1"/>
  <c r="BC149" i="4"/>
  <c r="BB149" i="4"/>
  <c r="BH149" i="4" s="1"/>
  <c r="BB155" i="4"/>
  <c r="BH155" i="4" s="1"/>
  <c r="BC155" i="4"/>
  <c r="BC69" i="4"/>
  <c r="BB69" i="4"/>
  <c r="BH69" i="4" s="1"/>
  <c r="BB127" i="4"/>
  <c r="BH127" i="4" s="1"/>
  <c r="BC127" i="4"/>
  <c r="BB65" i="4"/>
  <c r="BH65" i="4" s="1"/>
  <c r="BC65" i="4"/>
  <c r="BB113" i="4"/>
  <c r="BH113" i="4" s="1"/>
  <c r="BC113" i="4"/>
  <c r="BB51" i="4"/>
  <c r="BH51" i="4" s="1"/>
  <c r="BC51" i="4"/>
  <c r="BC87" i="4"/>
  <c r="BB87" i="4"/>
  <c r="BH87" i="4" s="1"/>
  <c r="BB150" i="4"/>
  <c r="BH150" i="4" s="1"/>
  <c r="BC150" i="4"/>
  <c r="BB114" i="4"/>
  <c r="BH114" i="4" s="1"/>
  <c r="BC114" i="4"/>
  <c r="BC82" i="4"/>
  <c r="BB82" i="4"/>
  <c r="BH82" i="4" s="1"/>
  <c r="BB96" i="4"/>
  <c r="BH96" i="4" s="1"/>
  <c r="BC96" i="4"/>
  <c r="BB47" i="4"/>
  <c r="BH47" i="4" s="1"/>
  <c r="BC47" i="4"/>
  <c r="BC125" i="4"/>
  <c r="BB125" i="4"/>
  <c r="BH125" i="4" s="1"/>
  <c r="BC93" i="4"/>
  <c r="BB93" i="4"/>
  <c r="BH93" i="4" s="1"/>
  <c r="BC29" i="4"/>
  <c r="BB29" i="4"/>
  <c r="BH29" i="4" s="1"/>
  <c r="BC89" i="4"/>
  <c r="BB89" i="4"/>
  <c r="BH89" i="4" s="1"/>
  <c r="BB25" i="4"/>
  <c r="BH25" i="4" s="1"/>
  <c r="BC25" i="4"/>
  <c r="BC75" i="4"/>
  <c r="BB75" i="4"/>
  <c r="BH75" i="4" s="1"/>
  <c r="BB11" i="4"/>
  <c r="BH11" i="4" s="1"/>
  <c r="BC11" i="4"/>
  <c r="BB12" i="4"/>
  <c r="BH12" i="4" s="1"/>
  <c r="BC12" i="4"/>
  <c r="BB34" i="4"/>
  <c r="BH34" i="4" s="1"/>
  <c r="BC34" i="4"/>
  <c r="BC16" i="4"/>
  <c r="BB16" i="4"/>
  <c r="BH16" i="4" s="1"/>
  <c r="BB146" i="4"/>
  <c r="BH146" i="4" s="1"/>
  <c r="BC146" i="4"/>
  <c r="BB152" i="4"/>
  <c r="BH152" i="4" s="1"/>
  <c r="BC152" i="4"/>
  <c r="BC74" i="4"/>
  <c r="BB74" i="4"/>
  <c r="BH74" i="4" s="1"/>
  <c r="BB10" i="4"/>
  <c r="BH10" i="4" s="1"/>
  <c r="BC10" i="4"/>
  <c r="BC70" i="4"/>
  <c r="BB70" i="4"/>
  <c r="BH70" i="4" s="1"/>
  <c r="BB118" i="4"/>
  <c r="BH118" i="4" s="1"/>
  <c r="BC118" i="4"/>
  <c r="BB56" i="4"/>
  <c r="BH56" i="4" s="1"/>
  <c r="BC56" i="4"/>
  <c r="BC76" i="4"/>
  <c r="BB76" i="4"/>
  <c r="BH76" i="4" s="1"/>
  <c r="BB109" i="4"/>
  <c r="BH109" i="4" s="1"/>
  <c r="BC109" i="4"/>
  <c r="BM93" i="4"/>
  <c r="BP93" i="4" s="1"/>
  <c r="BQ93" i="4" s="1"/>
  <c r="BN93" i="4"/>
  <c r="BM144" i="4"/>
  <c r="BS144" i="4" s="1"/>
  <c r="BN144" i="4"/>
  <c r="BM127" i="4"/>
  <c r="BP127" i="4" s="1"/>
  <c r="BQ127" i="4" s="1"/>
  <c r="BN127" i="4"/>
  <c r="BM103" i="4"/>
  <c r="BP103" i="4" s="1"/>
  <c r="BQ103" i="4" s="1"/>
  <c r="BN103" i="4"/>
  <c r="BM100" i="4"/>
  <c r="BS100" i="4" s="1"/>
  <c r="BN100" i="4"/>
  <c r="BM125" i="4"/>
  <c r="BS125" i="4" s="1"/>
  <c r="BN125" i="4"/>
  <c r="BM80" i="4"/>
  <c r="BS80" i="4" s="1"/>
  <c r="BN80" i="4"/>
  <c r="BM90" i="4"/>
  <c r="BS90" i="4" s="1"/>
  <c r="BN90" i="4"/>
  <c r="BM124" i="4"/>
  <c r="BP124" i="4" s="1"/>
  <c r="BQ124" i="4" s="1"/>
  <c r="BN124" i="4"/>
  <c r="BM86" i="4"/>
  <c r="BS86" i="4" s="1"/>
  <c r="BN86" i="4"/>
  <c r="BM118" i="4"/>
  <c r="BP118" i="4" s="1"/>
  <c r="BQ118" i="4" s="1"/>
  <c r="BN118" i="4"/>
  <c r="BM136" i="4"/>
  <c r="BS136" i="4" s="1"/>
  <c r="BN136" i="4"/>
  <c r="BM149" i="4"/>
  <c r="BP149" i="4" s="1"/>
  <c r="BQ149" i="4" s="1"/>
  <c r="BN149" i="4"/>
  <c r="BM152" i="4"/>
  <c r="BP152" i="4" s="1"/>
  <c r="BQ152" i="4" s="1"/>
  <c r="BN152" i="4"/>
  <c r="BM110" i="4"/>
  <c r="BS110" i="4" s="1"/>
  <c r="BN110" i="4"/>
  <c r="BM89" i="4"/>
  <c r="BS89" i="4" s="1"/>
  <c r="BN89" i="4"/>
  <c r="BM147" i="4"/>
  <c r="BP147" i="4" s="1"/>
  <c r="BQ147" i="4" s="1"/>
  <c r="BN147" i="4"/>
  <c r="BM82" i="4"/>
  <c r="BP82" i="4" s="1"/>
  <c r="BQ82" i="4" s="1"/>
  <c r="BN82" i="4"/>
  <c r="BM133" i="4"/>
  <c r="BS133" i="4" s="1"/>
  <c r="BN133" i="4"/>
  <c r="BM113" i="4"/>
  <c r="BS113" i="4" s="1"/>
  <c r="BN113" i="4"/>
  <c r="BM94" i="4"/>
  <c r="BP94" i="4" s="1"/>
  <c r="BQ94" i="4" s="1"/>
  <c r="BN94" i="4"/>
  <c r="R17" i="4"/>
  <c r="AF17" i="4" s="1"/>
  <c r="BP24" i="4"/>
  <c r="BQ24" i="4" s="1"/>
  <c r="BS24" i="4"/>
  <c r="BS44" i="4"/>
  <c r="BP44" i="4"/>
  <c r="BQ44" i="4" s="1"/>
  <c r="BS32" i="4"/>
  <c r="BP32" i="4"/>
  <c r="BQ32" i="4" s="1"/>
  <c r="BS56" i="4"/>
  <c r="BP56" i="4"/>
  <c r="BQ56" i="4" s="1"/>
  <c r="BP72" i="4"/>
  <c r="BQ72" i="4" s="1"/>
  <c r="BS72" i="4"/>
  <c r="BS96" i="4"/>
  <c r="BP96" i="4"/>
  <c r="BQ96" i="4" s="1"/>
  <c r="BP42" i="4"/>
  <c r="BQ42" i="4" s="1"/>
  <c r="BS42" i="4"/>
  <c r="BP22" i="4"/>
  <c r="BQ22" i="4" s="1"/>
  <c r="BS22" i="4"/>
  <c r="BS59" i="4"/>
  <c r="BP59" i="4"/>
  <c r="BQ59" i="4" s="1"/>
  <c r="BP11" i="4"/>
  <c r="BQ11" i="4" s="1"/>
  <c r="BS11" i="4"/>
  <c r="BP12" i="4"/>
  <c r="BQ12" i="4" s="1"/>
  <c r="BS12" i="4"/>
  <c r="BP128" i="4"/>
  <c r="BQ128" i="4" s="1"/>
  <c r="BS128" i="4"/>
  <c r="BS85" i="4"/>
  <c r="BP85" i="4"/>
  <c r="BQ85" i="4" s="1"/>
  <c r="BP74" i="4"/>
  <c r="BQ74" i="4" s="1"/>
  <c r="BS74" i="4"/>
  <c r="BS112" i="4"/>
  <c r="BP112" i="4"/>
  <c r="BQ112" i="4" s="1"/>
  <c r="BP54" i="4"/>
  <c r="BQ54" i="4" s="1"/>
  <c r="BS54" i="4"/>
  <c r="BP58" i="4"/>
  <c r="BQ58" i="4" s="1"/>
  <c r="BS58" i="4"/>
  <c r="BP28" i="4"/>
  <c r="BQ28" i="4" s="1"/>
  <c r="BS28" i="4"/>
  <c r="BS65" i="4"/>
  <c r="BP65" i="4"/>
  <c r="BQ65" i="4" s="1"/>
  <c r="BS102" i="4"/>
  <c r="BP102" i="4"/>
  <c r="BQ102" i="4" s="1"/>
  <c r="BP145" i="4"/>
  <c r="BQ145" i="4" s="1"/>
  <c r="BS145" i="4"/>
  <c r="BS130" i="4"/>
  <c r="BP130" i="4"/>
  <c r="BQ130" i="4" s="1"/>
  <c r="BP15" i="4"/>
  <c r="BQ15" i="4" s="1"/>
  <c r="BS15" i="4"/>
  <c r="BS151" i="4"/>
  <c r="BP151" i="4"/>
  <c r="BQ151" i="4" s="1"/>
  <c r="BP39" i="4"/>
  <c r="BQ39" i="4" s="1"/>
  <c r="BS39" i="4"/>
  <c r="BP50" i="4"/>
  <c r="BQ50" i="4" s="1"/>
  <c r="BS50" i="4"/>
  <c r="BP70" i="4"/>
  <c r="BQ70" i="4" s="1"/>
  <c r="BS70" i="4"/>
  <c r="BS35" i="4"/>
  <c r="BP35" i="4"/>
  <c r="BQ35" i="4" s="1"/>
  <c r="BS157" i="4"/>
  <c r="BP157" i="4"/>
  <c r="BQ157" i="4" s="1"/>
  <c r="BP52" i="4"/>
  <c r="BQ52" i="4" s="1"/>
  <c r="BS52" i="4"/>
  <c r="BP75" i="4"/>
  <c r="BQ75" i="4" s="1"/>
  <c r="BS75" i="4"/>
  <c r="BS143" i="4"/>
  <c r="BS41" i="4"/>
  <c r="BP41" i="4"/>
  <c r="BQ41" i="4" s="1"/>
  <c r="BP60" i="4"/>
  <c r="BQ60" i="4" s="1"/>
  <c r="BS60" i="4"/>
  <c r="BS53" i="4"/>
  <c r="BP53" i="4"/>
  <c r="BQ53" i="4" s="1"/>
  <c r="BS45" i="4"/>
  <c r="BP45" i="4"/>
  <c r="BQ45" i="4" s="1"/>
  <c r="BP34" i="4"/>
  <c r="BQ34" i="4" s="1"/>
  <c r="BS34" i="4"/>
  <c r="BP64" i="4"/>
  <c r="BQ64" i="4" s="1"/>
  <c r="BS64" i="4"/>
  <c r="BP83" i="4"/>
  <c r="BQ83" i="4" s="1"/>
  <c r="BP13" i="4"/>
  <c r="BQ13" i="4" s="1"/>
  <c r="BS13" i="4"/>
  <c r="BP47" i="4"/>
  <c r="BQ47" i="4" s="1"/>
  <c r="BS47" i="4"/>
  <c r="BS27" i="4"/>
  <c r="BP27" i="4"/>
  <c r="BQ27" i="4" s="1"/>
  <c r="BS61" i="4"/>
  <c r="BP61" i="4"/>
  <c r="BQ61" i="4" s="1"/>
  <c r="BP31" i="4"/>
  <c r="BQ31" i="4" s="1"/>
  <c r="BS31" i="4"/>
  <c r="BP68" i="4"/>
  <c r="BQ68" i="4" s="1"/>
  <c r="BS68" i="4"/>
  <c r="BP36" i="4"/>
  <c r="BQ36" i="4" s="1"/>
  <c r="BS36" i="4"/>
  <c r="BS57" i="4"/>
  <c r="BP57" i="4"/>
  <c r="BQ57" i="4" s="1"/>
  <c r="BS29" i="4"/>
  <c r="BP29" i="4"/>
  <c r="BQ29" i="4" s="1"/>
  <c r="BS138" i="4"/>
  <c r="BP138" i="4"/>
  <c r="BQ138" i="4" s="1"/>
  <c r="BS55" i="4"/>
  <c r="BP55" i="4"/>
  <c r="BQ55" i="4" s="1"/>
  <c r="BS63" i="4"/>
  <c r="BP63" i="4"/>
  <c r="BQ63" i="4" s="1"/>
  <c r="BS98" i="4"/>
  <c r="BP98" i="4"/>
  <c r="BQ98" i="4" s="1"/>
  <c r="BS51" i="4"/>
  <c r="BP51" i="4"/>
  <c r="BQ51" i="4" s="1"/>
  <c r="BP66" i="4"/>
  <c r="BQ66" i="4" s="1"/>
  <c r="BS66" i="4"/>
  <c r="BS108" i="4"/>
  <c r="BP108" i="4"/>
  <c r="BQ108" i="4" s="1"/>
  <c r="BS79" i="4"/>
  <c r="BP79" i="4"/>
  <c r="BQ79" i="4" s="1"/>
  <c r="BS21" i="4"/>
  <c r="BP21" i="4"/>
  <c r="BQ21" i="4" s="1"/>
  <c r="BP10" i="4"/>
  <c r="BQ10" i="4" s="1"/>
  <c r="BS10" i="4"/>
  <c r="BS23" i="4"/>
  <c r="BP23" i="4"/>
  <c r="BQ23" i="4" s="1"/>
  <c r="BP49" i="4"/>
  <c r="BQ49" i="4" s="1"/>
  <c r="BS49" i="4"/>
  <c r="BP40" i="4"/>
  <c r="BQ40" i="4" s="1"/>
  <c r="BS40" i="4"/>
  <c r="BS76" i="4"/>
  <c r="BP76" i="4"/>
  <c r="BQ76" i="4" s="1"/>
  <c r="BP78" i="4"/>
  <c r="BQ78" i="4" s="1"/>
  <c r="BS78" i="4"/>
  <c r="BP16" i="4"/>
  <c r="BQ16" i="4" s="1"/>
  <c r="BS16" i="4"/>
  <c r="BS84" i="4"/>
  <c r="BP84" i="4"/>
  <c r="BQ84" i="4" s="1"/>
  <c r="BS132" i="4"/>
  <c r="BP132" i="4"/>
  <c r="BQ132" i="4" s="1"/>
  <c r="BS109" i="4"/>
  <c r="BP109" i="4"/>
  <c r="BQ109" i="4" s="1"/>
  <c r="BS48" i="4"/>
  <c r="BP48" i="4"/>
  <c r="BQ48" i="4" s="1"/>
  <c r="BS67" i="4"/>
  <c r="BP67" i="4"/>
  <c r="BQ67" i="4" s="1"/>
  <c r="BS19" i="4"/>
  <c r="BP19" i="4"/>
  <c r="BQ19" i="4" s="1"/>
  <c r="BP20" i="4"/>
  <c r="BQ20" i="4" s="1"/>
  <c r="BS20" i="4"/>
  <c r="BP14" i="4"/>
  <c r="BQ14" i="4" s="1"/>
  <c r="BS14" i="4"/>
  <c r="BS17" i="4"/>
  <c r="BP17" i="4"/>
  <c r="BQ17" i="4" s="1"/>
  <c r="BS37" i="4"/>
  <c r="BP37" i="4"/>
  <c r="BQ37" i="4" s="1"/>
  <c r="BS33" i="4"/>
  <c r="BP33" i="4"/>
  <c r="BQ33" i="4" s="1"/>
  <c r="BP77" i="4"/>
  <c r="BQ77" i="4" s="1"/>
  <c r="BS77" i="4"/>
  <c r="BP26" i="4"/>
  <c r="BQ26" i="4" s="1"/>
  <c r="BS26" i="4"/>
  <c r="BP18" i="4"/>
  <c r="BQ18" i="4" s="1"/>
  <c r="BS18" i="4"/>
  <c r="BP38" i="4"/>
  <c r="BQ38" i="4" s="1"/>
  <c r="BS38" i="4"/>
  <c r="BP30" i="4"/>
  <c r="BQ30" i="4" s="1"/>
  <c r="BS30" i="4"/>
  <c r="BS71" i="4"/>
  <c r="BP71" i="4"/>
  <c r="BQ71" i="4" s="1"/>
  <c r="BS43" i="4"/>
  <c r="BP43" i="4"/>
  <c r="BQ43" i="4" s="1"/>
  <c r="BS62" i="4"/>
  <c r="BP62" i="4"/>
  <c r="BQ62" i="4" s="1"/>
  <c r="BP25" i="4"/>
  <c r="BQ25" i="4" s="1"/>
  <c r="BS25" i="4"/>
  <c r="BS69" i="4"/>
  <c r="BP69" i="4"/>
  <c r="BQ69" i="4" s="1"/>
  <c r="BP46" i="4"/>
  <c r="BQ46" i="4" s="1"/>
  <c r="BS46" i="4"/>
  <c r="BP73" i="4"/>
  <c r="BQ73" i="4" s="1"/>
  <c r="BS73" i="4"/>
  <c r="BS9" i="4"/>
  <c r="BP9" i="4"/>
  <c r="BQ9" i="4" s="1"/>
  <c r="BE140" i="4"/>
  <c r="BF140" i="4" s="1"/>
  <c r="BE120" i="4"/>
  <c r="BF120" i="4" s="1"/>
  <c r="BE99" i="4"/>
  <c r="BF99" i="4" s="1"/>
  <c r="BE135" i="4"/>
  <c r="BF135" i="4" s="1"/>
  <c r="BE122" i="4"/>
  <c r="BF122" i="4" s="1"/>
  <c r="BE66" i="4"/>
  <c r="BF66" i="4" s="1"/>
  <c r="BE94" i="4"/>
  <c r="BF94" i="4" s="1"/>
  <c r="BE153" i="4"/>
  <c r="BF153" i="4" s="1"/>
  <c r="BE85" i="4"/>
  <c r="BF85" i="4" s="1"/>
  <c r="BE21" i="4"/>
  <c r="BF21" i="4" s="1"/>
  <c r="BE98" i="4"/>
  <c r="BF98" i="4" s="1"/>
  <c r="BE30" i="4"/>
  <c r="BF30" i="4" s="1"/>
  <c r="BE71" i="4"/>
  <c r="BF71" i="4" s="1"/>
  <c r="BE45" i="4"/>
  <c r="BF45" i="4" s="1"/>
  <c r="BE27" i="4"/>
  <c r="BF27" i="4" s="1"/>
  <c r="BE145" i="4"/>
  <c r="BF145" i="4" s="1"/>
  <c r="BE80" i="4"/>
  <c r="BF80" i="4" s="1"/>
  <c r="BE26" i="4"/>
  <c r="BF26" i="4" s="1"/>
  <c r="BE22" i="4"/>
  <c r="BF22" i="4" s="1"/>
  <c r="BE95" i="4"/>
  <c r="BF95" i="4" s="1"/>
  <c r="BE62" i="4"/>
  <c r="BF62" i="4" s="1"/>
  <c r="BE129" i="4"/>
  <c r="BF129" i="4" s="1"/>
  <c r="BE127" i="4"/>
  <c r="BF127" i="4" s="1"/>
  <c r="BE113" i="4"/>
  <c r="BF113" i="4" s="1"/>
  <c r="BE87" i="4"/>
  <c r="BF87" i="4" s="1"/>
  <c r="BE96" i="4"/>
  <c r="BF96" i="4" s="1"/>
  <c r="BE125" i="4"/>
  <c r="BF125" i="4" s="1"/>
  <c r="BE29" i="4"/>
  <c r="BF29" i="4" s="1"/>
  <c r="BE11" i="4"/>
  <c r="BF11" i="4" s="1"/>
  <c r="BE34" i="4"/>
  <c r="BF34" i="4" s="1"/>
  <c r="BE70" i="4"/>
  <c r="BF70" i="4" s="1"/>
  <c r="BE56" i="4"/>
  <c r="BF56" i="4" s="1"/>
  <c r="BE14" i="4"/>
  <c r="BF14" i="4" s="1"/>
  <c r="BE15" i="4"/>
  <c r="BF15" i="4" s="1"/>
  <c r="BE39" i="4"/>
  <c r="BF39" i="4" s="1"/>
  <c r="BE48" i="4"/>
  <c r="BF48" i="4" s="1"/>
  <c r="BE147" i="4"/>
  <c r="BF147" i="4" s="1"/>
  <c r="BE13" i="4"/>
  <c r="BF13" i="4" s="1"/>
  <c r="BE55" i="4"/>
  <c r="BF55" i="4" s="1"/>
  <c r="BE36" i="4"/>
  <c r="BF36" i="4" s="1"/>
  <c r="BE156" i="4"/>
  <c r="BF156" i="4" s="1"/>
  <c r="BE116" i="4"/>
  <c r="BF116" i="4" s="1"/>
  <c r="BE54" i="4"/>
  <c r="BF54" i="4" s="1"/>
  <c r="BE102" i="4"/>
  <c r="BF102" i="4" s="1"/>
  <c r="BE132" i="4"/>
  <c r="BF132" i="4" s="1"/>
  <c r="BE144" i="4"/>
  <c r="BF144" i="4" s="1"/>
  <c r="BE108" i="4"/>
  <c r="BF108" i="4" s="1"/>
  <c r="BE104" i="4"/>
  <c r="BF104" i="4" s="1"/>
  <c r="BE97" i="4"/>
  <c r="BF97" i="4" s="1"/>
  <c r="BE83" i="4"/>
  <c r="BF83" i="4" s="1"/>
  <c r="BE115" i="4"/>
  <c r="BF115" i="4" s="1"/>
  <c r="BE101" i="4"/>
  <c r="BF101" i="4" s="1"/>
  <c r="BE128" i="4"/>
  <c r="BF128" i="4" s="1"/>
  <c r="BE105" i="4"/>
  <c r="BF105" i="4" s="1"/>
  <c r="BE126" i="4"/>
  <c r="BF126" i="4" s="1"/>
  <c r="BE117" i="4"/>
  <c r="BF117" i="4" s="1"/>
  <c r="BE107" i="4"/>
  <c r="BF107" i="4" s="1"/>
  <c r="BE100" i="4"/>
  <c r="BF100" i="4" s="1"/>
  <c r="BE88" i="4"/>
  <c r="BF88" i="4" s="1"/>
  <c r="BP8" i="4"/>
  <c r="AG25" i="4"/>
  <c r="R86" i="4"/>
  <c r="AF86" i="4" s="1"/>
  <c r="R26" i="4"/>
  <c r="BB8" i="4"/>
  <c r="R72" i="4"/>
  <c r="AF72" i="4" s="1"/>
  <c r="R21" i="4"/>
  <c r="AF21" i="4" s="1"/>
  <c r="R16" i="4"/>
  <c r="AF16" i="4" s="1"/>
  <c r="R94" i="4"/>
  <c r="AF94" i="4" s="1"/>
  <c r="R112" i="4"/>
  <c r="AF112" i="4" s="1"/>
  <c r="R28" i="4"/>
  <c r="AF28" i="4" s="1"/>
  <c r="R75" i="4"/>
  <c r="AF75" i="4" s="1"/>
  <c r="R127" i="4"/>
  <c r="AF127" i="4" s="1"/>
  <c r="R147" i="4"/>
  <c r="AF147" i="4" s="1"/>
  <c r="R154" i="4"/>
  <c r="AF154" i="4" s="1"/>
  <c r="R15" i="4"/>
  <c r="AF15" i="4" s="1"/>
  <c r="R74" i="4"/>
  <c r="AF74" i="4" s="1"/>
  <c r="R109" i="4"/>
  <c r="AF109" i="4" s="1"/>
  <c r="R39" i="4"/>
  <c r="AF39" i="4" s="1"/>
  <c r="R44" i="4"/>
  <c r="AF44" i="4" s="1"/>
  <c r="R13" i="4"/>
  <c r="AF13" i="4" s="1"/>
  <c r="R37" i="4"/>
  <c r="AF37" i="4" s="1"/>
  <c r="R14" i="4"/>
  <c r="AF14" i="4" s="1"/>
  <c r="R138" i="4"/>
  <c r="AF138" i="4" s="1"/>
  <c r="R52" i="4"/>
  <c r="AF52" i="4" s="1"/>
  <c r="R40" i="4"/>
  <c r="AF40" i="4" s="1"/>
  <c r="R60" i="4"/>
  <c r="AF60" i="4" s="1"/>
  <c r="R36" i="4"/>
  <c r="AF36" i="4" s="1"/>
  <c r="R58" i="4"/>
  <c r="AF58" i="4" s="1"/>
  <c r="R54" i="4"/>
  <c r="AF54" i="4" s="1"/>
  <c r="R59" i="4"/>
  <c r="AF59" i="4" s="1"/>
  <c r="R148" i="4"/>
  <c r="AF148" i="4" s="1"/>
  <c r="R157" i="4"/>
  <c r="R116" i="4"/>
  <c r="AF116" i="4" s="1"/>
  <c r="R55" i="4"/>
  <c r="AF55" i="4" s="1"/>
  <c r="R79" i="4"/>
  <c r="AF79" i="4" s="1"/>
  <c r="R57" i="4"/>
  <c r="AF57" i="4" s="1"/>
  <c r="R18" i="4"/>
  <c r="AF18" i="4" s="1"/>
  <c r="R156" i="4"/>
  <c r="AF156" i="4" s="1"/>
  <c r="R102" i="4"/>
  <c r="AF102" i="4" s="1"/>
  <c r="R99" i="4"/>
  <c r="AF99" i="4" s="1"/>
  <c r="R130" i="4"/>
  <c r="AF130" i="4" s="1"/>
  <c r="R77" i="4"/>
  <c r="AF77" i="4" s="1"/>
  <c r="R19" i="4"/>
  <c r="AF19" i="4" s="1"/>
  <c r="R97" i="4"/>
  <c r="AF97" i="4" s="1"/>
  <c r="R141" i="4"/>
  <c r="AF141" i="4" s="1"/>
  <c r="R137" i="4"/>
  <c r="AF137" i="4" s="1"/>
  <c r="R126" i="4"/>
  <c r="AF126" i="4" s="1"/>
  <c r="R117" i="4"/>
  <c r="AF117" i="4" s="1"/>
  <c r="R103" i="4"/>
  <c r="AF103" i="4" s="1"/>
  <c r="R88" i="4"/>
  <c r="AF88" i="4" s="1"/>
  <c r="R101" i="4"/>
  <c r="AF101" i="4" s="1"/>
  <c r="R108" i="4"/>
  <c r="AF108" i="4" s="1"/>
  <c r="R33" i="4"/>
  <c r="AF33" i="4" s="1"/>
  <c r="R45" i="4"/>
  <c r="AF45" i="4" s="1"/>
  <c r="R144" i="4"/>
  <c r="AF144" i="4" s="1"/>
  <c r="R87" i="4"/>
  <c r="AF87" i="4" s="1"/>
  <c r="R128" i="4"/>
  <c r="AF128" i="4" s="1"/>
  <c r="R34" i="4"/>
  <c r="AF34" i="4" s="1"/>
  <c r="R146" i="4"/>
  <c r="AF146" i="4" s="1"/>
  <c r="R48" i="4"/>
  <c r="AF48" i="4" s="1"/>
  <c r="R132" i="4"/>
  <c r="AF132" i="4" s="1"/>
  <c r="R123" i="4"/>
  <c r="AF123" i="4" s="1"/>
  <c r="R122" i="4"/>
  <c r="AF122" i="4" s="1"/>
  <c r="R49" i="4"/>
  <c r="AF49" i="4" s="1"/>
  <c r="R43" i="4"/>
  <c r="AF43" i="4" s="1"/>
  <c r="R104" i="4"/>
  <c r="AF104" i="4" s="1"/>
  <c r="R124" i="4"/>
  <c r="AF124" i="4" s="1"/>
  <c r="R111" i="4"/>
  <c r="AF111" i="4" s="1"/>
  <c r="R84" i="4"/>
  <c r="AF84" i="4" s="1"/>
  <c r="R35" i="4"/>
  <c r="AF35" i="4" s="1"/>
  <c r="R140" i="4"/>
  <c r="AF140" i="4" s="1"/>
  <c r="R107" i="4"/>
  <c r="AF107" i="4" s="1"/>
  <c r="R134" i="4"/>
  <c r="AF134" i="4" s="1"/>
  <c r="R42" i="4"/>
  <c r="AF42" i="4" s="1"/>
  <c r="R24" i="4"/>
  <c r="AF24" i="4" s="1"/>
  <c r="R125" i="4"/>
  <c r="AF125" i="4" s="1"/>
  <c r="R151" i="4"/>
  <c r="AF151" i="4" s="1"/>
  <c r="R65" i="4"/>
  <c r="AF65" i="4" s="1"/>
  <c r="R118" i="4"/>
  <c r="AF118" i="4" s="1"/>
  <c r="R113" i="4"/>
  <c r="AF113" i="4" s="1"/>
  <c r="R46" i="4"/>
  <c r="AF46" i="4" s="1"/>
  <c r="R98" i="4"/>
  <c r="AF98" i="4" s="1"/>
  <c r="R139" i="4"/>
  <c r="AF139" i="4" s="1"/>
  <c r="R153" i="4"/>
  <c r="AF153" i="4" s="1"/>
  <c r="R90" i="4"/>
  <c r="AF90" i="4" s="1"/>
  <c r="R133" i="4"/>
  <c r="AF133" i="4" s="1"/>
  <c r="R41" i="4"/>
  <c r="AF41" i="4" s="1"/>
  <c r="R23" i="4"/>
  <c r="AF23" i="4" s="1"/>
  <c r="R152" i="4"/>
  <c r="AF152" i="4" s="1"/>
  <c r="R82" i="4"/>
  <c r="AF82" i="4" s="1"/>
  <c r="R10" i="4"/>
  <c r="AF10" i="4" s="1"/>
  <c r="R12" i="4"/>
  <c r="AF12" i="4" s="1"/>
  <c r="R51" i="4"/>
  <c r="AF51" i="4" s="1"/>
  <c r="R96" i="4"/>
  <c r="AF96" i="4" s="1"/>
  <c r="R143" i="4"/>
  <c r="AF143" i="4" s="1"/>
  <c r="R131" i="4"/>
  <c r="AF131" i="4" s="1"/>
  <c r="R145" i="4"/>
  <c r="AF145" i="4" s="1"/>
  <c r="R29" i="4"/>
  <c r="AF29" i="4" s="1"/>
  <c r="R11" i="4"/>
  <c r="AF11" i="4" s="1"/>
  <c r="R66" i="4"/>
  <c r="AF66" i="4" s="1"/>
  <c r="R89" i="4"/>
  <c r="AF89" i="4" s="1"/>
  <c r="R80" i="4"/>
  <c r="AF80" i="4" s="1"/>
  <c r="R7" i="4"/>
  <c r="AF7" i="4" s="1"/>
  <c r="R149" i="4"/>
  <c r="AF149" i="4" s="1"/>
  <c r="R27" i="4"/>
  <c r="AF27" i="4" s="1"/>
  <c r="R69" i="4"/>
  <c r="AF69" i="4" s="1"/>
  <c r="R76" i="4"/>
  <c r="AF76" i="4" s="1"/>
  <c r="R81" i="4"/>
  <c r="AF81" i="4" s="1"/>
  <c r="R155" i="4"/>
  <c r="AF155" i="4" s="1"/>
  <c r="R68" i="4"/>
  <c r="AF68" i="4" s="1"/>
  <c r="R115" i="4"/>
  <c r="AF115" i="4" s="1"/>
  <c r="R22" i="4"/>
  <c r="AF22" i="4" s="1"/>
  <c r="R83" i="4"/>
  <c r="AF83" i="4" s="1"/>
  <c r="R56" i="4"/>
  <c r="AF56" i="4" s="1"/>
  <c r="R129" i="4"/>
  <c r="AF129" i="4" s="1"/>
  <c r="R135" i="4"/>
  <c r="AF135" i="4" s="1"/>
  <c r="R110" i="4"/>
  <c r="AF110" i="4" s="1"/>
  <c r="R50" i="4"/>
  <c r="AF50" i="4" s="1"/>
  <c r="R121" i="4"/>
  <c r="AF121" i="4" s="1"/>
  <c r="R136" i="4"/>
  <c r="AF136" i="4" s="1"/>
  <c r="R119" i="4"/>
  <c r="AF119" i="4" s="1"/>
  <c r="R38" i="4"/>
  <c r="AF38" i="4" s="1"/>
  <c r="R31" i="4"/>
  <c r="AF31" i="4" s="1"/>
  <c r="R100" i="4"/>
  <c r="AF100" i="4" s="1"/>
  <c r="R64" i="4"/>
  <c r="AF64" i="4" s="1"/>
  <c r="R71" i="4"/>
  <c r="AF71" i="4" s="1"/>
  <c r="R63" i="4"/>
  <c r="AF63" i="4" s="1"/>
  <c r="R114" i="4"/>
  <c r="AF114" i="4" s="1"/>
  <c r="R67" i="4"/>
  <c r="AF67" i="4" s="1"/>
  <c r="R20" i="4"/>
  <c r="AF20" i="4" s="1"/>
  <c r="R91" i="4"/>
  <c r="AF91" i="4" s="1"/>
  <c r="R32" i="4"/>
  <c r="AF32" i="4" s="1"/>
  <c r="R142" i="4"/>
  <c r="AF142" i="4" s="1"/>
  <c r="R106" i="4"/>
  <c r="AF106" i="4" s="1"/>
  <c r="R78" i="4"/>
  <c r="AF78" i="4" s="1"/>
  <c r="R150" i="4"/>
  <c r="AF150" i="4" s="1"/>
  <c r="R73" i="4"/>
  <c r="AF73" i="4" s="1"/>
  <c r="R70" i="4"/>
  <c r="AF70" i="4" s="1"/>
  <c r="R47" i="4"/>
  <c r="AF47" i="4" s="1"/>
  <c r="R62" i="4"/>
  <c r="AF62" i="4" s="1"/>
  <c r="R93" i="4"/>
  <c r="AF93" i="4" s="1"/>
  <c r="R120" i="4"/>
  <c r="AF120" i="4" s="1"/>
  <c r="R85" i="4"/>
  <c r="AF85" i="4" s="1"/>
  <c r="R61" i="4"/>
  <c r="AF61" i="4" s="1"/>
  <c r="R9" i="4"/>
  <c r="AF9" i="4" s="1"/>
  <c r="R92" i="4"/>
  <c r="AF92" i="4" s="1"/>
  <c r="R8" i="4"/>
  <c r="R95" i="4"/>
  <c r="AF95" i="4" s="1"/>
  <c r="R30" i="4"/>
  <c r="AF30" i="4" s="1"/>
  <c r="R105" i="4"/>
  <c r="AF105" i="4" s="1"/>
  <c r="R53" i="4"/>
  <c r="AF53" i="4" s="1"/>
  <c r="B286" i="2"/>
  <c r="B285" i="2"/>
  <c r="B282" i="2"/>
  <c r="B281" i="2"/>
  <c r="B280" i="2"/>
  <c r="B279" i="2"/>
  <c r="B278" i="2"/>
  <c r="BE52" i="4" l="1"/>
  <c r="BF52" i="4" s="1"/>
  <c r="BS114" i="4"/>
  <c r="BS137" i="4"/>
  <c r="BE28" i="4"/>
  <c r="BF28" i="4" s="1"/>
  <c r="BS135" i="4"/>
  <c r="BE60" i="4"/>
  <c r="BF60" i="4" s="1"/>
  <c r="BP119" i="4"/>
  <c r="BQ119" i="4" s="1"/>
  <c r="BS131" i="4"/>
  <c r="BE157" i="4"/>
  <c r="BF157" i="4" s="1"/>
  <c r="BE123" i="4"/>
  <c r="BF123" i="4" s="1"/>
  <c r="BE67" i="4"/>
  <c r="BF67" i="4" s="1"/>
  <c r="BE155" i="4"/>
  <c r="BF155" i="4" s="1"/>
  <c r="BE74" i="4"/>
  <c r="BF74" i="4" s="1"/>
  <c r="BP99" i="4"/>
  <c r="BQ99" i="4" s="1"/>
  <c r="BS111" i="4"/>
  <c r="BS82" i="4"/>
  <c r="BE136" i="4"/>
  <c r="BF136" i="4" s="1"/>
  <c r="BP101" i="4"/>
  <c r="BQ101" i="4" s="1"/>
  <c r="BE119" i="4"/>
  <c r="BF119" i="4" s="1"/>
  <c r="BE25" i="4"/>
  <c r="BF25" i="4" s="1"/>
  <c r="BS81" i="4"/>
  <c r="BE41" i="4"/>
  <c r="BF41" i="4" s="1"/>
  <c r="BE151" i="4"/>
  <c r="BF151" i="4" s="1"/>
  <c r="BE9" i="4"/>
  <c r="BF9" i="4" s="1"/>
  <c r="BP144" i="4"/>
  <c r="BQ144" i="4" s="1"/>
  <c r="BE114" i="4"/>
  <c r="BF114" i="4" s="1"/>
  <c r="BP129" i="4"/>
  <c r="BQ129" i="4" s="1"/>
  <c r="BP148" i="4"/>
  <c r="BQ148" i="4" s="1"/>
  <c r="BS123" i="4"/>
  <c r="BE148" i="4"/>
  <c r="BF148" i="4" s="1"/>
  <c r="BE64" i="4"/>
  <c r="BF64" i="4" s="1"/>
  <c r="BE23" i="4"/>
  <c r="BF23" i="4" s="1"/>
  <c r="BP86" i="4"/>
  <c r="BQ86" i="4" s="1"/>
  <c r="BS95" i="4"/>
  <c r="BS154" i="4"/>
  <c r="BP97" i="4"/>
  <c r="BQ97" i="4" s="1"/>
  <c r="BP92" i="4"/>
  <c r="BQ92" i="4" s="1"/>
  <c r="BS117" i="4"/>
  <c r="BP141" i="4"/>
  <c r="BQ141" i="4" s="1"/>
  <c r="BS152" i="4"/>
  <c r="BP125" i="4"/>
  <c r="BQ125" i="4" s="1"/>
  <c r="BP136" i="4"/>
  <c r="BQ136" i="4" s="1"/>
  <c r="BP90" i="4"/>
  <c r="BQ90" i="4" s="1"/>
  <c r="BE109" i="4"/>
  <c r="BF109" i="4" s="1"/>
  <c r="BE146" i="4"/>
  <c r="BF146" i="4" s="1"/>
  <c r="BE86" i="4"/>
  <c r="BF86" i="4" s="1"/>
  <c r="BP113" i="4"/>
  <c r="BQ113" i="4" s="1"/>
  <c r="BP89" i="4"/>
  <c r="BQ89" i="4" s="1"/>
  <c r="BS103" i="4"/>
  <c r="BS105" i="4"/>
  <c r="BE33" i="4"/>
  <c r="BF33" i="4" s="1"/>
  <c r="BE58" i="4"/>
  <c r="BF58" i="4" s="1"/>
  <c r="BE134" i="4"/>
  <c r="BF134" i="4" s="1"/>
  <c r="BE137" i="4"/>
  <c r="BF137" i="4" s="1"/>
  <c r="BE35" i="4"/>
  <c r="BF35" i="4" s="1"/>
  <c r="BE103" i="4"/>
  <c r="BF103" i="4" s="1"/>
  <c r="BE138" i="4"/>
  <c r="BF138" i="4" s="1"/>
  <c r="BP104" i="4"/>
  <c r="BQ104" i="4" s="1"/>
  <c r="BS87" i="4"/>
  <c r="BP116" i="4"/>
  <c r="BQ116" i="4" s="1"/>
  <c r="BP146" i="4"/>
  <c r="BQ146" i="4" s="1"/>
  <c r="BS156" i="4"/>
  <c r="BP155" i="4"/>
  <c r="BQ155" i="4" s="1"/>
  <c r="BE141" i="4"/>
  <c r="BF141" i="4" s="1"/>
  <c r="BE106" i="4"/>
  <c r="BF106" i="4" s="1"/>
  <c r="BE130" i="4"/>
  <c r="BF130" i="4" s="1"/>
  <c r="BE18" i="4"/>
  <c r="BF18" i="4" s="1"/>
  <c r="BE31" i="4"/>
  <c r="BF31" i="4" s="1"/>
  <c r="BP153" i="4"/>
  <c r="BQ153" i="4" s="1"/>
  <c r="BP88" i="4"/>
  <c r="BQ88" i="4" s="1"/>
  <c r="BE38" i="4"/>
  <c r="BF38" i="4" s="1"/>
  <c r="BE57" i="4"/>
  <c r="BF57" i="4" s="1"/>
  <c r="BE78" i="4"/>
  <c r="BF78" i="4" s="1"/>
  <c r="BE20" i="4"/>
  <c r="BF20" i="4" s="1"/>
  <c r="BE124" i="4"/>
  <c r="BF124" i="4" s="1"/>
  <c r="BP150" i="4"/>
  <c r="BQ150" i="4" s="1"/>
  <c r="BP142" i="4"/>
  <c r="BQ142" i="4" s="1"/>
  <c r="BE143" i="4"/>
  <c r="BF143" i="4" s="1"/>
  <c r="BE53" i="4"/>
  <c r="BF53" i="4" s="1"/>
  <c r="BE63" i="4"/>
  <c r="BF63" i="4" s="1"/>
  <c r="BE51" i="4"/>
  <c r="BF51" i="4" s="1"/>
  <c r="BE133" i="4"/>
  <c r="BF133" i="4" s="1"/>
  <c r="BP107" i="4"/>
  <c r="BQ107" i="4" s="1"/>
  <c r="BE10" i="4"/>
  <c r="BF10" i="4" s="1"/>
  <c r="BP115" i="4"/>
  <c r="BQ115" i="4" s="1"/>
  <c r="BE81" i="4"/>
  <c r="BF81" i="4" s="1"/>
  <c r="BS91" i="4"/>
  <c r="BS126" i="4"/>
  <c r="BP140" i="4"/>
  <c r="BQ140" i="4" s="1"/>
  <c r="BP134" i="4"/>
  <c r="BQ134" i="4" s="1"/>
  <c r="BS93" i="4"/>
  <c r="BS139" i="4"/>
  <c r="BP110" i="4"/>
  <c r="BQ110" i="4" s="1"/>
  <c r="BS149" i="4"/>
  <c r="BS94" i="4"/>
  <c r="BE68" i="4"/>
  <c r="BF68" i="4" s="1"/>
  <c r="BS124" i="4"/>
  <c r="BE77" i="4"/>
  <c r="BF77" i="4" s="1"/>
  <c r="BE75" i="4"/>
  <c r="BF75" i="4" s="1"/>
  <c r="BE82" i="4"/>
  <c r="BF82" i="4" s="1"/>
  <c r="BE44" i="4"/>
  <c r="BF44" i="4" s="1"/>
  <c r="BE84" i="4"/>
  <c r="BF84" i="4" s="1"/>
  <c r="BE40" i="4"/>
  <c r="BF40" i="4" s="1"/>
  <c r="BE76" i="4"/>
  <c r="BF76" i="4" s="1"/>
  <c r="BE93" i="4"/>
  <c r="BF93" i="4" s="1"/>
  <c r="BE69" i="4"/>
  <c r="BF69" i="4" s="1"/>
  <c r="BE72" i="4"/>
  <c r="BF72" i="4" s="1"/>
  <c r="BE90" i="4"/>
  <c r="BF90" i="4" s="1"/>
  <c r="BE131" i="4"/>
  <c r="BF131" i="4" s="1"/>
  <c r="BE91" i="4"/>
  <c r="BF91" i="4" s="1"/>
  <c r="BE112" i="4"/>
  <c r="BF112" i="4" s="1"/>
  <c r="BE32" i="4"/>
  <c r="BF32" i="4" s="1"/>
  <c r="BP133" i="4"/>
  <c r="BQ133" i="4" s="1"/>
  <c r="BS147" i="4"/>
  <c r="BS118" i="4"/>
  <c r="BS127" i="4"/>
  <c r="BP121" i="4"/>
  <c r="BQ121" i="4" s="1"/>
  <c r="BP100" i="4"/>
  <c r="BQ100" i="4" s="1"/>
  <c r="BS120" i="4"/>
  <c r="BP122" i="4"/>
  <c r="BQ122" i="4" s="1"/>
  <c r="BP106" i="4"/>
  <c r="BQ106" i="4" s="1"/>
  <c r="BP80" i="4"/>
  <c r="BQ80" i="4" s="1"/>
  <c r="BE92" i="4"/>
  <c r="BF92" i="4" s="1"/>
  <c r="BE59" i="4"/>
  <c r="BF59" i="4" s="1"/>
  <c r="BE16" i="4"/>
  <c r="BF16" i="4" s="1"/>
  <c r="BE111" i="4"/>
  <c r="BF111" i="4" s="1"/>
  <c r="BE79" i="4"/>
  <c r="BF79" i="4" s="1"/>
  <c r="BE24" i="4"/>
  <c r="BF24" i="4" s="1"/>
  <c r="BE42" i="4"/>
  <c r="BF42" i="4" s="1"/>
  <c r="BE110" i="4"/>
  <c r="BF110" i="4" s="1"/>
  <c r="BE43" i="4"/>
  <c r="BF43" i="4" s="1"/>
  <c r="BE61" i="4"/>
  <c r="BF61" i="4" s="1"/>
  <c r="BE46" i="4"/>
  <c r="BF46" i="4" s="1"/>
  <c r="BE19" i="4"/>
  <c r="BF19" i="4" s="1"/>
  <c r="BE37" i="4"/>
  <c r="BF37" i="4" s="1"/>
  <c r="BE121" i="4"/>
  <c r="BF121" i="4" s="1"/>
  <c r="BE154" i="4"/>
  <c r="BF154" i="4" s="1"/>
  <c r="BE73" i="4"/>
  <c r="BF73" i="4" s="1"/>
  <c r="BE49" i="4"/>
  <c r="BF49" i="4" s="1"/>
  <c r="BE118" i="4"/>
  <c r="BF118" i="4" s="1"/>
  <c r="BE152" i="4"/>
  <c r="BF152" i="4" s="1"/>
  <c r="BE12" i="4"/>
  <c r="BF12" i="4" s="1"/>
  <c r="BE89" i="4"/>
  <c r="BF89" i="4" s="1"/>
  <c r="BE47" i="4"/>
  <c r="BF47" i="4" s="1"/>
  <c r="BE150" i="4"/>
  <c r="BF150" i="4" s="1"/>
  <c r="BE65" i="4"/>
  <c r="BF65" i="4" s="1"/>
  <c r="BE149" i="4"/>
  <c r="BF149" i="4" s="1"/>
  <c r="BE50" i="4"/>
  <c r="BF50" i="4" s="1"/>
  <c r="BE142" i="4"/>
  <c r="BF142" i="4" s="1"/>
  <c r="BE17" i="4"/>
  <c r="BF17" i="4" s="1"/>
  <c r="BE139" i="4"/>
  <c r="BF139" i="4" s="1"/>
  <c r="BE8" i="4"/>
  <c r="BF8" i="4" s="1"/>
  <c r="BH8" i="4"/>
  <c r="AF8" i="4"/>
  <c r="AG17" i="4"/>
  <c r="AG157" i="4"/>
  <c r="AF157" i="4"/>
  <c r="AF26" i="4"/>
  <c r="AG26" i="4"/>
  <c r="AG8" i="4"/>
  <c r="AG47" i="4"/>
  <c r="AG91" i="4"/>
  <c r="AG31" i="4"/>
  <c r="AG129" i="4"/>
  <c r="AG76" i="4"/>
  <c r="AG11" i="4"/>
  <c r="AG143" i="4"/>
  <c r="AG41" i="4"/>
  <c r="AG118" i="4"/>
  <c r="AG124" i="4"/>
  <c r="AG146" i="4"/>
  <c r="AG126" i="4"/>
  <c r="AG102" i="4"/>
  <c r="AG148" i="4"/>
  <c r="AG138" i="4"/>
  <c r="AG15" i="4"/>
  <c r="AG105" i="4"/>
  <c r="AG120" i="4"/>
  <c r="AG20" i="4"/>
  <c r="AG38" i="4"/>
  <c r="AG56" i="4"/>
  <c r="AG69" i="4"/>
  <c r="AG96" i="4"/>
  <c r="AG133" i="4"/>
  <c r="AG65" i="4"/>
  <c r="AG35" i="4"/>
  <c r="AG104" i="4"/>
  <c r="AG34" i="4"/>
  <c r="AG88" i="4"/>
  <c r="AG77" i="4"/>
  <c r="AG55" i="4"/>
  <c r="AG59" i="4"/>
  <c r="AG14" i="4"/>
  <c r="AG154" i="4"/>
  <c r="AG21" i="4"/>
  <c r="AG95" i="4"/>
  <c r="AG61" i="4"/>
  <c r="AG62" i="4"/>
  <c r="AG150" i="4"/>
  <c r="AG32" i="4"/>
  <c r="AG114" i="4"/>
  <c r="AG100" i="4"/>
  <c r="AG136" i="4"/>
  <c r="AG135" i="4"/>
  <c r="AG22" i="4"/>
  <c r="AG81" i="4"/>
  <c r="AG149" i="4"/>
  <c r="AG66" i="4"/>
  <c r="AG131" i="4"/>
  <c r="AG12" i="4"/>
  <c r="AG23" i="4"/>
  <c r="AG153" i="4"/>
  <c r="AG113" i="4"/>
  <c r="AG125" i="4"/>
  <c r="AG107" i="4"/>
  <c r="AG111" i="4"/>
  <c r="AG49" i="4"/>
  <c r="AG48" i="4"/>
  <c r="AG87" i="4"/>
  <c r="AG108" i="4"/>
  <c r="AG117" i="4"/>
  <c r="AG97" i="4"/>
  <c r="AG99" i="4"/>
  <c r="AG57" i="4"/>
  <c r="AG58" i="4"/>
  <c r="AG52" i="4"/>
  <c r="AG13" i="4"/>
  <c r="AG74" i="4"/>
  <c r="AG127" i="4"/>
  <c r="AG94" i="4"/>
  <c r="AG53" i="4"/>
  <c r="AG85" i="4"/>
  <c r="AG78" i="4"/>
  <c r="AG63" i="4"/>
  <c r="AG121" i="4"/>
  <c r="AG115" i="4"/>
  <c r="AG7" i="4"/>
  <c r="AG10" i="4"/>
  <c r="AG139" i="4"/>
  <c r="AG24" i="4"/>
  <c r="AG140" i="4"/>
  <c r="AG122" i="4"/>
  <c r="AG144" i="4"/>
  <c r="AG101" i="4"/>
  <c r="AG19" i="4"/>
  <c r="AG79" i="4"/>
  <c r="AG36" i="4"/>
  <c r="AG44" i="4"/>
  <c r="AG75" i="4"/>
  <c r="AG16" i="4"/>
  <c r="AG92" i="4"/>
  <c r="AG70" i="4"/>
  <c r="AG106" i="4"/>
  <c r="AG71" i="4"/>
  <c r="AG50" i="4"/>
  <c r="AG68" i="4"/>
  <c r="AG80" i="4"/>
  <c r="AG29" i="4"/>
  <c r="AG82" i="4"/>
  <c r="AG98" i="4"/>
  <c r="AG42" i="4"/>
  <c r="AG123" i="4"/>
  <c r="AG45" i="4"/>
  <c r="AG137" i="4"/>
  <c r="AG156" i="4"/>
  <c r="AG60" i="4"/>
  <c r="AG39" i="4"/>
  <c r="AG28" i="4"/>
  <c r="AG86" i="4"/>
  <c r="AG30" i="4"/>
  <c r="AG9" i="4"/>
  <c r="AG93" i="4"/>
  <c r="AG73" i="4"/>
  <c r="AG142" i="4"/>
  <c r="AG67" i="4"/>
  <c r="AG64" i="4"/>
  <c r="AG119" i="4"/>
  <c r="AG110" i="4"/>
  <c r="AG83" i="4"/>
  <c r="AG155" i="4"/>
  <c r="AG27" i="4"/>
  <c r="AG89" i="4"/>
  <c r="AG145" i="4"/>
  <c r="AG51" i="4"/>
  <c r="AG152" i="4"/>
  <c r="AG90" i="4"/>
  <c r="AG46" i="4"/>
  <c r="AG151" i="4"/>
  <c r="AG134" i="4"/>
  <c r="AG84" i="4"/>
  <c r="AG43" i="4"/>
  <c r="AG132" i="4"/>
  <c r="AG128" i="4"/>
  <c r="AG33" i="4"/>
  <c r="AG103" i="4"/>
  <c r="AG141" i="4"/>
  <c r="AG130" i="4"/>
  <c r="AG18" i="4"/>
  <c r="AG116" i="4"/>
  <c r="AG54" i="4"/>
  <c r="AG40" i="4"/>
  <c r="AG37" i="4"/>
  <c r="AG109" i="4"/>
  <c r="AG147" i="4"/>
  <c r="AG112" i="4"/>
  <c r="AG72" i="4"/>
  <c r="B167" i="2"/>
  <c r="B50" i="3"/>
  <c r="B165" i="2" s="1"/>
  <c r="B164" i="2"/>
  <c r="B163" i="2"/>
  <c r="B162" i="2"/>
  <c r="B161" i="2"/>
  <c r="B157" i="2"/>
  <c r="B45" i="3"/>
  <c r="B155" i="2" s="1"/>
  <c r="B158" i="2" l="1"/>
  <c r="B166" i="2"/>
  <c r="H54" i="1" s="1"/>
  <c r="B168" i="2"/>
  <c r="B253" i="2"/>
  <c r="B36" i="3"/>
  <c r="O548" i="5"/>
  <c r="O549" i="5"/>
  <c r="O550" i="5"/>
  <c r="O551" i="5"/>
  <c r="O552" i="5"/>
  <c r="O553" i="5"/>
  <c r="O554" i="5"/>
  <c r="O555" i="5"/>
  <c r="O556" i="5"/>
  <c r="O557" i="5"/>
  <c r="O558" i="5"/>
  <c r="O559" i="5"/>
  <c r="O560" i="5"/>
  <c r="O537" i="5"/>
  <c r="O538" i="5"/>
  <c r="O539" i="5"/>
  <c r="O540" i="5"/>
  <c r="O541" i="5"/>
  <c r="O542" i="5"/>
  <c r="O543" i="5"/>
  <c r="O544" i="5"/>
  <c r="O545" i="5"/>
  <c r="O546" i="5"/>
  <c r="O547" i="5"/>
  <c r="O520" i="5"/>
  <c r="O521" i="5"/>
  <c r="O522" i="5"/>
  <c r="O523" i="5"/>
  <c r="O524" i="5"/>
  <c r="O525" i="5"/>
  <c r="O526" i="5"/>
  <c r="O527" i="5"/>
  <c r="O528" i="5"/>
  <c r="O529" i="5"/>
  <c r="O530" i="5"/>
  <c r="O531" i="5"/>
  <c r="O532" i="5"/>
  <c r="O533" i="5"/>
  <c r="O534" i="5"/>
  <c r="O535" i="5"/>
  <c r="O536" i="5"/>
  <c r="O519" i="5"/>
  <c r="O420" i="5"/>
  <c r="O421" i="5"/>
  <c r="O422" i="5"/>
  <c r="O423" i="5"/>
  <c r="O424" i="5"/>
  <c r="O425" i="5"/>
  <c r="O426" i="5"/>
  <c r="O427" i="5"/>
  <c r="O428" i="5"/>
  <c r="O429" i="5"/>
  <c r="O430" i="5"/>
  <c r="O431" i="5"/>
  <c r="O432" i="5"/>
  <c r="O433" i="5"/>
  <c r="O434" i="5"/>
  <c r="O435" i="5"/>
  <c r="O436" i="5"/>
  <c r="O437" i="5"/>
  <c r="O438" i="5"/>
  <c r="O439" i="5"/>
  <c r="O440" i="5"/>
  <c r="O441" i="5"/>
  <c r="O442" i="5"/>
  <c r="O443" i="5"/>
  <c r="O444" i="5"/>
  <c r="O445" i="5"/>
  <c r="O446" i="5"/>
  <c r="O447" i="5"/>
  <c r="O448" i="5"/>
  <c r="O449" i="5"/>
  <c r="O450" i="5"/>
  <c r="O451" i="5"/>
  <c r="O452" i="5"/>
  <c r="O453" i="5"/>
  <c r="O454" i="5"/>
  <c r="O455" i="5"/>
  <c r="O456" i="5"/>
  <c r="O457" i="5"/>
  <c r="O458" i="5"/>
  <c r="O459" i="5"/>
  <c r="O460" i="5"/>
  <c r="O461" i="5"/>
  <c r="O462" i="5"/>
  <c r="O463" i="5"/>
  <c r="O464" i="5"/>
  <c r="O465" i="5"/>
  <c r="O466" i="5"/>
  <c r="O467" i="5"/>
  <c r="O468" i="5"/>
  <c r="O469" i="5"/>
  <c r="O470" i="5"/>
  <c r="O471" i="5"/>
  <c r="O472" i="5"/>
  <c r="O473" i="5"/>
  <c r="O474" i="5"/>
  <c r="O475" i="5"/>
  <c r="O476" i="5"/>
  <c r="O477" i="5"/>
  <c r="O478" i="5"/>
  <c r="O479" i="5"/>
  <c r="O480" i="5"/>
  <c r="O481" i="5"/>
  <c r="O482" i="5"/>
  <c r="O483" i="5"/>
  <c r="O484" i="5"/>
  <c r="O485" i="5"/>
  <c r="O486" i="5"/>
  <c r="O487" i="5"/>
  <c r="O488" i="5"/>
  <c r="O489" i="5"/>
  <c r="O490" i="5"/>
  <c r="O491" i="5"/>
  <c r="O492" i="5"/>
  <c r="O493" i="5"/>
  <c r="O494" i="5"/>
  <c r="O495" i="5"/>
  <c r="O496" i="5"/>
  <c r="O497" i="5"/>
  <c r="O498" i="5"/>
  <c r="O499" i="5"/>
  <c r="O500" i="5"/>
  <c r="O501" i="5"/>
  <c r="O502" i="5"/>
  <c r="O503" i="5"/>
  <c r="O504" i="5"/>
  <c r="O505" i="5"/>
  <c r="O506" i="5"/>
  <c r="O507" i="5"/>
  <c r="O508" i="5"/>
  <c r="O509" i="5"/>
  <c r="O510" i="5"/>
  <c r="O511" i="5"/>
  <c r="O512" i="5"/>
  <c r="O513" i="5"/>
  <c r="O514" i="5"/>
  <c r="O515" i="5"/>
  <c r="O516" i="5"/>
  <c r="O517" i="5"/>
  <c r="O518" i="5"/>
  <c r="O419" i="5"/>
  <c r="O320" i="5"/>
  <c r="O321" i="5"/>
  <c r="O322" i="5"/>
  <c r="O323" i="5"/>
  <c r="O324" i="5"/>
  <c r="O325" i="5"/>
  <c r="O326" i="5"/>
  <c r="O327" i="5"/>
  <c r="O328" i="5"/>
  <c r="O329" i="5"/>
  <c r="O330" i="5"/>
  <c r="O331" i="5"/>
  <c r="O332" i="5"/>
  <c r="O333" i="5"/>
  <c r="O334" i="5"/>
  <c r="O335" i="5"/>
  <c r="O336" i="5"/>
  <c r="O337" i="5"/>
  <c r="O338" i="5"/>
  <c r="O339" i="5"/>
  <c r="O340" i="5"/>
  <c r="O341" i="5"/>
  <c r="O342" i="5"/>
  <c r="O343" i="5"/>
  <c r="O344" i="5"/>
  <c r="O345" i="5"/>
  <c r="O346" i="5"/>
  <c r="O347" i="5"/>
  <c r="O348" i="5"/>
  <c r="O349" i="5"/>
  <c r="O350" i="5"/>
  <c r="O351" i="5"/>
  <c r="O352" i="5"/>
  <c r="O353" i="5"/>
  <c r="O354" i="5"/>
  <c r="O355" i="5"/>
  <c r="O356" i="5"/>
  <c r="O357" i="5"/>
  <c r="O358" i="5"/>
  <c r="O359" i="5"/>
  <c r="O360" i="5"/>
  <c r="O361" i="5"/>
  <c r="O362" i="5"/>
  <c r="O363" i="5"/>
  <c r="O364" i="5"/>
  <c r="O365" i="5"/>
  <c r="O366" i="5"/>
  <c r="O367" i="5"/>
  <c r="O368" i="5"/>
  <c r="O369" i="5"/>
  <c r="O370" i="5"/>
  <c r="O371" i="5"/>
  <c r="O372" i="5"/>
  <c r="O373" i="5"/>
  <c r="O374" i="5"/>
  <c r="O375" i="5"/>
  <c r="O376" i="5"/>
  <c r="O377" i="5"/>
  <c r="O378" i="5"/>
  <c r="O379" i="5"/>
  <c r="O380" i="5"/>
  <c r="O381" i="5"/>
  <c r="O382" i="5"/>
  <c r="O383" i="5"/>
  <c r="O384" i="5"/>
  <c r="O385" i="5"/>
  <c r="O386" i="5"/>
  <c r="O387" i="5"/>
  <c r="O388" i="5"/>
  <c r="O389" i="5"/>
  <c r="O390" i="5"/>
  <c r="O391" i="5"/>
  <c r="O392" i="5"/>
  <c r="O393" i="5"/>
  <c r="O394" i="5"/>
  <c r="O395" i="5"/>
  <c r="O396" i="5"/>
  <c r="O397" i="5"/>
  <c r="O398" i="5"/>
  <c r="O399" i="5"/>
  <c r="O400" i="5"/>
  <c r="O401" i="5"/>
  <c r="O402" i="5"/>
  <c r="O403" i="5"/>
  <c r="O404" i="5"/>
  <c r="O405" i="5"/>
  <c r="O406" i="5"/>
  <c r="O407" i="5"/>
  <c r="O408" i="5"/>
  <c r="O409" i="5"/>
  <c r="O410" i="5"/>
  <c r="O411" i="5"/>
  <c r="O412" i="5"/>
  <c r="O413" i="5"/>
  <c r="O414" i="5"/>
  <c r="O415" i="5"/>
  <c r="O416" i="5"/>
  <c r="O417" i="5"/>
  <c r="O418" i="5"/>
  <c r="O319" i="5"/>
  <c r="O220" i="5"/>
  <c r="O221" i="5"/>
  <c r="O222" i="5"/>
  <c r="O223" i="5"/>
  <c r="O224" i="5"/>
  <c r="O225" i="5"/>
  <c r="O226" i="5"/>
  <c r="O227" i="5"/>
  <c r="O228" i="5"/>
  <c r="O229" i="5"/>
  <c r="O230" i="5"/>
  <c r="O231" i="5"/>
  <c r="O232" i="5"/>
  <c r="O233" i="5"/>
  <c r="O234" i="5"/>
  <c r="O235" i="5"/>
  <c r="O236" i="5"/>
  <c r="O237" i="5"/>
  <c r="O238" i="5"/>
  <c r="O239" i="5"/>
  <c r="O240" i="5"/>
  <c r="O241" i="5"/>
  <c r="O242" i="5"/>
  <c r="O243" i="5"/>
  <c r="O244" i="5"/>
  <c r="O245" i="5"/>
  <c r="O246" i="5"/>
  <c r="O247" i="5"/>
  <c r="O248" i="5"/>
  <c r="O249" i="5"/>
  <c r="O250" i="5"/>
  <c r="O251" i="5"/>
  <c r="O252" i="5"/>
  <c r="O253" i="5"/>
  <c r="O254" i="5"/>
  <c r="O255" i="5"/>
  <c r="O256" i="5"/>
  <c r="O257" i="5"/>
  <c r="O258" i="5"/>
  <c r="O259" i="5"/>
  <c r="O260" i="5"/>
  <c r="O261" i="5"/>
  <c r="O262" i="5"/>
  <c r="O263" i="5"/>
  <c r="O264" i="5"/>
  <c r="O265" i="5"/>
  <c r="O266" i="5"/>
  <c r="O267" i="5"/>
  <c r="O268" i="5"/>
  <c r="O269" i="5"/>
  <c r="O270" i="5"/>
  <c r="O271" i="5"/>
  <c r="O272" i="5"/>
  <c r="O273" i="5"/>
  <c r="O274" i="5"/>
  <c r="O275" i="5"/>
  <c r="O276" i="5"/>
  <c r="O277" i="5"/>
  <c r="O278" i="5"/>
  <c r="O279" i="5"/>
  <c r="O280" i="5"/>
  <c r="O281" i="5"/>
  <c r="O282" i="5"/>
  <c r="O283" i="5"/>
  <c r="O284" i="5"/>
  <c r="O285" i="5"/>
  <c r="O286" i="5"/>
  <c r="O287" i="5"/>
  <c r="O288" i="5"/>
  <c r="O289" i="5"/>
  <c r="O290" i="5"/>
  <c r="O291" i="5"/>
  <c r="O292" i="5"/>
  <c r="O293" i="5"/>
  <c r="O294" i="5"/>
  <c r="O295" i="5"/>
  <c r="O296" i="5"/>
  <c r="O297" i="5"/>
  <c r="O298" i="5"/>
  <c r="O299" i="5"/>
  <c r="O300" i="5"/>
  <c r="O301" i="5"/>
  <c r="O302" i="5"/>
  <c r="O303" i="5"/>
  <c r="O304" i="5"/>
  <c r="O305" i="5"/>
  <c r="O306" i="5"/>
  <c r="O307" i="5"/>
  <c r="O308" i="5"/>
  <c r="O309" i="5"/>
  <c r="O310" i="5"/>
  <c r="O311" i="5"/>
  <c r="O312" i="5"/>
  <c r="O313" i="5"/>
  <c r="O314" i="5"/>
  <c r="O315" i="5"/>
  <c r="O316" i="5"/>
  <c r="O317" i="5"/>
  <c r="O318" i="5"/>
  <c r="O219" i="5"/>
  <c r="O120" i="5"/>
  <c r="O121" i="5"/>
  <c r="O122" i="5"/>
  <c r="O123" i="5"/>
  <c r="O124" i="5"/>
  <c r="O125" i="5"/>
  <c r="O126" i="5"/>
  <c r="O127" i="5"/>
  <c r="O128" i="5"/>
  <c r="O129" i="5"/>
  <c r="O130" i="5"/>
  <c r="O131" i="5"/>
  <c r="O132" i="5"/>
  <c r="O133" i="5"/>
  <c r="O134" i="5"/>
  <c r="O135" i="5"/>
  <c r="O136" i="5"/>
  <c r="O137" i="5"/>
  <c r="O138" i="5"/>
  <c r="O139" i="5"/>
  <c r="O140" i="5"/>
  <c r="O141" i="5"/>
  <c r="O142" i="5"/>
  <c r="O143" i="5"/>
  <c r="O144" i="5"/>
  <c r="O145" i="5"/>
  <c r="O146" i="5"/>
  <c r="O147" i="5"/>
  <c r="O148" i="5"/>
  <c r="O149" i="5"/>
  <c r="O150" i="5"/>
  <c r="O151" i="5"/>
  <c r="O152" i="5"/>
  <c r="O153" i="5"/>
  <c r="O154" i="5"/>
  <c r="O155" i="5"/>
  <c r="O156" i="5"/>
  <c r="O157" i="5"/>
  <c r="O158" i="5"/>
  <c r="O159" i="5"/>
  <c r="O160" i="5"/>
  <c r="O161" i="5"/>
  <c r="O162" i="5"/>
  <c r="O163" i="5"/>
  <c r="O164" i="5"/>
  <c r="O165" i="5"/>
  <c r="O166" i="5"/>
  <c r="O167" i="5"/>
  <c r="O168" i="5"/>
  <c r="O169" i="5"/>
  <c r="O170" i="5"/>
  <c r="O171" i="5"/>
  <c r="O172" i="5"/>
  <c r="O173" i="5"/>
  <c r="O174" i="5"/>
  <c r="O175" i="5"/>
  <c r="O176" i="5"/>
  <c r="O177" i="5"/>
  <c r="O178" i="5"/>
  <c r="O179" i="5"/>
  <c r="O180" i="5"/>
  <c r="O181" i="5"/>
  <c r="O182" i="5"/>
  <c r="O183" i="5"/>
  <c r="O184" i="5"/>
  <c r="O185" i="5"/>
  <c r="O186" i="5"/>
  <c r="O187" i="5"/>
  <c r="O188" i="5"/>
  <c r="O189" i="5"/>
  <c r="O190" i="5"/>
  <c r="O191" i="5"/>
  <c r="O192" i="5"/>
  <c r="O193" i="5"/>
  <c r="O194" i="5"/>
  <c r="O195" i="5"/>
  <c r="O196" i="5"/>
  <c r="O197" i="5"/>
  <c r="O198" i="5"/>
  <c r="O199" i="5"/>
  <c r="O200" i="5"/>
  <c r="O201" i="5"/>
  <c r="O202" i="5"/>
  <c r="O203" i="5"/>
  <c r="O204" i="5"/>
  <c r="O205" i="5"/>
  <c r="O206" i="5"/>
  <c r="O207" i="5"/>
  <c r="O208" i="5"/>
  <c r="O209" i="5"/>
  <c r="O210" i="5"/>
  <c r="O211" i="5"/>
  <c r="O212" i="5"/>
  <c r="O213" i="5"/>
  <c r="O214" i="5"/>
  <c r="O215" i="5"/>
  <c r="O216" i="5"/>
  <c r="O217" i="5"/>
  <c r="O218" i="5"/>
  <c r="O119" i="5"/>
  <c r="O20" i="5"/>
  <c r="O21" i="5"/>
  <c r="O22" i="5"/>
  <c r="O23" i="5"/>
  <c r="O24" i="5"/>
  <c r="O25" i="5"/>
  <c r="O26" i="5"/>
  <c r="O27" i="5"/>
  <c r="O28" i="5"/>
  <c r="O29" i="5"/>
  <c r="O30" i="5"/>
  <c r="O31" i="5"/>
  <c r="O32" i="5"/>
  <c r="O33" i="5"/>
  <c r="O34" i="5"/>
  <c r="O35" i="5"/>
  <c r="O36" i="5"/>
  <c r="O37" i="5"/>
  <c r="O38" i="5"/>
  <c r="O39" i="5"/>
  <c r="O40" i="5"/>
  <c r="O41" i="5"/>
  <c r="O42" i="5"/>
  <c r="O43" i="5"/>
  <c r="O44" i="5"/>
  <c r="O45" i="5"/>
  <c r="O46" i="5"/>
  <c r="O47" i="5"/>
  <c r="O48" i="5"/>
  <c r="O49" i="5"/>
  <c r="O50" i="5"/>
  <c r="O51" i="5"/>
  <c r="O52" i="5"/>
  <c r="O53" i="5"/>
  <c r="O54" i="5"/>
  <c r="O55" i="5"/>
  <c r="O56" i="5"/>
  <c r="O57" i="5"/>
  <c r="O58" i="5"/>
  <c r="O59" i="5"/>
  <c r="O60" i="5"/>
  <c r="O61" i="5"/>
  <c r="O62" i="5"/>
  <c r="O63" i="5"/>
  <c r="O64" i="5"/>
  <c r="O65" i="5"/>
  <c r="O66" i="5"/>
  <c r="O67" i="5"/>
  <c r="O68" i="5"/>
  <c r="O69" i="5"/>
  <c r="O70" i="5"/>
  <c r="O71" i="5"/>
  <c r="O72" i="5"/>
  <c r="O73" i="5"/>
  <c r="O74" i="5"/>
  <c r="O75" i="5"/>
  <c r="O76" i="5"/>
  <c r="O77" i="5"/>
  <c r="O78" i="5"/>
  <c r="O79" i="5"/>
  <c r="O80" i="5"/>
  <c r="O81" i="5"/>
  <c r="O82" i="5"/>
  <c r="O83" i="5"/>
  <c r="O84" i="5"/>
  <c r="O85" i="5"/>
  <c r="O86" i="5"/>
  <c r="O87" i="5"/>
  <c r="O88" i="5"/>
  <c r="O89" i="5"/>
  <c r="O90" i="5"/>
  <c r="O91" i="5"/>
  <c r="O92" i="5"/>
  <c r="O93" i="5"/>
  <c r="O94" i="5"/>
  <c r="O95" i="5"/>
  <c r="O96" i="5"/>
  <c r="O97" i="5"/>
  <c r="O98" i="5"/>
  <c r="O99" i="5"/>
  <c r="O100" i="5"/>
  <c r="O101" i="5"/>
  <c r="O102" i="5"/>
  <c r="O103" i="5"/>
  <c r="O104" i="5"/>
  <c r="O105" i="5"/>
  <c r="O106" i="5"/>
  <c r="O107" i="5"/>
  <c r="O108" i="5"/>
  <c r="O109" i="5"/>
  <c r="O110" i="5"/>
  <c r="O111" i="5"/>
  <c r="O112" i="5"/>
  <c r="O113" i="5"/>
  <c r="O114" i="5"/>
  <c r="O115" i="5"/>
  <c r="O116" i="5"/>
  <c r="O117" i="5"/>
  <c r="O118" i="5"/>
  <c r="O19" i="5"/>
  <c r="O8" i="10" l="1"/>
  <c r="O7" i="10"/>
  <c r="O8" i="5"/>
  <c r="O7" i="5"/>
  <c r="B169" i="2"/>
  <c r="H56" i="1"/>
  <c r="B170" i="2"/>
  <c r="B259" i="2"/>
  <c r="AP8" i="10" l="1"/>
  <c r="AM8" i="10"/>
  <c r="AG8" i="10"/>
  <c r="AJ8" i="10"/>
  <c r="AM7" i="10"/>
  <c r="AG7" i="10"/>
  <c r="AP7" i="10"/>
  <c r="AJ7" i="10"/>
  <c r="B36" i="5"/>
  <c r="AL8" i="10" l="1"/>
  <c r="AK8" i="10"/>
  <c r="AR7" i="10"/>
  <c r="AQ7" i="10"/>
  <c r="AI8" i="10"/>
  <c r="AH8" i="10"/>
  <c r="AL7" i="10"/>
  <c r="AK7" i="10"/>
  <c r="AH7" i="10"/>
  <c r="AI7" i="10"/>
  <c r="AN8" i="10"/>
  <c r="AO8" i="10"/>
  <c r="AS8" i="10"/>
  <c r="AO7" i="10"/>
  <c r="AN7" i="10"/>
  <c r="AS7" i="10"/>
  <c r="AR8" i="10"/>
  <c r="AQ8" i="10"/>
  <c r="B238" i="2"/>
  <c r="B63" i="5" s="1"/>
  <c r="B240" i="2"/>
  <c r="B64" i="5" s="1"/>
  <c r="B270" i="2"/>
  <c r="B272" i="2"/>
  <c r="B268" i="2"/>
  <c r="B33" i="5"/>
  <c r="AT8" i="10" l="1"/>
  <c r="AU8" i="10"/>
  <c r="AU7" i="10"/>
  <c r="AT7" i="10"/>
  <c r="B65" i="5"/>
  <c r="B67" i="5"/>
  <c r="B67" i="10"/>
  <c r="B69" i="5"/>
  <c r="AF7" i="5" s="1"/>
  <c r="B66" i="5"/>
  <c r="B71" i="5"/>
  <c r="B72" i="5"/>
  <c r="AJ7" i="5" s="1"/>
  <c r="B70" i="5"/>
  <c r="AM7" i="5" s="1"/>
  <c r="B131" i="2"/>
  <c r="B151" i="2" s="1"/>
  <c r="B130" i="2"/>
  <c r="B150" i="2" s="1"/>
  <c r="B126" i="2"/>
  <c r="B115" i="2"/>
  <c r="B110" i="2"/>
  <c r="B109" i="2"/>
  <c r="I231" i="2" s="1"/>
  <c r="B29" i="3"/>
  <c r="B27" i="3"/>
  <c r="B93" i="2"/>
  <c r="B34" i="10" l="1"/>
  <c r="B34" i="5"/>
  <c r="B31" i="10"/>
  <c r="B48" i="10"/>
  <c r="B156" i="2"/>
  <c r="B32" i="10"/>
  <c r="AP544" i="10"/>
  <c r="AP540" i="10"/>
  <c r="AP543" i="10"/>
  <c r="AP539" i="10"/>
  <c r="AP519" i="10"/>
  <c r="AP515" i="10"/>
  <c r="AP534" i="10"/>
  <c r="AP499" i="10"/>
  <c r="AP495" i="10"/>
  <c r="AP518" i="10"/>
  <c r="AP486" i="10"/>
  <c r="AP505" i="10"/>
  <c r="AP489" i="10"/>
  <c r="AP514" i="10"/>
  <c r="AP479" i="10"/>
  <c r="AP475" i="10"/>
  <c r="AP471" i="10"/>
  <c r="AP467" i="10"/>
  <c r="AP463" i="10"/>
  <c r="AP459" i="10"/>
  <c r="AP455" i="10"/>
  <c r="AP452" i="10"/>
  <c r="AP448" i="10"/>
  <c r="AP444" i="10"/>
  <c r="AP440" i="10"/>
  <c r="AP434" i="10"/>
  <c r="AP498" i="10"/>
  <c r="AP431" i="10"/>
  <c r="AP385" i="10"/>
  <c r="AP367" i="10"/>
  <c r="AP363" i="10"/>
  <c r="AP383" i="10"/>
  <c r="AP375" i="10"/>
  <c r="AP306" i="10"/>
  <c r="AP429" i="10"/>
  <c r="AP425" i="10"/>
  <c r="AP421" i="10"/>
  <c r="AP417" i="10"/>
  <c r="AP413" i="10"/>
  <c r="AP409" i="10"/>
  <c r="AP405" i="10"/>
  <c r="AP401" i="10"/>
  <c r="AP397" i="10"/>
  <c r="AP393" i="10"/>
  <c r="AP389" i="10"/>
  <c r="AP302" i="10"/>
  <c r="AP301" i="10"/>
  <c r="AP379" i="10"/>
  <c r="AP371" i="10"/>
  <c r="AP241" i="10"/>
  <c r="AP237" i="10"/>
  <c r="AP233" i="10"/>
  <c r="AP229" i="10"/>
  <c r="AP225" i="10"/>
  <c r="AP221" i="10"/>
  <c r="AP217" i="10"/>
  <c r="AP213" i="10"/>
  <c r="AP209" i="10"/>
  <c r="AP297" i="10"/>
  <c r="AP293" i="10"/>
  <c r="AP289" i="10"/>
  <c r="AP285" i="10"/>
  <c r="AP281" i="10"/>
  <c r="AP277" i="10"/>
  <c r="AP273" i="10"/>
  <c r="AP269" i="10"/>
  <c r="AP265" i="10"/>
  <c r="AP261" i="10"/>
  <c r="AP257" i="10"/>
  <c r="AP253" i="10"/>
  <c r="AP249" i="10"/>
  <c r="AP245" i="10"/>
  <c r="AP242" i="10"/>
  <c r="AP238" i="10"/>
  <c r="AP234" i="10"/>
  <c r="AP230" i="10"/>
  <c r="AP226" i="10"/>
  <c r="AP222" i="10"/>
  <c r="AP218" i="10"/>
  <c r="AP214" i="10"/>
  <c r="AP210" i="10"/>
  <c r="AP205" i="10"/>
  <c r="AP201" i="10"/>
  <c r="AP197" i="10"/>
  <c r="AP193" i="10"/>
  <c r="AP189" i="10"/>
  <c r="AP185" i="10"/>
  <c r="AP181" i="10"/>
  <c r="AP177" i="10"/>
  <c r="AP173" i="10"/>
  <c r="AP169" i="10"/>
  <c r="AP165" i="10"/>
  <c r="AP240" i="10"/>
  <c r="AP236" i="10"/>
  <c r="AP232" i="10"/>
  <c r="AP228" i="10"/>
  <c r="AP224" i="10"/>
  <c r="AP220" i="10"/>
  <c r="AP216" i="10"/>
  <c r="AP212" i="10"/>
  <c r="AP202" i="10"/>
  <c r="AP266" i="10"/>
  <c r="AP258" i="10"/>
  <c r="AP158" i="10"/>
  <c r="AP146" i="10"/>
  <c r="AP142" i="10"/>
  <c r="AP138" i="10"/>
  <c r="AP130" i="10"/>
  <c r="AP126" i="10"/>
  <c r="AP122" i="10"/>
  <c r="AP118" i="10"/>
  <c r="AP114" i="10"/>
  <c r="AP110" i="10"/>
  <c r="AP106" i="10"/>
  <c r="AP294" i="10"/>
  <c r="AP286" i="10"/>
  <c r="AP278" i="10"/>
  <c r="AP270" i="10"/>
  <c r="AP262" i="10"/>
  <c r="AP254" i="10"/>
  <c r="AP246" i="10"/>
  <c r="O12" i="10"/>
  <c r="AP298" i="10"/>
  <c r="AP150" i="10"/>
  <c r="AP134" i="10"/>
  <c r="AP102" i="10"/>
  <c r="AP206" i="10"/>
  <c r="AP198" i="10"/>
  <c r="AP192" i="10"/>
  <c r="AP188" i="10"/>
  <c r="AP184" i="10"/>
  <c r="AP180" i="10"/>
  <c r="AP176" i="10"/>
  <c r="AP172" i="10"/>
  <c r="AP168" i="10"/>
  <c r="AP164" i="10"/>
  <c r="AP61" i="10"/>
  <c r="AP290" i="10"/>
  <c r="AP282" i="10"/>
  <c r="AP274" i="10"/>
  <c r="AP250" i="10"/>
  <c r="AP162" i="10"/>
  <c r="AP154" i="10"/>
  <c r="AP40" i="10"/>
  <c r="AP34" i="10"/>
  <c r="AP21" i="10"/>
  <c r="AP37" i="10"/>
  <c r="AP32" i="10"/>
  <c r="AP30" i="10"/>
  <c r="AP27" i="10"/>
  <c r="AP20" i="10"/>
  <c r="AP36" i="10"/>
  <c r="AP46" i="10"/>
  <c r="AP42" i="10"/>
  <c r="AP81" i="10"/>
  <c r="AP45" i="10"/>
  <c r="AP52" i="10"/>
  <c r="AP70" i="10"/>
  <c r="AP86" i="10"/>
  <c r="AP101" i="10"/>
  <c r="AP117" i="10"/>
  <c r="AP133" i="10"/>
  <c r="AP149" i="10"/>
  <c r="AP200" i="10"/>
  <c r="AP63" i="10"/>
  <c r="AP71" i="10"/>
  <c r="AP87" i="10"/>
  <c r="AP166" i="10"/>
  <c r="AP174" i="10"/>
  <c r="AP182" i="10"/>
  <c r="AP190" i="10"/>
  <c r="AP97" i="10"/>
  <c r="AP28" i="10"/>
  <c r="AP39" i="10"/>
  <c r="AP68" i="10"/>
  <c r="AP76" i="10"/>
  <c r="AP92" i="10"/>
  <c r="AP111" i="10"/>
  <c r="AP127" i="10"/>
  <c r="AP135" i="10"/>
  <c r="AP151" i="10"/>
  <c r="AP175" i="10"/>
  <c r="AP191" i="10"/>
  <c r="AP207" i="10"/>
  <c r="AP104" i="10"/>
  <c r="AP112" i="10"/>
  <c r="AP120" i="10"/>
  <c r="AP128" i="10"/>
  <c r="AP136" i="10"/>
  <c r="AP144" i="10"/>
  <c r="AP152" i="10"/>
  <c r="AP160" i="10"/>
  <c r="AP219" i="10"/>
  <c r="AP235" i="10"/>
  <c r="AP323" i="10"/>
  <c r="AP339" i="10"/>
  <c r="AP355" i="10"/>
  <c r="AP251" i="10"/>
  <c r="AP259" i="10"/>
  <c r="AP267" i="10"/>
  <c r="AP275" i="10"/>
  <c r="AP283" i="10"/>
  <c r="AP291" i="10"/>
  <c r="AP299" i="10"/>
  <c r="AP312" i="10"/>
  <c r="AP328" i="10"/>
  <c r="AP344" i="10"/>
  <c r="AP364" i="10"/>
  <c r="AP307" i="10"/>
  <c r="AP313" i="10"/>
  <c r="AP321" i="10"/>
  <c r="AP329" i="10"/>
  <c r="AP337" i="10"/>
  <c r="AP345" i="10"/>
  <c r="AP353" i="10"/>
  <c r="AP365" i="10"/>
  <c r="AP369" i="10"/>
  <c r="AP439" i="10"/>
  <c r="AP380" i="10"/>
  <c r="AP438" i="10"/>
  <c r="AP435" i="10"/>
  <c r="AP382" i="10"/>
  <c r="AP398" i="10"/>
  <c r="AP414" i="10"/>
  <c r="AP430" i="10"/>
  <c r="AP445" i="10"/>
  <c r="AP469" i="10"/>
  <c r="AP399" i="10"/>
  <c r="AP415" i="10"/>
  <c r="AP388" i="10"/>
  <c r="AP396" i="10"/>
  <c r="AP404" i="10"/>
  <c r="AP412" i="10"/>
  <c r="AP420" i="10"/>
  <c r="AP464" i="10"/>
  <c r="AP478" i="10"/>
  <c r="AP458" i="10"/>
  <c r="AP466" i="10"/>
  <c r="AP490" i="10"/>
  <c r="AP494" i="10"/>
  <c r="AP501" i="10"/>
  <c r="AP473" i="10"/>
  <c r="AP477" i="10"/>
  <c r="AP481" i="10"/>
  <c r="AP485" i="10"/>
  <c r="AP522" i="10"/>
  <c r="AP491" i="10"/>
  <c r="AP509" i="10"/>
  <c r="AP510" i="10"/>
  <c r="AP526" i="10"/>
  <c r="AP541" i="10"/>
  <c r="AP537" i="10"/>
  <c r="AP528" i="10"/>
  <c r="AP545" i="10"/>
  <c r="AP551" i="10"/>
  <c r="AP550" i="10"/>
  <c r="AP536" i="10"/>
  <c r="AP556" i="10"/>
  <c r="AP555" i="10"/>
  <c r="AP557" i="10"/>
  <c r="AP559" i="10"/>
  <c r="AP215" i="10"/>
  <c r="AP319" i="10"/>
  <c r="AP373" i="10"/>
  <c r="AP300" i="10"/>
  <c r="AP322" i="10"/>
  <c r="AP354" i="10"/>
  <c r="AP376" i="10"/>
  <c r="AP410" i="10"/>
  <c r="AP411" i="10"/>
  <c r="AP427" i="10"/>
  <c r="AP496" i="10"/>
  <c r="AP492" i="10"/>
  <c r="AP503" i="10"/>
  <c r="AP516" i="10"/>
  <c r="AP529" i="10"/>
  <c r="AP513" i="10"/>
  <c r="AP511" i="10"/>
  <c r="AP554" i="10"/>
  <c r="AP24" i="10"/>
  <c r="AP44" i="10"/>
  <c r="AP69" i="10"/>
  <c r="AP93" i="10"/>
  <c r="AP74" i="10"/>
  <c r="AP90" i="10"/>
  <c r="AP105" i="10"/>
  <c r="AP121" i="10"/>
  <c r="AP137" i="10"/>
  <c r="AP153" i="10"/>
  <c r="AP66" i="10"/>
  <c r="AP85" i="10"/>
  <c r="AP43" i="10"/>
  <c r="AP58" i="10"/>
  <c r="AP67" i="10"/>
  <c r="AP83" i="10"/>
  <c r="AP99" i="10"/>
  <c r="AP196" i="10"/>
  <c r="AP49" i="10"/>
  <c r="AP23" i="10"/>
  <c r="AP33" i="10"/>
  <c r="AP80" i="10"/>
  <c r="AP96" i="10"/>
  <c r="AP115" i="10"/>
  <c r="AP208" i="10"/>
  <c r="AP147" i="10"/>
  <c r="AP163" i="10"/>
  <c r="AP179" i="10"/>
  <c r="AP195" i="10"/>
  <c r="AP252" i="10"/>
  <c r="AP260" i="10"/>
  <c r="AP268" i="10"/>
  <c r="AP276" i="10"/>
  <c r="AP284" i="10"/>
  <c r="AP292" i="10"/>
  <c r="AP244" i="10"/>
  <c r="AP223" i="10"/>
  <c r="AP239" i="10"/>
  <c r="AP305" i="10"/>
  <c r="AP311" i="10"/>
  <c r="AP327" i="10"/>
  <c r="AP343" i="10"/>
  <c r="AP359" i="10"/>
  <c r="AP304" i="10"/>
  <c r="AP377" i="10"/>
  <c r="AP316" i="10"/>
  <c r="AP332" i="10"/>
  <c r="AP348" i="10"/>
  <c r="AP361" i="10"/>
  <c r="AP443" i="10"/>
  <c r="AP310" i="10"/>
  <c r="AP318" i="10"/>
  <c r="AP326" i="10"/>
  <c r="AP334" i="10"/>
  <c r="AP342" i="10"/>
  <c r="AP350" i="10"/>
  <c r="AP358" i="10"/>
  <c r="AP370" i="10"/>
  <c r="AP386" i="10"/>
  <c r="AP402" i="10"/>
  <c r="AP418" i="10"/>
  <c r="AP433" i="10"/>
  <c r="AP449" i="10"/>
  <c r="AP461" i="10"/>
  <c r="AP403" i="10"/>
  <c r="AP419" i="10"/>
  <c r="AP457" i="10"/>
  <c r="AP468" i="10"/>
  <c r="AP482" i="10"/>
  <c r="AP442" i="10"/>
  <c r="AP502" i="10"/>
  <c r="AP508" i="10"/>
  <c r="AP483" i="10"/>
  <c r="AP512" i="10"/>
  <c r="AP476" i="10"/>
  <c r="AP484" i="10"/>
  <c r="AP520" i="10"/>
  <c r="AP500" i="10"/>
  <c r="AP527" i="10"/>
  <c r="AP532" i="10"/>
  <c r="AP549" i="10"/>
  <c r="AP533" i="10"/>
  <c r="AP535" i="10"/>
  <c r="AP553" i="10"/>
  <c r="AP548" i="10"/>
  <c r="AP231" i="10"/>
  <c r="AP351" i="10"/>
  <c r="AP324" i="10"/>
  <c r="AP436" i="10"/>
  <c r="AP451" i="10"/>
  <c r="AP338" i="10"/>
  <c r="AP366" i="10"/>
  <c r="AP378" i="10"/>
  <c r="AP426" i="10"/>
  <c r="AP395" i="10"/>
  <c r="AP424" i="10"/>
  <c r="AP474" i="10"/>
  <c r="AP450" i="10"/>
  <c r="AP480" i="10"/>
  <c r="AP488" i="10"/>
  <c r="AP531" i="10"/>
  <c r="AP547" i="10"/>
  <c r="AP26" i="10"/>
  <c r="AP62" i="10"/>
  <c r="AP53" i="10"/>
  <c r="AP55" i="10"/>
  <c r="AP47" i="10"/>
  <c r="AP73" i="10"/>
  <c r="AP38" i="10"/>
  <c r="AP50" i="10"/>
  <c r="AP54" i="10"/>
  <c r="AP57" i="10"/>
  <c r="AP78" i="10"/>
  <c r="AP94" i="10"/>
  <c r="AP109" i="10"/>
  <c r="AP125" i="10"/>
  <c r="AP141" i="10"/>
  <c r="AP157" i="10"/>
  <c r="AP89" i="10"/>
  <c r="AP22" i="10"/>
  <c r="AP60" i="10"/>
  <c r="AP64" i="10"/>
  <c r="AP79" i="10"/>
  <c r="AP95" i="10"/>
  <c r="AP170" i="10"/>
  <c r="AP178" i="10"/>
  <c r="AP186" i="10"/>
  <c r="AP194" i="10"/>
  <c r="AP204" i="10"/>
  <c r="AP25" i="10"/>
  <c r="AP35" i="10"/>
  <c r="AP41" i="10"/>
  <c r="AP84" i="10"/>
  <c r="AP103" i="10"/>
  <c r="AP119" i="10"/>
  <c r="AP143" i="10"/>
  <c r="AP159" i="10"/>
  <c r="AP167" i="10"/>
  <c r="AP183" i="10"/>
  <c r="AP199" i="10"/>
  <c r="AP100" i="10"/>
  <c r="AP108" i="10"/>
  <c r="AP116" i="10"/>
  <c r="AP124" i="10"/>
  <c r="AP132" i="10"/>
  <c r="AP140" i="10"/>
  <c r="AP148" i="10"/>
  <c r="AP156" i="10"/>
  <c r="AP211" i="10"/>
  <c r="AP227" i="10"/>
  <c r="AP243" i="10"/>
  <c r="AP315" i="10"/>
  <c r="AP331" i="10"/>
  <c r="AP347" i="10"/>
  <c r="AP381" i="10"/>
  <c r="AP247" i="10"/>
  <c r="AP255" i="10"/>
  <c r="AP263" i="10"/>
  <c r="AP271" i="10"/>
  <c r="AP279" i="10"/>
  <c r="AP287" i="10"/>
  <c r="AP295" i="10"/>
  <c r="AP303" i="10"/>
  <c r="AP320" i="10"/>
  <c r="AP336" i="10"/>
  <c r="AP352" i="10"/>
  <c r="AP360" i="10"/>
  <c r="AP368" i="10"/>
  <c r="AP432" i="10"/>
  <c r="AP309" i="10"/>
  <c r="AP317" i="10"/>
  <c r="AP325" i="10"/>
  <c r="AP333" i="10"/>
  <c r="AP341" i="10"/>
  <c r="AP349" i="10"/>
  <c r="AP357" i="10"/>
  <c r="AP447" i="10"/>
  <c r="AP362" i="10"/>
  <c r="AP372" i="10"/>
  <c r="AP428" i="10"/>
  <c r="AP374" i="10"/>
  <c r="AP390" i="10"/>
  <c r="AP406" i="10"/>
  <c r="AP422" i="10"/>
  <c r="AP437" i="10"/>
  <c r="AP453" i="10"/>
  <c r="AP391" i="10"/>
  <c r="AP407" i="10"/>
  <c r="AP423" i="10"/>
  <c r="AP384" i="10"/>
  <c r="AP392" i="10"/>
  <c r="AP400" i="10"/>
  <c r="AP408" i="10"/>
  <c r="AP416" i="10"/>
  <c r="AP456" i="10"/>
  <c r="AP446" i="10"/>
  <c r="AP454" i="10"/>
  <c r="AP462" i="10"/>
  <c r="AP470" i="10"/>
  <c r="AP493" i="10"/>
  <c r="AP497" i="10"/>
  <c r="AP506" i="10"/>
  <c r="AP525" i="10"/>
  <c r="AP504" i="10"/>
  <c r="AP517" i="10"/>
  <c r="AP523" i="10"/>
  <c r="AP524" i="10"/>
  <c r="AP538" i="10"/>
  <c r="AP552" i="10"/>
  <c r="AP542" i="10"/>
  <c r="AP558" i="10"/>
  <c r="AP29" i="10"/>
  <c r="AP51" i="10"/>
  <c r="AP59" i="10"/>
  <c r="AP56" i="10"/>
  <c r="AP77" i="10"/>
  <c r="AP82" i="10"/>
  <c r="AP98" i="10"/>
  <c r="AP113" i="10"/>
  <c r="AP129" i="10"/>
  <c r="AP145" i="10"/>
  <c r="AP161" i="10"/>
  <c r="AP48" i="10"/>
  <c r="AP65" i="10"/>
  <c r="AP75" i="10"/>
  <c r="AP91" i="10"/>
  <c r="AP31" i="10"/>
  <c r="AP72" i="10"/>
  <c r="AP88" i="10"/>
  <c r="AP107" i="10"/>
  <c r="AP123" i="10"/>
  <c r="AP131" i="10"/>
  <c r="AP139" i="10"/>
  <c r="AP155" i="10"/>
  <c r="AP171" i="10"/>
  <c r="AP187" i="10"/>
  <c r="AP203" i="10"/>
  <c r="AP248" i="10"/>
  <c r="AP256" i="10"/>
  <c r="AP264" i="10"/>
  <c r="AP272" i="10"/>
  <c r="AP280" i="10"/>
  <c r="AP288" i="10"/>
  <c r="AP296" i="10"/>
  <c r="AP335" i="10"/>
  <c r="AP387" i="10"/>
  <c r="AP308" i="10"/>
  <c r="AP340" i="10"/>
  <c r="AP356" i="10"/>
  <c r="AP314" i="10"/>
  <c r="AP330" i="10"/>
  <c r="AP346" i="10"/>
  <c r="AP465" i="10"/>
  <c r="AP394" i="10"/>
  <c r="AP441" i="10"/>
  <c r="AP460" i="10"/>
  <c r="AP472" i="10"/>
  <c r="AP487" i="10"/>
  <c r="AP521" i="10"/>
  <c r="AP507" i="10"/>
  <c r="AP530" i="10"/>
  <c r="AP546" i="10"/>
  <c r="AP560" i="10"/>
  <c r="B19" i="5"/>
  <c r="B19" i="10"/>
  <c r="O13" i="10"/>
  <c r="AF559" i="10"/>
  <c r="AF555" i="10"/>
  <c r="AS555" i="10" s="1"/>
  <c r="AF551" i="10"/>
  <c r="AF558" i="10"/>
  <c r="AF554" i="10"/>
  <c r="AF560" i="10"/>
  <c r="AF556" i="10"/>
  <c r="AF548" i="10"/>
  <c r="AF544" i="10"/>
  <c r="AF540" i="10"/>
  <c r="AF553" i="10"/>
  <c r="AF547" i="10"/>
  <c r="AS547" i="10" s="1"/>
  <c r="AF557" i="10"/>
  <c r="AF552" i="10"/>
  <c r="AF546" i="10"/>
  <c r="AF543" i="10"/>
  <c r="AF539" i="10"/>
  <c r="AF536" i="10"/>
  <c r="AF532" i="10"/>
  <c r="AF542" i="10"/>
  <c r="AF535" i="10"/>
  <c r="AF550" i="10"/>
  <c r="AF549" i="10"/>
  <c r="AS549" i="10" s="1"/>
  <c r="AF545" i="10"/>
  <c r="AF541" i="10"/>
  <c r="AF538" i="10"/>
  <c r="AF534" i="10"/>
  <c r="AF528" i="10"/>
  <c r="AS528" i="10" s="1"/>
  <c r="AF524" i="10"/>
  <c r="AF520" i="10"/>
  <c r="AF516" i="10"/>
  <c r="AF537" i="10"/>
  <c r="AF527" i="10"/>
  <c r="AS527" i="10" s="1"/>
  <c r="AF531" i="10"/>
  <c r="AF530" i="10"/>
  <c r="AF526" i="10"/>
  <c r="AF522" i="10"/>
  <c r="AS522" i="10" s="1"/>
  <c r="AF533" i="10"/>
  <c r="AF518" i="10"/>
  <c r="AF511" i="10"/>
  <c r="AF507" i="10"/>
  <c r="AF503" i="10"/>
  <c r="AF499" i="10"/>
  <c r="AS499" i="10" s="1"/>
  <c r="AF495" i="10"/>
  <c r="AF523" i="10"/>
  <c r="AF521" i="10"/>
  <c r="AF517" i="10"/>
  <c r="AS517" i="10" s="1"/>
  <c r="AF514" i="10"/>
  <c r="AF510" i="10"/>
  <c r="AF506" i="10"/>
  <c r="AF529" i="10"/>
  <c r="AS529" i="10" s="1"/>
  <c r="AF525" i="10"/>
  <c r="AF513" i="10"/>
  <c r="AF509" i="10"/>
  <c r="AF500" i="10"/>
  <c r="AF496" i="10"/>
  <c r="AF519" i="10"/>
  <c r="AF515" i="10"/>
  <c r="AF512" i="10"/>
  <c r="AF508" i="10"/>
  <c r="AF505" i="10"/>
  <c r="AF502" i="10"/>
  <c r="AF498" i="10"/>
  <c r="AF494" i="10"/>
  <c r="AF491" i="10"/>
  <c r="AF487" i="10"/>
  <c r="AF493" i="10"/>
  <c r="AF492" i="10"/>
  <c r="AS492" i="10" s="1"/>
  <c r="AF488" i="10"/>
  <c r="AF485" i="10"/>
  <c r="AF481" i="10"/>
  <c r="AS481" i="10" s="1"/>
  <c r="AF477" i="10"/>
  <c r="AF473" i="10"/>
  <c r="AS473" i="10" s="1"/>
  <c r="AF469" i="10"/>
  <c r="AS469" i="10" s="1"/>
  <c r="AF465" i="10"/>
  <c r="AS465" i="10" s="1"/>
  <c r="AF461" i="10"/>
  <c r="AF457" i="10"/>
  <c r="AF484" i="10"/>
  <c r="AS484" i="10" s="1"/>
  <c r="AF480" i="10"/>
  <c r="AF476" i="10"/>
  <c r="AF472" i="10"/>
  <c r="AF501" i="10"/>
  <c r="AF497" i="10"/>
  <c r="AS497" i="10" s="1"/>
  <c r="AF490" i="10"/>
  <c r="AF486" i="10"/>
  <c r="AF483" i="10"/>
  <c r="AF479" i="10"/>
  <c r="AF475" i="10"/>
  <c r="AF471" i="10"/>
  <c r="AF504" i="10"/>
  <c r="AS504" i="10" s="1"/>
  <c r="AF467" i="10"/>
  <c r="AF463" i="10"/>
  <c r="AF459" i="10"/>
  <c r="AF455" i="10"/>
  <c r="AF450" i="10"/>
  <c r="AF446" i="10"/>
  <c r="AF442" i="10"/>
  <c r="AF489" i="10"/>
  <c r="AF470" i="10"/>
  <c r="AF466" i="10"/>
  <c r="AF462" i="10"/>
  <c r="AF458" i="10"/>
  <c r="AF454" i="10"/>
  <c r="AS454" i="10" s="1"/>
  <c r="AF453" i="10"/>
  <c r="AS453" i="10" s="1"/>
  <c r="AF449" i="10"/>
  <c r="AS449" i="10" s="1"/>
  <c r="AF445" i="10"/>
  <c r="AF441" i="10"/>
  <c r="AF482" i="10"/>
  <c r="AF478" i="10"/>
  <c r="AF474" i="10"/>
  <c r="AF452" i="10"/>
  <c r="AF448" i="10"/>
  <c r="AF444" i="10"/>
  <c r="AF440" i="10"/>
  <c r="AF436" i="10"/>
  <c r="AS436" i="10" s="1"/>
  <c r="AF432" i="10"/>
  <c r="AF438" i="10"/>
  <c r="AF435" i="10"/>
  <c r="AF431" i="10"/>
  <c r="AS431" i="10" s="1"/>
  <c r="AF429" i="10"/>
  <c r="AF425" i="10"/>
  <c r="AF421" i="10"/>
  <c r="AF417" i="10"/>
  <c r="AF413" i="10"/>
  <c r="AF409" i="10"/>
  <c r="AF405" i="10"/>
  <c r="AF401" i="10"/>
  <c r="AF397" i="10"/>
  <c r="AF393" i="10"/>
  <c r="AF389" i="10"/>
  <c r="AF385" i="10"/>
  <c r="AF381" i="10"/>
  <c r="AF377" i="10"/>
  <c r="AF373" i="10"/>
  <c r="AF369" i="10"/>
  <c r="AF365" i="10"/>
  <c r="AF361" i="10"/>
  <c r="AF468" i="10"/>
  <c r="AS468" i="10" s="1"/>
  <c r="AF464" i="10"/>
  <c r="AF460" i="10"/>
  <c r="AF456" i="10"/>
  <c r="AF451" i="10"/>
  <c r="AF447" i="10"/>
  <c r="AS447" i="10" s="1"/>
  <c r="AF443" i="10"/>
  <c r="AF439" i="10"/>
  <c r="AF437" i="10"/>
  <c r="AF433" i="10"/>
  <c r="AF427" i="10"/>
  <c r="AF423" i="10"/>
  <c r="AF419" i="10"/>
  <c r="AF415" i="10"/>
  <c r="AF411" i="10"/>
  <c r="AF407" i="10"/>
  <c r="AF403" i="10"/>
  <c r="AF399" i="10"/>
  <c r="AS399" i="10" s="1"/>
  <c r="AF395" i="10"/>
  <c r="AF391" i="10"/>
  <c r="AS391" i="10" s="1"/>
  <c r="AF387" i="10"/>
  <c r="AF430" i="10"/>
  <c r="AF426" i="10"/>
  <c r="AS426" i="10" s="1"/>
  <c r="AF422" i="10"/>
  <c r="AF418" i="10"/>
  <c r="AF414" i="10"/>
  <c r="AS414" i="10" s="1"/>
  <c r="AF410" i="10"/>
  <c r="AS410" i="10" s="1"/>
  <c r="AF406" i="10"/>
  <c r="AS406" i="10" s="1"/>
  <c r="AF402" i="10"/>
  <c r="AS402" i="10" s="1"/>
  <c r="AF398" i="10"/>
  <c r="AF394" i="10"/>
  <c r="AS394" i="10" s="1"/>
  <c r="AF390" i="10"/>
  <c r="AF434" i="10"/>
  <c r="AF428" i="10"/>
  <c r="AF424" i="10"/>
  <c r="AF420" i="10"/>
  <c r="AF416" i="10"/>
  <c r="AF412" i="10"/>
  <c r="AF408" i="10"/>
  <c r="AF404" i="10"/>
  <c r="AF400" i="10"/>
  <c r="AF396" i="10"/>
  <c r="AF392" i="10"/>
  <c r="AF388" i="10"/>
  <c r="AS388" i="10" s="1"/>
  <c r="AF386" i="10"/>
  <c r="AF366" i="10"/>
  <c r="AF362" i="10"/>
  <c r="AS362" i="10" s="1"/>
  <c r="AF358" i="10"/>
  <c r="AF354" i="10"/>
  <c r="AS354" i="10" s="1"/>
  <c r="AF350" i="10"/>
  <c r="AF346" i="10"/>
  <c r="AF342" i="10"/>
  <c r="AS342" i="10" s="1"/>
  <c r="AF338" i="10"/>
  <c r="AF334" i="10"/>
  <c r="AF330" i="10"/>
  <c r="AF326" i="10"/>
  <c r="AF322" i="10"/>
  <c r="AF318" i="10"/>
  <c r="AF314" i="10"/>
  <c r="AS314" i="10" s="1"/>
  <c r="AF310" i="10"/>
  <c r="AF306" i="10"/>
  <c r="AF302" i="10"/>
  <c r="AF298" i="10"/>
  <c r="AF294" i="10"/>
  <c r="AF290" i="10"/>
  <c r="AF286" i="10"/>
  <c r="AS286" i="10" s="1"/>
  <c r="AF282" i="10"/>
  <c r="AF278" i="10"/>
  <c r="AF274" i="10"/>
  <c r="AF270" i="10"/>
  <c r="AF266" i="10"/>
  <c r="AF262" i="10"/>
  <c r="AF258" i="10"/>
  <c r="AS258" i="10" s="1"/>
  <c r="AF254" i="10"/>
  <c r="AS254" i="10" s="1"/>
  <c r="AF250" i="10"/>
  <c r="AS250" i="10" s="1"/>
  <c r="AF246" i="10"/>
  <c r="AF382" i="10"/>
  <c r="AF378" i="10"/>
  <c r="AS378" i="10" s="1"/>
  <c r="AF374" i="10"/>
  <c r="AF370" i="10"/>
  <c r="AF357" i="10"/>
  <c r="AF353" i="10"/>
  <c r="AF349" i="10"/>
  <c r="AF345" i="10"/>
  <c r="AS345" i="10" s="1"/>
  <c r="AF341" i="10"/>
  <c r="AF337" i="10"/>
  <c r="AF333" i="10"/>
  <c r="AF329" i="10"/>
  <c r="AF325" i="10"/>
  <c r="AS325" i="10" s="1"/>
  <c r="AF321" i="10"/>
  <c r="AF317" i="10"/>
  <c r="AF313" i="10"/>
  <c r="AS313" i="10" s="1"/>
  <c r="AF309" i="10"/>
  <c r="AF384" i="10"/>
  <c r="AF356" i="10"/>
  <c r="AF352" i="10"/>
  <c r="AF348" i="10"/>
  <c r="AF344" i="10"/>
  <c r="AF340" i="10"/>
  <c r="AF336" i="10"/>
  <c r="AF332" i="10"/>
  <c r="AF328" i="10"/>
  <c r="AF324" i="10"/>
  <c r="AF320" i="10"/>
  <c r="AF316" i="10"/>
  <c r="AF312" i="10"/>
  <c r="AF308" i="10"/>
  <c r="AF383" i="10"/>
  <c r="AF379" i="10"/>
  <c r="AF375" i="10"/>
  <c r="AF371" i="10"/>
  <c r="AS371" i="10" s="1"/>
  <c r="AF359" i="10"/>
  <c r="AS359" i="10" s="1"/>
  <c r="AF355" i="10"/>
  <c r="AF351" i="10"/>
  <c r="AF347" i="10"/>
  <c r="AS347" i="10" s="1"/>
  <c r="AF343" i="10"/>
  <c r="AF339" i="10"/>
  <c r="AF335" i="10"/>
  <c r="AS335" i="10" s="1"/>
  <c r="AF331" i="10"/>
  <c r="AF327" i="10"/>
  <c r="AF323" i="10"/>
  <c r="AS323" i="10" s="1"/>
  <c r="AF319" i="10"/>
  <c r="AF315" i="10"/>
  <c r="AF311" i="10"/>
  <c r="AF307" i="10"/>
  <c r="AF305" i="10"/>
  <c r="AF301" i="10"/>
  <c r="AF297" i="10"/>
  <c r="AF293" i="10"/>
  <c r="AF289" i="10"/>
  <c r="AF285" i="10"/>
  <c r="AF281" i="10"/>
  <c r="AF277" i="10"/>
  <c r="AF273" i="10"/>
  <c r="AF269" i="10"/>
  <c r="AF265" i="10"/>
  <c r="AF261" i="10"/>
  <c r="AF257" i="10"/>
  <c r="AF253" i="10"/>
  <c r="AF249" i="10"/>
  <c r="AF245" i="10"/>
  <c r="AF242" i="10"/>
  <c r="AF238" i="10"/>
  <c r="AF234" i="10"/>
  <c r="AF230" i="10"/>
  <c r="AF226" i="10"/>
  <c r="AF222" i="10"/>
  <c r="AF218" i="10"/>
  <c r="AF214" i="10"/>
  <c r="AF210" i="10"/>
  <c r="AF206" i="10"/>
  <c r="AF202" i="10"/>
  <c r="AF198" i="10"/>
  <c r="AF194" i="10"/>
  <c r="AF190" i="10"/>
  <c r="AF186" i="10"/>
  <c r="AS186" i="10" s="1"/>
  <c r="AF182" i="10"/>
  <c r="AF178" i="10"/>
  <c r="AF174" i="10"/>
  <c r="AS174" i="10" s="1"/>
  <c r="AF170" i="10"/>
  <c r="AF166" i="10"/>
  <c r="AF304" i="10"/>
  <c r="AF244" i="10"/>
  <c r="AF240" i="10"/>
  <c r="AF236" i="10"/>
  <c r="AF232" i="10"/>
  <c r="AF228" i="10"/>
  <c r="AF224" i="10"/>
  <c r="AF220" i="10"/>
  <c r="AF216" i="10"/>
  <c r="AF212" i="10"/>
  <c r="AF208" i="10"/>
  <c r="AF204" i="10"/>
  <c r="AF200" i="10"/>
  <c r="AS200" i="10" s="1"/>
  <c r="AF196" i="10"/>
  <c r="AS196" i="10" s="1"/>
  <c r="AF380" i="10"/>
  <c r="AF372" i="10"/>
  <c r="AF368" i="10"/>
  <c r="AF367" i="10"/>
  <c r="AF364" i="10"/>
  <c r="AF363" i="10"/>
  <c r="AS363" i="10" s="1"/>
  <c r="AF360" i="10"/>
  <c r="AF303" i="10"/>
  <c r="AF299" i="10"/>
  <c r="AF295" i="10"/>
  <c r="AF291" i="10"/>
  <c r="AF287" i="10"/>
  <c r="AF283" i="10"/>
  <c r="AF279" i="10"/>
  <c r="AS279" i="10" s="1"/>
  <c r="AF275" i="10"/>
  <c r="AF271" i="10"/>
  <c r="AF267" i="10"/>
  <c r="AF263" i="10"/>
  <c r="AF259" i="10"/>
  <c r="AF255" i="10"/>
  <c r="AF251" i="10"/>
  <c r="AS251" i="10" s="1"/>
  <c r="AF247" i="10"/>
  <c r="AS247" i="10" s="1"/>
  <c r="AF241" i="10"/>
  <c r="AF237" i="10"/>
  <c r="AF233" i="10"/>
  <c r="AF229" i="10"/>
  <c r="AF225" i="10"/>
  <c r="AF221" i="10"/>
  <c r="AF217" i="10"/>
  <c r="AF213" i="10"/>
  <c r="AF209" i="10"/>
  <c r="AF207" i="10"/>
  <c r="AF203" i="10"/>
  <c r="AF199" i="10"/>
  <c r="AS199" i="10" s="1"/>
  <c r="AF195" i="10"/>
  <c r="AS195" i="10" s="1"/>
  <c r="AF192" i="10"/>
  <c r="AS192" i="10" s="1"/>
  <c r="AF188" i="10"/>
  <c r="AS188" i="10" s="1"/>
  <c r="AF184" i="10"/>
  <c r="AS184" i="10" s="1"/>
  <c r="AF180" i="10"/>
  <c r="AS180" i="10" s="1"/>
  <c r="AF176" i="10"/>
  <c r="AS176" i="10" s="1"/>
  <c r="AF172" i="10"/>
  <c r="AS172" i="10" s="1"/>
  <c r="AF168" i="10"/>
  <c r="AS168" i="10" s="1"/>
  <c r="AF164" i="10"/>
  <c r="AS164" i="10" s="1"/>
  <c r="AF160" i="10"/>
  <c r="AF156" i="10"/>
  <c r="AF152" i="10"/>
  <c r="AS152" i="10" s="1"/>
  <c r="AF148" i="10"/>
  <c r="AF144" i="10"/>
  <c r="AF140" i="10"/>
  <c r="AF136" i="10"/>
  <c r="AF132" i="10"/>
  <c r="AS132" i="10" s="1"/>
  <c r="AF128" i="10"/>
  <c r="AF124" i="10"/>
  <c r="AF120" i="10"/>
  <c r="AS120" i="10" s="1"/>
  <c r="AF116" i="10"/>
  <c r="AF112" i="10"/>
  <c r="AF108" i="10"/>
  <c r="AF104" i="10"/>
  <c r="AF100" i="10"/>
  <c r="AS100" i="10" s="1"/>
  <c r="AF96" i="10"/>
  <c r="AF92" i="10"/>
  <c r="AF88" i="10"/>
  <c r="AF84" i="10"/>
  <c r="AS84" i="10" s="1"/>
  <c r="AF80" i="10"/>
  <c r="AS80" i="10" s="1"/>
  <c r="AF76" i="10"/>
  <c r="AF72" i="10"/>
  <c r="AS72" i="10" s="1"/>
  <c r="AF70" i="10"/>
  <c r="AF68" i="10"/>
  <c r="AF296" i="10"/>
  <c r="AF292" i="10"/>
  <c r="AF288" i="10"/>
  <c r="AF284" i="10"/>
  <c r="AF280" i="10"/>
  <c r="AF276" i="10"/>
  <c r="AF272" i="10"/>
  <c r="AS272" i="10" s="1"/>
  <c r="AF268" i="10"/>
  <c r="AF264" i="10"/>
  <c r="AF260" i="10"/>
  <c r="AF256" i="10"/>
  <c r="AF252" i="10"/>
  <c r="AS252" i="10" s="1"/>
  <c r="AF248" i="10"/>
  <c r="AF191" i="10"/>
  <c r="AS191" i="10" s="1"/>
  <c r="AF187" i="10"/>
  <c r="AF183" i="10"/>
  <c r="AF179" i="10"/>
  <c r="AF175" i="10"/>
  <c r="AF171" i="10"/>
  <c r="AF167" i="10"/>
  <c r="AS167" i="10" s="1"/>
  <c r="AF163" i="10"/>
  <c r="AS163" i="10" s="1"/>
  <c r="AF159" i="10"/>
  <c r="AF155" i="10"/>
  <c r="AF151" i="10"/>
  <c r="AS151" i="10" s="1"/>
  <c r="AF147" i="10"/>
  <c r="AF143" i="10"/>
  <c r="AS143" i="10" s="1"/>
  <c r="AF139" i="10"/>
  <c r="AS139" i="10" s="1"/>
  <c r="AF135" i="10"/>
  <c r="AF131" i="10"/>
  <c r="AF127" i="10"/>
  <c r="AS127" i="10" s="1"/>
  <c r="AF123" i="10"/>
  <c r="AF119" i="10"/>
  <c r="AF115" i="10"/>
  <c r="AF111" i="10"/>
  <c r="AF107" i="10"/>
  <c r="AF103" i="10"/>
  <c r="AS103" i="10" s="1"/>
  <c r="AF243" i="10"/>
  <c r="AS243" i="10" s="1"/>
  <c r="AF239" i="10"/>
  <c r="AF235" i="10"/>
  <c r="AF231" i="10"/>
  <c r="AS231" i="10" s="1"/>
  <c r="AF227" i="10"/>
  <c r="AF223" i="10"/>
  <c r="AF219" i="10"/>
  <c r="AF215" i="10"/>
  <c r="AF211" i="10"/>
  <c r="AF205" i="10"/>
  <c r="AF201" i="10"/>
  <c r="AF197" i="10"/>
  <c r="AF162" i="10"/>
  <c r="AS162" i="10" s="1"/>
  <c r="AF158" i="10"/>
  <c r="AF154" i="10"/>
  <c r="AF150" i="10"/>
  <c r="AF146" i="10"/>
  <c r="AF142" i="10"/>
  <c r="AF138" i="10"/>
  <c r="AF134" i="10"/>
  <c r="AS134" i="10" s="1"/>
  <c r="AF130" i="10"/>
  <c r="AF126" i="10"/>
  <c r="AF122" i="10"/>
  <c r="AF118" i="10"/>
  <c r="AF114" i="10"/>
  <c r="AF110" i="10"/>
  <c r="AF106" i="10"/>
  <c r="AF102" i="10"/>
  <c r="AF98" i="10"/>
  <c r="AF94" i="10"/>
  <c r="AF90" i="10"/>
  <c r="AF86" i="10"/>
  <c r="AF82" i="10"/>
  <c r="AF78" i="10"/>
  <c r="AF74" i="10"/>
  <c r="AS74" i="10" s="1"/>
  <c r="AF71" i="10"/>
  <c r="AF69" i="10"/>
  <c r="AF193" i="10"/>
  <c r="AF189" i="10"/>
  <c r="AF185" i="10"/>
  <c r="AF181" i="10"/>
  <c r="AF177" i="10"/>
  <c r="AF173" i="10"/>
  <c r="AF169" i="10"/>
  <c r="AF165" i="10"/>
  <c r="AF99" i="10"/>
  <c r="AF95" i="10"/>
  <c r="AF91" i="10"/>
  <c r="AF87" i="10"/>
  <c r="AF83" i="10"/>
  <c r="AF79" i="10"/>
  <c r="AF75" i="10"/>
  <c r="AF67" i="10"/>
  <c r="AS67" i="10" s="1"/>
  <c r="AF65" i="10"/>
  <c r="AS65" i="10" s="1"/>
  <c r="AF63" i="10"/>
  <c r="AF60" i="10"/>
  <c r="AF58" i="10"/>
  <c r="AF48" i="10"/>
  <c r="AF43" i="10"/>
  <c r="AS43" i="10" s="1"/>
  <c r="AF41" i="10"/>
  <c r="AF39" i="10"/>
  <c r="AS39" i="10" s="1"/>
  <c r="AF33" i="10"/>
  <c r="AF31" i="10"/>
  <c r="AF23" i="10"/>
  <c r="AF38" i="10"/>
  <c r="AF35" i="10"/>
  <c r="AF25" i="10"/>
  <c r="AF22" i="10"/>
  <c r="AF42" i="10"/>
  <c r="AF37" i="10"/>
  <c r="AS37" i="10" s="1"/>
  <c r="AF34" i="10"/>
  <c r="AF32" i="10"/>
  <c r="AF61" i="10"/>
  <c r="AF46" i="10"/>
  <c r="AF376" i="10"/>
  <c r="AS376" i="10" s="1"/>
  <c r="AF161" i="10"/>
  <c r="AS161" i="10" s="1"/>
  <c r="AF157" i="10"/>
  <c r="AF153" i="10"/>
  <c r="AF149" i="10"/>
  <c r="AF145" i="10"/>
  <c r="AF141" i="10"/>
  <c r="AF137" i="10"/>
  <c r="AF133" i="10"/>
  <c r="AF129" i="10"/>
  <c r="AF125" i="10"/>
  <c r="AF121" i="10"/>
  <c r="AS121" i="10" s="1"/>
  <c r="AF117" i="10"/>
  <c r="AF113" i="10"/>
  <c r="AF109" i="10"/>
  <c r="AS109" i="10" s="1"/>
  <c r="AF105" i="10"/>
  <c r="AF101" i="10"/>
  <c r="AS101" i="10" s="1"/>
  <c r="AF57" i="10"/>
  <c r="AF54" i="10"/>
  <c r="AS54" i="10" s="1"/>
  <c r="AF52" i="10"/>
  <c r="AF50" i="10"/>
  <c r="AF45" i="10"/>
  <c r="AF28" i="10"/>
  <c r="AF40" i="10"/>
  <c r="AF30" i="10"/>
  <c r="AF59" i="10"/>
  <c r="AS59" i="10" s="1"/>
  <c r="AF53" i="10"/>
  <c r="AF44" i="10"/>
  <c r="AF300" i="10"/>
  <c r="AF97" i="10"/>
  <c r="AF93" i="10"/>
  <c r="AF89" i="10"/>
  <c r="AF85" i="10"/>
  <c r="AF81" i="10"/>
  <c r="AF77" i="10"/>
  <c r="AF73" i="10"/>
  <c r="AS73" i="10" s="1"/>
  <c r="AF66" i="10"/>
  <c r="AF64" i="10"/>
  <c r="AS64" i="10" s="1"/>
  <c r="AF62" i="10"/>
  <c r="AF56" i="10"/>
  <c r="AF49" i="10"/>
  <c r="AF47" i="10"/>
  <c r="AF27" i="10"/>
  <c r="AS27" i="10" s="1"/>
  <c r="AF21" i="10"/>
  <c r="AF55" i="10"/>
  <c r="AF51" i="10"/>
  <c r="AF36" i="10"/>
  <c r="AF29" i="10"/>
  <c r="AS29" i="10" s="1"/>
  <c r="AF26" i="10"/>
  <c r="AF24" i="10"/>
  <c r="AF20" i="10"/>
  <c r="B48" i="5"/>
  <c r="B49" i="5" s="1"/>
  <c r="AG8" i="5"/>
  <c r="AI8" i="5" s="1"/>
  <c r="AG7" i="5"/>
  <c r="AN7" i="5"/>
  <c r="AO7" i="5"/>
  <c r="AK7" i="5"/>
  <c r="AL7" i="5"/>
  <c r="O12" i="5"/>
  <c r="AM8" i="5"/>
  <c r="AO8" i="5" s="1"/>
  <c r="O13" i="5"/>
  <c r="AJ8" i="5"/>
  <c r="AL8" i="5" s="1"/>
  <c r="AF9" i="5"/>
  <c r="AF10" i="5"/>
  <c r="AF12" i="5"/>
  <c r="AF13" i="5"/>
  <c r="AF11" i="5"/>
  <c r="AF31" i="5"/>
  <c r="AF8" i="5"/>
  <c r="AF539" i="5"/>
  <c r="AF430" i="5"/>
  <c r="AF522" i="5"/>
  <c r="AF471" i="5"/>
  <c r="AF537" i="5"/>
  <c r="AF534" i="5"/>
  <c r="AF466" i="5"/>
  <c r="AF482" i="5"/>
  <c r="AF448" i="5"/>
  <c r="AF362" i="5"/>
  <c r="AF245" i="5"/>
  <c r="AF243" i="5"/>
  <c r="AF540" i="5"/>
  <c r="AF531" i="5"/>
  <c r="AF445" i="5"/>
  <c r="AF521" i="5"/>
  <c r="AF467" i="5"/>
  <c r="AF514" i="5"/>
  <c r="AF453" i="5"/>
  <c r="AF517" i="5"/>
  <c r="AF415" i="5"/>
  <c r="AF337" i="5"/>
  <c r="AF273" i="5"/>
  <c r="AF287" i="5"/>
  <c r="AF256" i="5"/>
  <c r="AF316" i="5"/>
  <c r="AF196" i="5"/>
  <c r="AF199" i="5"/>
  <c r="AF151" i="5"/>
  <c r="AF494" i="5"/>
  <c r="AF487" i="5"/>
  <c r="AF427" i="5"/>
  <c r="AF511" i="5"/>
  <c r="AF461" i="5"/>
  <c r="AF505" i="5"/>
  <c r="AF437" i="5"/>
  <c r="AF501" i="5"/>
  <c r="AF382" i="5"/>
  <c r="AF417" i="5"/>
  <c r="AF438" i="5"/>
  <c r="AF248" i="5"/>
  <c r="AF318" i="5"/>
  <c r="AF289" i="5"/>
  <c r="AF235" i="5"/>
  <c r="AF180" i="5"/>
  <c r="AF89" i="5"/>
  <c r="AF379" i="5"/>
  <c r="AF339" i="5"/>
  <c r="AF298" i="5"/>
  <c r="AF228" i="5"/>
  <c r="AF90" i="5"/>
  <c r="AF510" i="5"/>
  <c r="AF547" i="5"/>
  <c r="AF551" i="5"/>
  <c r="AF555" i="5"/>
  <c r="AF495" i="5"/>
  <c r="AF444" i="5"/>
  <c r="AF478" i="5"/>
  <c r="AF366" i="5"/>
  <c r="AF483" i="5"/>
  <c r="AF408" i="5"/>
  <c r="AF373" i="5"/>
  <c r="AF387" i="5"/>
  <c r="AF329" i="5"/>
  <c r="AF281" i="5"/>
  <c r="AF250" i="5"/>
  <c r="AF206" i="5"/>
  <c r="AF146" i="5"/>
  <c r="AF24" i="5"/>
  <c r="AF553" i="5"/>
  <c r="AF450" i="5"/>
  <c r="AF481" i="5"/>
  <c r="AF398" i="5"/>
  <c r="AF513" i="5"/>
  <c r="AF543" i="5"/>
  <c r="AF559" i="5"/>
  <c r="AF548" i="5"/>
  <c r="AF552" i="5"/>
  <c r="AF469" i="5"/>
  <c r="AF556" i="5"/>
  <c r="AF523" i="5"/>
  <c r="AF500" i="5"/>
  <c r="AF470" i="5"/>
  <c r="AF446" i="5"/>
  <c r="AF223" i="5"/>
  <c r="AF480" i="5"/>
  <c r="AF457" i="5"/>
  <c r="AF378" i="5"/>
  <c r="AF526" i="5"/>
  <c r="AF485" i="5"/>
  <c r="AF422" i="5"/>
  <c r="AF412" i="5"/>
  <c r="AF338" i="5"/>
  <c r="AF375" i="5"/>
  <c r="AF280" i="5"/>
  <c r="AF391" i="5"/>
  <c r="AF293" i="5"/>
  <c r="AF330" i="5"/>
  <c r="AF262" i="5"/>
  <c r="AF285" i="5"/>
  <c r="AF319" i="5"/>
  <c r="AF258" i="5"/>
  <c r="AF197" i="5"/>
  <c r="AF212" i="5"/>
  <c r="AF207" i="5"/>
  <c r="AF157" i="5"/>
  <c r="AF113" i="5"/>
  <c r="AF91" i="5"/>
  <c r="AF92" i="5"/>
  <c r="AF23" i="5"/>
  <c r="AF165" i="5"/>
  <c r="AF129" i="5"/>
  <c r="AF81" i="5"/>
  <c r="AF70" i="5"/>
  <c r="AF19" i="5"/>
  <c r="AF560" i="5"/>
  <c r="AF502" i="5"/>
  <c r="AF535" i="5"/>
  <c r="AF509" i="5"/>
  <c r="AF479" i="5"/>
  <c r="AF455" i="5"/>
  <c r="AF426" i="5"/>
  <c r="AF504" i="5"/>
  <c r="AF468" i="5"/>
  <c r="AF424" i="5"/>
  <c r="AF533" i="5"/>
  <c r="AF497" i="5"/>
  <c r="AF447" i="5"/>
  <c r="AF364" i="5"/>
  <c r="AF377" i="5"/>
  <c r="AF414" i="5"/>
  <c r="AF332" i="5"/>
  <c r="AF428" i="5"/>
  <c r="AF355" i="5"/>
  <c r="AF360" i="5"/>
  <c r="AF294" i="5"/>
  <c r="AF313" i="5"/>
  <c r="AF227" i="5"/>
  <c r="AF286" i="5"/>
  <c r="AF226" i="5"/>
  <c r="AF233" i="5"/>
  <c r="AF242" i="5"/>
  <c r="AF176" i="5"/>
  <c r="AF161" i="5"/>
  <c r="AF128" i="5"/>
  <c r="AF54" i="5"/>
  <c r="AF68" i="5"/>
  <c r="AF55" i="5"/>
  <c r="AF67" i="5"/>
  <c r="AF20" i="5"/>
  <c r="AF524" i="5"/>
  <c r="AF489" i="5"/>
  <c r="AF544" i="5"/>
  <c r="AF518" i="5"/>
  <c r="AF401" i="5"/>
  <c r="AF541" i="5"/>
  <c r="AF557" i="5"/>
  <c r="AF508" i="5"/>
  <c r="AF356" i="5"/>
  <c r="AF530" i="5"/>
  <c r="AF488" i="5"/>
  <c r="AF429" i="5"/>
  <c r="AF322" i="5"/>
  <c r="AF545" i="5"/>
  <c r="AF528" i="5"/>
  <c r="AF519" i="5"/>
  <c r="AF503" i="5"/>
  <c r="AF484" i="5"/>
  <c r="AF473" i="5"/>
  <c r="AF463" i="5"/>
  <c r="AF449" i="5"/>
  <c r="AF432" i="5"/>
  <c r="AF345" i="5"/>
  <c r="AF507" i="5"/>
  <c r="AF486" i="5"/>
  <c r="AF474" i="5"/>
  <c r="AF459" i="5"/>
  <c r="AF439" i="5"/>
  <c r="AF421" i="5"/>
  <c r="AF536" i="5"/>
  <c r="AF527" i="5"/>
  <c r="AF515" i="5"/>
  <c r="AF491" i="5"/>
  <c r="AF460" i="5"/>
  <c r="AF434" i="5"/>
  <c r="AF397" i="5"/>
  <c r="AF419" i="5"/>
  <c r="AF389" i="5"/>
  <c r="AF363" i="5"/>
  <c r="AF314" i="5"/>
  <c r="AF390" i="5"/>
  <c r="AF351" i="5"/>
  <c r="AF306" i="5"/>
  <c r="AF208" i="5"/>
  <c r="AF405" i="5"/>
  <c r="AF372" i="5"/>
  <c r="AF340" i="5"/>
  <c r="AF260" i="5"/>
  <c r="AF344" i="5"/>
  <c r="AF310" i="5"/>
  <c r="AF272" i="5"/>
  <c r="AF215" i="5"/>
  <c r="AF296" i="5"/>
  <c r="AF261" i="5"/>
  <c r="AF328" i="5"/>
  <c r="AF299" i="5"/>
  <c r="AF276" i="5"/>
  <c r="AF241" i="5"/>
  <c r="AF205" i="5"/>
  <c r="AF240" i="5"/>
  <c r="AF221" i="5"/>
  <c r="AF187" i="5"/>
  <c r="AF220" i="5"/>
  <c r="AF82" i="5"/>
  <c r="AF185" i="5"/>
  <c r="AF188" i="5"/>
  <c r="AF132" i="5"/>
  <c r="AF144" i="5"/>
  <c r="AF110" i="5"/>
  <c r="AF109" i="5"/>
  <c r="AF98" i="5"/>
  <c r="AF29" i="5"/>
  <c r="AF59" i="5"/>
  <c r="AF50" i="5"/>
  <c r="AF27" i="5"/>
  <c r="AF550" i="5"/>
  <c r="AF493" i="5"/>
  <c r="AF549" i="5"/>
  <c r="AF538" i="5"/>
  <c r="AF443" i="5"/>
  <c r="AF542" i="5"/>
  <c r="AF558" i="5"/>
  <c r="AF525" i="5"/>
  <c r="AF451" i="5"/>
  <c r="AF546" i="5"/>
  <c r="AF499" i="5"/>
  <c r="AF431" i="5"/>
  <c r="AF374" i="5"/>
  <c r="AF554" i="5"/>
  <c r="AF529" i="5"/>
  <c r="AF520" i="5"/>
  <c r="AF506" i="5"/>
  <c r="AF492" i="5"/>
  <c r="AF476" i="5"/>
  <c r="AF465" i="5"/>
  <c r="AF454" i="5"/>
  <c r="AF440" i="5"/>
  <c r="AF420" i="5"/>
  <c r="AF512" i="5"/>
  <c r="AF498" i="5"/>
  <c r="AF477" i="5"/>
  <c r="AF462" i="5"/>
  <c r="AF452" i="5"/>
  <c r="AF423" i="5"/>
  <c r="AF359" i="5"/>
  <c r="AF532" i="5"/>
  <c r="AF516" i="5"/>
  <c r="AF496" i="5"/>
  <c r="AF464" i="5"/>
  <c r="AF435" i="5"/>
  <c r="AF400" i="5"/>
  <c r="AF263" i="5"/>
  <c r="AF392" i="5"/>
  <c r="AF365" i="5"/>
  <c r="AF320" i="5"/>
  <c r="AF402" i="5"/>
  <c r="AF353" i="5"/>
  <c r="AF309" i="5"/>
  <c r="AF239" i="5"/>
  <c r="AF407" i="5"/>
  <c r="AF376" i="5"/>
  <c r="AF342" i="5"/>
  <c r="AF265" i="5"/>
  <c r="AF350" i="5"/>
  <c r="AF317" i="5"/>
  <c r="AF275" i="5"/>
  <c r="AF218" i="5"/>
  <c r="AF300" i="5"/>
  <c r="AF264" i="5"/>
  <c r="AF333" i="5"/>
  <c r="AF304" i="5"/>
  <c r="AF278" i="5"/>
  <c r="AF244" i="5"/>
  <c r="AF210" i="5"/>
  <c r="AF139" i="5"/>
  <c r="AF222" i="5"/>
  <c r="AF190" i="5"/>
  <c r="AF224" i="5"/>
  <c r="AF173" i="5"/>
  <c r="AF159" i="5"/>
  <c r="AF108" i="5"/>
  <c r="AF136" i="5"/>
  <c r="AF150" i="5"/>
  <c r="AF111" i="5"/>
  <c r="AF101" i="5"/>
  <c r="AF80" i="5"/>
  <c r="AF64" i="5"/>
  <c r="AF63" i="5"/>
  <c r="AF51" i="5"/>
  <c r="AF28" i="5"/>
  <c r="AF32" i="5"/>
  <c r="AF34" i="5"/>
  <c r="AF26" i="5"/>
  <c r="AF56" i="5"/>
  <c r="AF46" i="5"/>
  <c r="AF33" i="5"/>
  <c r="AF73" i="5"/>
  <c r="AF71" i="5"/>
  <c r="AF87" i="5"/>
  <c r="AF84" i="5"/>
  <c r="AF94" i="5"/>
  <c r="AF126" i="5"/>
  <c r="AF93" i="5"/>
  <c r="AF116" i="5"/>
  <c r="AF135" i="5"/>
  <c r="AF153" i="5"/>
  <c r="AF114" i="5"/>
  <c r="AF145" i="5"/>
  <c r="AF170" i="5"/>
  <c r="AF119" i="5"/>
  <c r="AF167" i="5"/>
  <c r="AF164" i="5"/>
  <c r="AF200" i="5"/>
  <c r="AF179" i="5"/>
  <c r="AF209" i="5"/>
  <c r="AF229" i="5"/>
  <c r="AF251" i="5"/>
  <c r="AF191" i="5"/>
  <c r="AF213" i="5"/>
  <c r="AF225" i="5"/>
  <c r="AF236" i="5"/>
  <c r="AF177" i="5"/>
  <c r="AF202" i="5"/>
  <c r="AF214" i="5"/>
  <c r="AF231" i="5"/>
  <c r="AF201" i="5"/>
  <c r="AF266" i="5"/>
  <c r="AF279" i="5"/>
  <c r="AF292" i="5"/>
  <c r="AF308" i="5"/>
  <c r="AF325" i="5"/>
  <c r="AF171" i="5"/>
  <c r="AF253" i="5"/>
  <c r="AF269" i="5"/>
  <c r="AF288" i="5"/>
  <c r="AF303" i="5"/>
  <c r="AF323" i="5"/>
  <c r="AF234" i="5"/>
  <c r="AF267" i="5"/>
  <c r="AF284" i="5"/>
  <c r="AF302" i="5"/>
  <c r="AF321" i="5"/>
  <c r="AF331" i="5"/>
  <c r="AF352" i="5"/>
  <c r="AF252" i="5"/>
  <c r="AF274" i="5"/>
  <c r="AF301" i="5"/>
  <c r="AF349" i="5"/>
  <c r="AF367" i="5"/>
  <c r="AF381" i="5"/>
  <c r="AF393" i="5"/>
  <c r="AF409" i="5"/>
  <c r="AF441" i="5"/>
  <c r="AF254" i="5"/>
  <c r="AF283" i="5"/>
  <c r="AF312" i="5"/>
  <c r="AF343" i="5"/>
  <c r="AF361" i="5"/>
  <c r="AF383" i="5"/>
  <c r="AF404" i="5"/>
  <c r="AF418" i="5"/>
  <c r="AF334" i="5"/>
  <c r="AF346" i="5"/>
  <c r="AF370" i="5"/>
  <c r="AF380" i="5"/>
  <c r="AF395" i="5"/>
  <c r="AF413" i="5"/>
  <c r="AF336" i="5"/>
  <c r="AF388" i="5"/>
  <c r="AF403" i="5"/>
  <c r="AF425" i="5"/>
  <c r="AF436" i="5"/>
  <c r="AF456" i="5"/>
  <c r="AF472" i="5"/>
  <c r="AF490" i="5"/>
  <c r="AF39" i="5"/>
  <c r="AF43" i="5"/>
  <c r="AF41" i="5"/>
  <c r="AF60" i="5"/>
  <c r="AF49" i="5"/>
  <c r="AF38" i="5"/>
  <c r="AF77" i="5"/>
  <c r="AF79" i="5"/>
  <c r="AF96" i="5"/>
  <c r="AF86" i="5"/>
  <c r="AF106" i="5"/>
  <c r="AF148" i="5"/>
  <c r="AF102" i="5"/>
  <c r="AF123" i="5"/>
  <c r="AF140" i="5"/>
  <c r="AF155" i="5"/>
  <c r="AF127" i="5"/>
  <c r="AF120" i="5"/>
  <c r="AF181" i="5"/>
  <c r="AF137" i="5"/>
  <c r="AF175" i="5"/>
  <c r="AF166" i="5"/>
  <c r="AF204" i="5"/>
  <c r="AF186" i="5"/>
  <c r="AF216" i="5"/>
  <c r="AF232" i="5"/>
  <c r="AF178" i="5"/>
  <c r="AF195" i="5"/>
  <c r="AF217" i="5"/>
  <c r="AF230" i="5"/>
  <c r="AF238" i="5"/>
  <c r="AF194" i="5"/>
  <c r="AF203" i="5"/>
  <c r="AF219" i="5"/>
  <c r="AF237" i="5"/>
  <c r="AF246" i="5"/>
  <c r="AF270" i="5"/>
  <c r="AF282" i="5"/>
  <c r="AF297" i="5"/>
  <c r="AF311" i="5"/>
  <c r="AF327" i="5"/>
  <c r="AF183" i="5"/>
  <c r="AF259" i="5"/>
  <c r="AF271" i="5"/>
  <c r="AF291" i="5"/>
  <c r="AF307" i="5"/>
  <c r="AF198" i="5"/>
  <c r="AF247" i="5"/>
  <c r="AF268" i="5"/>
  <c r="AF290" i="5"/>
  <c r="AF305" i="5"/>
  <c r="AF326" i="5"/>
  <c r="AF341" i="5"/>
  <c r="AF358" i="5"/>
  <c r="AF255" i="5"/>
  <c r="AF277" i="5"/>
  <c r="AF324" i="5"/>
  <c r="AF354" i="5"/>
  <c r="AF368" i="5"/>
  <c r="AF386" i="5"/>
  <c r="AF396" i="5"/>
  <c r="AF410" i="5"/>
  <c r="AF193" i="5"/>
  <c r="AF257" i="5"/>
  <c r="AF295" i="5"/>
  <c r="AF315" i="5"/>
  <c r="AF347" i="5"/>
  <c r="AF369" i="5"/>
  <c r="AF385" i="5"/>
  <c r="AF411" i="5"/>
  <c r="AF249" i="5"/>
  <c r="AF335" i="5"/>
  <c r="AF357" i="5"/>
  <c r="AF371" i="5"/>
  <c r="AF384" i="5"/>
  <c r="AF399" i="5"/>
  <c r="AF416" i="5"/>
  <c r="AF348" i="5"/>
  <c r="AF394" i="5"/>
  <c r="AF406" i="5"/>
  <c r="AF433" i="5"/>
  <c r="AF442" i="5"/>
  <c r="AF458" i="5"/>
  <c r="AF475" i="5"/>
  <c r="AF174" i="5"/>
  <c r="AF118" i="5"/>
  <c r="AF162" i="5"/>
  <c r="AF134" i="5"/>
  <c r="AF182" i="5"/>
  <c r="AF163" i="5"/>
  <c r="AF143" i="5"/>
  <c r="AF115" i="5"/>
  <c r="AF88" i="5"/>
  <c r="AF149" i="5"/>
  <c r="AF131" i="5"/>
  <c r="AF117" i="5"/>
  <c r="AF107" i="5"/>
  <c r="AF156" i="5"/>
  <c r="AF124" i="5"/>
  <c r="AF104" i="5"/>
  <c r="AF95" i="5"/>
  <c r="AF57" i="5"/>
  <c r="AF61" i="5"/>
  <c r="AF74" i="5"/>
  <c r="AF78" i="5"/>
  <c r="AF69" i="5"/>
  <c r="AF66" i="5"/>
  <c r="AF47" i="5"/>
  <c r="AF65" i="5"/>
  <c r="AF52" i="5"/>
  <c r="AF25" i="5"/>
  <c r="AF40" i="5"/>
  <c r="AF42" i="5"/>
  <c r="AF21" i="5"/>
  <c r="AF211" i="5"/>
  <c r="AF189" i="5"/>
  <c r="AF158" i="5"/>
  <c r="AF192" i="5"/>
  <c r="AF168" i="5"/>
  <c r="AF130" i="5"/>
  <c r="AF172" i="5"/>
  <c r="AF152" i="5"/>
  <c r="AF122" i="5"/>
  <c r="AF184" i="5"/>
  <c r="AF169" i="5"/>
  <c r="AF138" i="5"/>
  <c r="AF141" i="5"/>
  <c r="AF121" i="5"/>
  <c r="AF103" i="5"/>
  <c r="AF154" i="5"/>
  <c r="AF147" i="5"/>
  <c r="AF133" i="5"/>
  <c r="AF125" i="5"/>
  <c r="AF112" i="5"/>
  <c r="AF105" i="5"/>
  <c r="AF160" i="5"/>
  <c r="AF142" i="5"/>
  <c r="AF85" i="5"/>
  <c r="AF99" i="5"/>
  <c r="AF100" i="5"/>
  <c r="AF83" i="5"/>
  <c r="AF97" i="5"/>
  <c r="AF48" i="5"/>
  <c r="AF75" i="5"/>
  <c r="AF35" i="5"/>
  <c r="AF76" i="5"/>
  <c r="AF53" i="5"/>
  <c r="AF30" i="5"/>
  <c r="AF58" i="5"/>
  <c r="AF72" i="5"/>
  <c r="AF62" i="5"/>
  <c r="AF44" i="5"/>
  <c r="AF37" i="5"/>
  <c r="AF22" i="5"/>
  <c r="AF36" i="5"/>
  <c r="AF45" i="5"/>
  <c r="AM29" i="5"/>
  <c r="AM34" i="5"/>
  <c r="AM36" i="5"/>
  <c r="AM40" i="5"/>
  <c r="AM45" i="5"/>
  <c r="AM22" i="5"/>
  <c r="AM25" i="5"/>
  <c r="AM26" i="5"/>
  <c r="AM27" i="5"/>
  <c r="AM31" i="5"/>
  <c r="AM37" i="5"/>
  <c r="AM43" i="5"/>
  <c r="AM20" i="5"/>
  <c r="AM30" i="5"/>
  <c r="AM33" i="5"/>
  <c r="AM38" i="5"/>
  <c r="AM41" i="5"/>
  <c r="AM44" i="5"/>
  <c r="AM46" i="5"/>
  <c r="AM50" i="5"/>
  <c r="AM32" i="5"/>
  <c r="AM35" i="5"/>
  <c r="AM42" i="5"/>
  <c r="AM56" i="5"/>
  <c r="AM60" i="5"/>
  <c r="AM64" i="5"/>
  <c r="AM67" i="5"/>
  <c r="AM68" i="5"/>
  <c r="AM73" i="5"/>
  <c r="AM21" i="5"/>
  <c r="AM28" i="5"/>
  <c r="AM39" i="5"/>
  <c r="AM48" i="5"/>
  <c r="AM52" i="5"/>
  <c r="AM63" i="5"/>
  <c r="AM24" i="5"/>
  <c r="AM51" i="5"/>
  <c r="AM55" i="5"/>
  <c r="AM58" i="5"/>
  <c r="AM61" i="5"/>
  <c r="AM66" i="5"/>
  <c r="AM54" i="5"/>
  <c r="AM57" i="5"/>
  <c r="AM70" i="5"/>
  <c r="AM72" i="5"/>
  <c r="AM78" i="5"/>
  <c r="AM49" i="5"/>
  <c r="AM53" i="5"/>
  <c r="AM71" i="5"/>
  <c r="AM75" i="5"/>
  <c r="AM79" i="5"/>
  <c r="AM23" i="5"/>
  <c r="AM47" i="5"/>
  <c r="AM59" i="5"/>
  <c r="AM62" i="5"/>
  <c r="AM65" i="5"/>
  <c r="AM69" i="5"/>
  <c r="AM76" i="5"/>
  <c r="AM77" i="5"/>
  <c r="AM80" i="5"/>
  <c r="AM82" i="5"/>
  <c r="AM84" i="5"/>
  <c r="AM93" i="5"/>
  <c r="AM83" i="5"/>
  <c r="AM88" i="5"/>
  <c r="AM89" i="5"/>
  <c r="AM90" i="5"/>
  <c r="AM91" i="5"/>
  <c r="AM92" i="5"/>
  <c r="AM95" i="5"/>
  <c r="AM96" i="5"/>
  <c r="AM97" i="5"/>
  <c r="AM98" i="5"/>
  <c r="AM74" i="5"/>
  <c r="AM102" i="5"/>
  <c r="AM105" i="5"/>
  <c r="AM108" i="5"/>
  <c r="AM86" i="5"/>
  <c r="AM87" i="5"/>
  <c r="AM103" i="5"/>
  <c r="AM109" i="5"/>
  <c r="AM94" i="5"/>
  <c r="AM99" i="5"/>
  <c r="AM110" i="5"/>
  <c r="AM114" i="5"/>
  <c r="AM121" i="5"/>
  <c r="AM129" i="5"/>
  <c r="AM131" i="5"/>
  <c r="AM140" i="5"/>
  <c r="AM144" i="5"/>
  <c r="AM151" i="5"/>
  <c r="AM81" i="5"/>
  <c r="AM85" i="5"/>
  <c r="AM100" i="5"/>
  <c r="AM106" i="5"/>
  <c r="AM111" i="5"/>
  <c r="AM112" i="5"/>
  <c r="AM117" i="5"/>
  <c r="AM120" i="5"/>
  <c r="AM123" i="5"/>
  <c r="AM125" i="5"/>
  <c r="AM126" i="5"/>
  <c r="AM128" i="5"/>
  <c r="AM133" i="5"/>
  <c r="AM135" i="5"/>
  <c r="AM138" i="5"/>
  <c r="AM146" i="5"/>
  <c r="AM147" i="5"/>
  <c r="AM149" i="5"/>
  <c r="AM154" i="5"/>
  <c r="AM155" i="5"/>
  <c r="AM107" i="5"/>
  <c r="AM113" i="5"/>
  <c r="AM119" i="5"/>
  <c r="AM124" i="5"/>
  <c r="AM127" i="5"/>
  <c r="AM137" i="5"/>
  <c r="AM139" i="5"/>
  <c r="AM142" i="5"/>
  <c r="AM145" i="5"/>
  <c r="AM148" i="5"/>
  <c r="AM101" i="5"/>
  <c r="AM104" i="5"/>
  <c r="AM132" i="5"/>
  <c r="AM160" i="5"/>
  <c r="AM163" i="5"/>
  <c r="AM167" i="5"/>
  <c r="AM169" i="5"/>
  <c r="AM175" i="5"/>
  <c r="AM177" i="5"/>
  <c r="AM181" i="5"/>
  <c r="AM116" i="5"/>
  <c r="AM141" i="5"/>
  <c r="AM150" i="5"/>
  <c r="AM153" i="5"/>
  <c r="AM159" i="5"/>
  <c r="AM164" i="5"/>
  <c r="AM166" i="5"/>
  <c r="AM170" i="5"/>
  <c r="AM172" i="5"/>
  <c r="AM176" i="5"/>
  <c r="AM180" i="5"/>
  <c r="AM185" i="5"/>
  <c r="AM115" i="5"/>
  <c r="AM122" i="5"/>
  <c r="AM134" i="5"/>
  <c r="AM143" i="5"/>
  <c r="AM152" i="5"/>
  <c r="AM156" i="5"/>
  <c r="AM158" i="5"/>
  <c r="AM162" i="5"/>
  <c r="AM168" i="5"/>
  <c r="AM173" i="5"/>
  <c r="AM183" i="5"/>
  <c r="AM187" i="5"/>
  <c r="AM197" i="5"/>
  <c r="AM198" i="5"/>
  <c r="AM201" i="5"/>
  <c r="AM203" i="5"/>
  <c r="AM118" i="5"/>
  <c r="AM130" i="5"/>
  <c r="AM136" i="5"/>
  <c r="AM165" i="5"/>
  <c r="AM171" i="5"/>
  <c r="AM174" i="5"/>
  <c r="AM190" i="5"/>
  <c r="AM205" i="5"/>
  <c r="AM208" i="5"/>
  <c r="AM211" i="5"/>
  <c r="AM213" i="5"/>
  <c r="AM216" i="5"/>
  <c r="AM221" i="5"/>
  <c r="AM225" i="5"/>
  <c r="AM230" i="5"/>
  <c r="AM233" i="5"/>
  <c r="AM236" i="5"/>
  <c r="AM243" i="5"/>
  <c r="AM179" i="5"/>
  <c r="AM182" i="5"/>
  <c r="AM194" i="5"/>
  <c r="AM195" i="5"/>
  <c r="AM196" i="5"/>
  <c r="AM204" i="5"/>
  <c r="AM210" i="5"/>
  <c r="AM212" i="5"/>
  <c r="AM214" i="5"/>
  <c r="AM217" i="5"/>
  <c r="AM219" i="5"/>
  <c r="AM222" i="5"/>
  <c r="AM226" i="5"/>
  <c r="AM228" i="5"/>
  <c r="AM235" i="5"/>
  <c r="AM238" i="5"/>
  <c r="AM242" i="5"/>
  <c r="AM244" i="5"/>
  <c r="AM161" i="5"/>
  <c r="AM178" i="5"/>
  <c r="AM184" i="5"/>
  <c r="AM186" i="5"/>
  <c r="AM199" i="5"/>
  <c r="AM200" i="5"/>
  <c r="AM202" i="5"/>
  <c r="AM215" i="5"/>
  <c r="AM231" i="5"/>
  <c r="AM234" i="5"/>
  <c r="AM237" i="5"/>
  <c r="AM239" i="5"/>
  <c r="AM240" i="5"/>
  <c r="AM189" i="5"/>
  <c r="AM191" i="5"/>
  <c r="AM193" i="5"/>
  <c r="AM220" i="5"/>
  <c r="AM223" i="5"/>
  <c r="AM246" i="5"/>
  <c r="AM259" i="5"/>
  <c r="AM261" i="5"/>
  <c r="AM264" i="5"/>
  <c r="AM266" i="5"/>
  <c r="AM271" i="5"/>
  <c r="AM274" i="5"/>
  <c r="AM276" i="5"/>
  <c r="AM279" i="5"/>
  <c r="AM281" i="5"/>
  <c r="AM282" i="5"/>
  <c r="AM285" i="5"/>
  <c r="AM288" i="5"/>
  <c r="AM291" i="5"/>
  <c r="AM296" i="5"/>
  <c r="AM300" i="5"/>
  <c r="AM303" i="5"/>
  <c r="AM307" i="5"/>
  <c r="AM313" i="5"/>
  <c r="AM318" i="5"/>
  <c r="AM323" i="5"/>
  <c r="AM327" i="5"/>
  <c r="AM157" i="5"/>
  <c r="AM207" i="5"/>
  <c r="AM247" i="5"/>
  <c r="AM253" i="5"/>
  <c r="AM256" i="5"/>
  <c r="AM262" i="5"/>
  <c r="AM269" i="5"/>
  <c r="AM272" i="5"/>
  <c r="AM278" i="5"/>
  <c r="AM284" i="5"/>
  <c r="AM290" i="5"/>
  <c r="AM294" i="5"/>
  <c r="AM298" i="5"/>
  <c r="AM305" i="5"/>
  <c r="AM317" i="5"/>
  <c r="AM321" i="5"/>
  <c r="AM326" i="5"/>
  <c r="AM331" i="5"/>
  <c r="AM188" i="5"/>
  <c r="AM192" i="5"/>
  <c r="AM227" i="5"/>
  <c r="AM232" i="5"/>
  <c r="AM241" i="5"/>
  <c r="AM248" i="5"/>
  <c r="AM249" i="5"/>
  <c r="AM251" i="5"/>
  <c r="AM255" i="5"/>
  <c r="AM257" i="5"/>
  <c r="AM263" i="5"/>
  <c r="AM265" i="5"/>
  <c r="AM268" i="5"/>
  <c r="AM275" i="5"/>
  <c r="AM283" i="5"/>
  <c r="AM287" i="5"/>
  <c r="AM295" i="5"/>
  <c r="AM301" i="5"/>
  <c r="AM302" i="5"/>
  <c r="AM306" i="5"/>
  <c r="AM309" i="5"/>
  <c r="AM310" i="5"/>
  <c r="AM312" i="5"/>
  <c r="AM314" i="5"/>
  <c r="AM315" i="5"/>
  <c r="AM320" i="5"/>
  <c r="AM322" i="5"/>
  <c r="AM324" i="5"/>
  <c r="AM329" i="5"/>
  <c r="AM330" i="5"/>
  <c r="AM332" i="5"/>
  <c r="AM337" i="5"/>
  <c r="AM339" i="5"/>
  <c r="AM343" i="5"/>
  <c r="AM344" i="5"/>
  <c r="AM346" i="5"/>
  <c r="AM351" i="5"/>
  <c r="AM357" i="5"/>
  <c r="AM358" i="5"/>
  <c r="AM206" i="5"/>
  <c r="AM218" i="5"/>
  <c r="AM224" i="5"/>
  <c r="AM258" i="5"/>
  <c r="AM299" i="5"/>
  <c r="AM316" i="5"/>
  <c r="AM319" i="5"/>
  <c r="AM335" i="5"/>
  <c r="AM338" i="5"/>
  <c r="AM352" i="5"/>
  <c r="AM360" i="5"/>
  <c r="AM367" i="5"/>
  <c r="AM369" i="5"/>
  <c r="AM373" i="5"/>
  <c r="AM376" i="5"/>
  <c r="AM383" i="5"/>
  <c r="AM385" i="5"/>
  <c r="AM393" i="5"/>
  <c r="AM404" i="5"/>
  <c r="AM409" i="5"/>
  <c r="AM410" i="5"/>
  <c r="AM411" i="5"/>
  <c r="AM414" i="5"/>
  <c r="AM420" i="5"/>
  <c r="AM423" i="5"/>
  <c r="AM428" i="5"/>
  <c r="AM431" i="5"/>
  <c r="AM435" i="5"/>
  <c r="AM436" i="5"/>
  <c r="AM440" i="5"/>
  <c r="AM250" i="5"/>
  <c r="AM252" i="5"/>
  <c r="AM260" i="5"/>
  <c r="AM277" i="5"/>
  <c r="AM293" i="5"/>
  <c r="AM304" i="5"/>
  <c r="AM334" i="5"/>
  <c r="AM345" i="5"/>
  <c r="AM350" i="5"/>
  <c r="AM356" i="5"/>
  <c r="AM359" i="5"/>
  <c r="AM361" i="5"/>
  <c r="AM363" i="5"/>
  <c r="AM365" i="5"/>
  <c r="AM370" i="5"/>
  <c r="AM375" i="5"/>
  <c r="AM377" i="5"/>
  <c r="AM380" i="5"/>
  <c r="AM384" i="5"/>
  <c r="AM386" i="5"/>
  <c r="AM389" i="5"/>
  <c r="AM390" i="5"/>
  <c r="AM392" i="5"/>
  <c r="AM399" i="5"/>
  <c r="AM402" i="5"/>
  <c r="AM408" i="5"/>
  <c r="AM413" i="5"/>
  <c r="AM417" i="5"/>
  <c r="AM418" i="5"/>
  <c r="AM419" i="5"/>
  <c r="AM209" i="5"/>
  <c r="AM245" i="5"/>
  <c r="AM254" i="5"/>
  <c r="AM267" i="5"/>
  <c r="AM273" i="5"/>
  <c r="AM280" i="5"/>
  <c r="AM286" i="5"/>
  <c r="AM289" i="5"/>
  <c r="AM292" i="5"/>
  <c r="AM333" i="5"/>
  <c r="AM336" i="5"/>
  <c r="AM340" i="5"/>
  <c r="AM341" i="5"/>
  <c r="AM342" i="5"/>
  <c r="AM348" i="5"/>
  <c r="AM349" i="5"/>
  <c r="AM355" i="5"/>
  <c r="AM364" i="5"/>
  <c r="AM366" i="5"/>
  <c r="AM371" i="5"/>
  <c r="AM374" i="5"/>
  <c r="AM378" i="5"/>
  <c r="AM379" i="5"/>
  <c r="AM388" i="5"/>
  <c r="AM395" i="5"/>
  <c r="AM398" i="5"/>
  <c r="AM400" i="5"/>
  <c r="AM406" i="5"/>
  <c r="AM415" i="5"/>
  <c r="AM416" i="5"/>
  <c r="AM311" i="5"/>
  <c r="AM354" i="5"/>
  <c r="AM362" i="5"/>
  <c r="AM368" i="5"/>
  <c r="AM401" i="5"/>
  <c r="AM422" i="5"/>
  <c r="AM442" i="5"/>
  <c r="AM452" i="5"/>
  <c r="AM457" i="5"/>
  <c r="AM458" i="5"/>
  <c r="AM459" i="5"/>
  <c r="AM460" i="5"/>
  <c r="AM471" i="5"/>
  <c r="AM472" i="5"/>
  <c r="AM475" i="5"/>
  <c r="AM478" i="5"/>
  <c r="AM490" i="5"/>
  <c r="AM496" i="5"/>
  <c r="AM497" i="5"/>
  <c r="AM504" i="5"/>
  <c r="AM515" i="5"/>
  <c r="AM525" i="5"/>
  <c r="AM526" i="5"/>
  <c r="AM531" i="5"/>
  <c r="AM532" i="5"/>
  <c r="AM270" i="5"/>
  <c r="AM325" i="5"/>
  <c r="AM382" i="5"/>
  <c r="AM391" i="5"/>
  <c r="AM394" i="5"/>
  <c r="AM397" i="5"/>
  <c r="AM403" i="5"/>
  <c r="AM412" i="5"/>
  <c r="AM426" i="5"/>
  <c r="AM427" i="5"/>
  <c r="AM429" i="5"/>
  <c r="AM439" i="5"/>
  <c r="AM446" i="5"/>
  <c r="AM447" i="5"/>
  <c r="AM461" i="5"/>
  <c r="AM462" i="5"/>
  <c r="AM465" i="5"/>
  <c r="AM467" i="5"/>
  <c r="AM468" i="5"/>
  <c r="AM470" i="5"/>
  <c r="AM474" i="5"/>
  <c r="AM477" i="5"/>
  <c r="AM480" i="5"/>
  <c r="AM484" i="5"/>
  <c r="AM498" i="5"/>
  <c r="AM506" i="5"/>
  <c r="AM507" i="5"/>
  <c r="AM511" i="5"/>
  <c r="AM512" i="5"/>
  <c r="AM514" i="5"/>
  <c r="AM516" i="5"/>
  <c r="AM519" i="5"/>
  <c r="AM308" i="5"/>
  <c r="AM347" i="5"/>
  <c r="AM353" i="5"/>
  <c r="AM381" i="5"/>
  <c r="AM387" i="5"/>
  <c r="AM396" i="5"/>
  <c r="AM405" i="5"/>
  <c r="AM430" i="5"/>
  <c r="AM432" i="5"/>
  <c r="AM434" i="5"/>
  <c r="AM441" i="5"/>
  <c r="AM443" i="5"/>
  <c r="AM444" i="5"/>
  <c r="AM451" i="5"/>
  <c r="AM453" i="5"/>
  <c r="AM454" i="5"/>
  <c r="AM455" i="5"/>
  <c r="AM463" i="5"/>
  <c r="AM466" i="5"/>
  <c r="AM469" i="5"/>
  <c r="AM473" i="5"/>
  <c r="AM476" i="5"/>
  <c r="AM479" i="5"/>
  <c r="AM482" i="5"/>
  <c r="AM486" i="5"/>
  <c r="AM487" i="5"/>
  <c r="AM488" i="5"/>
  <c r="AM489" i="5"/>
  <c r="AM492" i="5"/>
  <c r="AM493" i="5"/>
  <c r="AM494" i="5"/>
  <c r="AM495" i="5"/>
  <c r="AM499" i="5"/>
  <c r="AM500" i="5"/>
  <c r="AM502" i="5"/>
  <c r="AM503" i="5"/>
  <c r="AM505" i="5"/>
  <c r="AM508" i="5"/>
  <c r="AM509" i="5"/>
  <c r="AM510" i="5"/>
  <c r="AM518" i="5"/>
  <c r="AM520" i="5"/>
  <c r="AM522" i="5"/>
  <c r="AM523" i="5"/>
  <c r="AM530" i="5"/>
  <c r="AM539" i="5"/>
  <c r="AM545" i="5"/>
  <c r="AM554" i="5"/>
  <c r="AM555" i="5"/>
  <c r="AM556" i="5"/>
  <c r="AM229" i="5"/>
  <c r="AM297" i="5"/>
  <c r="AM328" i="5"/>
  <c r="AM421" i="5"/>
  <c r="AM425" i="5"/>
  <c r="AM449" i="5"/>
  <c r="AM456" i="5"/>
  <c r="AM485" i="5"/>
  <c r="AM513" i="5"/>
  <c r="AM517" i="5"/>
  <c r="AM521" i="5"/>
  <c r="AM527" i="5"/>
  <c r="AM529" i="5"/>
  <c r="AM534" i="5"/>
  <c r="AM536" i="5"/>
  <c r="AM540" i="5"/>
  <c r="AM548" i="5"/>
  <c r="AM553" i="5"/>
  <c r="AM557" i="5"/>
  <c r="AM560" i="5"/>
  <c r="AM558" i="5"/>
  <c r="AM433" i="5"/>
  <c r="AM437" i="5"/>
  <c r="AM445" i="5"/>
  <c r="AM448" i="5"/>
  <c r="AM524" i="5"/>
  <c r="AM538" i="5"/>
  <c r="AM543" i="5"/>
  <c r="AM544" i="5"/>
  <c r="AM549" i="5"/>
  <c r="AM550" i="5"/>
  <c r="AM551" i="5"/>
  <c r="AM407" i="5"/>
  <c r="AM424" i="5"/>
  <c r="AM481" i="5"/>
  <c r="AM491" i="5"/>
  <c r="AM501" i="5"/>
  <c r="AM528" i="5"/>
  <c r="AM533" i="5"/>
  <c r="AM535" i="5"/>
  <c r="AM541" i="5"/>
  <c r="AM542" i="5"/>
  <c r="AM547" i="5"/>
  <c r="AM552" i="5"/>
  <c r="AM559" i="5"/>
  <c r="AM372" i="5"/>
  <c r="AM438" i="5"/>
  <c r="AM450" i="5"/>
  <c r="AM464" i="5"/>
  <c r="AM483" i="5"/>
  <c r="AM537" i="5"/>
  <c r="AM546" i="5"/>
  <c r="AM19" i="5"/>
  <c r="B32" i="5"/>
  <c r="AG29" i="5"/>
  <c r="AG30" i="5"/>
  <c r="AG33" i="5"/>
  <c r="AG35" i="5"/>
  <c r="AG38" i="5"/>
  <c r="AG44" i="5"/>
  <c r="AG46" i="5"/>
  <c r="AG21" i="5"/>
  <c r="AG24" i="5"/>
  <c r="AG28" i="5"/>
  <c r="AG32" i="5"/>
  <c r="AG39" i="5"/>
  <c r="AG42" i="5"/>
  <c r="AG45" i="5"/>
  <c r="AG27" i="5"/>
  <c r="AG31" i="5"/>
  <c r="AG34" i="5"/>
  <c r="AG36" i="5"/>
  <c r="AG40" i="5"/>
  <c r="AG43" i="5"/>
  <c r="AG47" i="5"/>
  <c r="AG48" i="5"/>
  <c r="AG49" i="5"/>
  <c r="AG51" i="5"/>
  <c r="AG25" i="5"/>
  <c r="AG37" i="5"/>
  <c r="AG50" i="5"/>
  <c r="AG53" i="5"/>
  <c r="AG54" i="5"/>
  <c r="AG57" i="5"/>
  <c r="AG61" i="5"/>
  <c r="AG64" i="5"/>
  <c r="AG41" i="5"/>
  <c r="AG56" i="5"/>
  <c r="AG60" i="5"/>
  <c r="AG62" i="5"/>
  <c r="AG65" i="5"/>
  <c r="AG67" i="5"/>
  <c r="AG68" i="5"/>
  <c r="AG20" i="5"/>
  <c r="AG23" i="5"/>
  <c r="AG58" i="5"/>
  <c r="AG59" i="5"/>
  <c r="AG63" i="5"/>
  <c r="AG66" i="5"/>
  <c r="AG26" i="5"/>
  <c r="AG80" i="5"/>
  <c r="AG22" i="5"/>
  <c r="AG69" i="5"/>
  <c r="AG70" i="5"/>
  <c r="AG73" i="5"/>
  <c r="AG52" i="5"/>
  <c r="AG55" i="5"/>
  <c r="AG72" i="5"/>
  <c r="AG76" i="5"/>
  <c r="AG77" i="5"/>
  <c r="AG78" i="5"/>
  <c r="AG81" i="5"/>
  <c r="AG86" i="5"/>
  <c r="AG90" i="5"/>
  <c r="AG93" i="5"/>
  <c r="AG94" i="5"/>
  <c r="AG74" i="5"/>
  <c r="AG87" i="5"/>
  <c r="AG96" i="5"/>
  <c r="AG97" i="5"/>
  <c r="AG98" i="5"/>
  <c r="AG102" i="5"/>
  <c r="AG103" i="5"/>
  <c r="AG105" i="5"/>
  <c r="AG107" i="5"/>
  <c r="AG75" i="5"/>
  <c r="AG79" i="5"/>
  <c r="AG82" i="5"/>
  <c r="AG85" i="5"/>
  <c r="AG88" i="5"/>
  <c r="AG91" i="5"/>
  <c r="AG101" i="5"/>
  <c r="AG108" i="5"/>
  <c r="AG83" i="5"/>
  <c r="AG100" i="5"/>
  <c r="AG113" i="5"/>
  <c r="AG114" i="5"/>
  <c r="AG115" i="5"/>
  <c r="AG121" i="5"/>
  <c r="AG127" i="5"/>
  <c r="AG132" i="5"/>
  <c r="AG136" i="5"/>
  <c r="AG141" i="5"/>
  <c r="AG143" i="5"/>
  <c r="AG145" i="5"/>
  <c r="AG71" i="5"/>
  <c r="AG89" i="5"/>
  <c r="AG104" i="5"/>
  <c r="AG124" i="5"/>
  <c r="AG126" i="5"/>
  <c r="AG142" i="5"/>
  <c r="AG148" i="5"/>
  <c r="AG151" i="5"/>
  <c r="AG156" i="5"/>
  <c r="AG92" i="5"/>
  <c r="AG99" i="5"/>
  <c r="AG106" i="5"/>
  <c r="AG109" i="5"/>
  <c r="AG118" i="5"/>
  <c r="AG119" i="5"/>
  <c r="AG120" i="5"/>
  <c r="AG122" i="5"/>
  <c r="AG130" i="5"/>
  <c r="AG134" i="5"/>
  <c r="AG137" i="5"/>
  <c r="AG138" i="5"/>
  <c r="AG139" i="5"/>
  <c r="AG146" i="5"/>
  <c r="AG152" i="5"/>
  <c r="AG84" i="5"/>
  <c r="AG110" i="5"/>
  <c r="AG116" i="5"/>
  <c r="AG123" i="5"/>
  <c r="AG129" i="5"/>
  <c r="AG135" i="5"/>
  <c r="AG144" i="5"/>
  <c r="AG147" i="5"/>
  <c r="AG150" i="5"/>
  <c r="AG153" i="5"/>
  <c r="AG158" i="5"/>
  <c r="AG171" i="5"/>
  <c r="AG173" i="5"/>
  <c r="AG177" i="5"/>
  <c r="AG178" i="5"/>
  <c r="AG179" i="5"/>
  <c r="AG183" i="5"/>
  <c r="AG187" i="5"/>
  <c r="AG112" i="5"/>
  <c r="AG125" i="5"/>
  <c r="AG128" i="5"/>
  <c r="AG131" i="5"/>
  <c r="AG149" i="5"/>
  <c r="AG161" i="5"/>
  <c r="AG163" i="5"/>
  <c r="AG165" i="5"/>
  <c r="AG169" i="5"/>
  <c r="AG170" i="5"/>
  <c r="AG181" i="5"/>
  <c r="AG182" i="5"/>
  <c r="AG184" i="5"/>
  <c r="AG95" i="5"/>
  <c r="AG111" i="5"/>
  <c r="AG133" i="5"/>
  <c r="AG140" i="5"/>
  <c r="AG155" i="5"/>
  <c r="AG157" i="5"/>
  <c r="AG160" i="5"/>
  <c r="AG162" i="5"/>
  <c r="AG167" i="5"/>
  <c r="AG172" i="5"/>
  <c r="AG175" i="5"/>
  <c r="AG185" i="5"/>
  <c r="AG186" i="5"/>
  <c r="AG189" i="5"/>
  <c r="AG190" i="5"/>
  <c r="AG194" i="5"/>
  <c r="AG197" i="5"/>
  <c r="AG198" i="5"/>
  <c r="AG199" i="5"/>
  <c r="AG201" i="5"/>
  <c r="AG206" i="5"/>
  <c r="AG154" i="5"/>
  <c r="AG176" i="5"/>
  <c r="AG193" i="5"/>
  <c r="AG208" i="5"/>
  <c r="AG215" i="5"/>
  <c r="AG218" i="5"/>
  <c r="AG223" i="5"/>
  <c r="AG227" i="5"/>
  <c r="AG234" i="5"/>
  <c r="AG239" i="5"/>
  <c r="AG245" i="5"/>
  <c r="AG247" i="5"/>
  <c r="AG248" i="5"/>
  <c r="AG164" i="5"/>
  <c r="AG192" i="5"/>
  <c r="AG207" i="5"/>
  <c r="AG209" i="5"/>
  <c r="AG211" i="5"/>
  <c r="AG216" i="5"/>
  <c r="AG220" i="5"/>
  <c r="AG224" i="5"/>
  <c r="AG229" i="5"/>
  <c r="AG232" i="5"/>
  <c r="AG242" i="5"/>
  <c r="AG243" i="5"/>
  <c r="AG159" i="5"/>
  <c r="AG166" i="5"/>
  <c r="AG188" i="5"/>
  <c r="AG191" i="5"/>
  <c r="AG195" i="5"/>
  <c r="AG212" i="5"/>
  <c r="AG213" i="5"/>
  <c r="AG217" i="5"/>
  <c r="AG221" i="5"/>
  <c r="AG222" i="5"/>
  <c r="AG225" i="5"/>
  <c r="AG230" i="5"/>
  <c r="AG233" i="5"/>
  <c r="AG235" i="5"/>
  <c r="AG236" i="5"/>
  <c r="AG238" i="5"/>
  <c r="AG240" i="5"/>
  <c r="AG214" i="5"/>
  <c r="AG228" i="5"/>
  <c r="AG249" i="5"/>
  <c r="AG251" i="5"/>
  <c r="AG252" i="5"/>
  <c r="AG254" i="5"/>
  <c r="AG255" i="5"/>
  <c r="AG257" i="5"/>
  <c r="AG260" i="5"/>
  <c r="AG263" i="5"/>
  <c r="AG265" i="5"/>
  <c r="AG273" i="5"/>
  <c r="AG274" i="5"/>
  <c r="AG277" i="5"/>
  <c r="AG280" i="5"/>
  <c r="AG283" i="5"/>
  <c r="AG287" i="5"/>
  <c r="AG293" i="5"/>
  <c r="AG295" i="5"/>
  <c r="AG301" i="5"/>
  <c r="AG306" i="5"/>
  <c r="AG309" i="5"/>
  <c r="AG312" i="5"/>
  <c r="AG314" i="5"/>
  <c r="AG315" i="5"/>
  <c r="AG320" i="5"/>
  <c r="AG322" i="5"/>
  <c r="AG324" i="5"/>
  <c r="AG332" i="5"/>
  <c r="AG203" i="5"/>
  <c r="AG205" i="5"/>
  <c r="AG210" i="5"/>
  <c r="AG219" i="5"/>
  <c r="AG241" i="5"/>
  <c r="AG246" i="5"/>
  <c r="AG250" i="5"/>
  <c r="AG258" i="5"/>
  <c r="AG266" i="5"/>
  <c r="AG270" i="5"/>
  <c r="AG276" i="5"/>
  <c r="AG278" i="5"/>
  <c r="AG279" i="5"/>
  <c r="AG282" i="5"/>
  <c r="AG286" i="5"/>
  <c r="AG289" i="5"/>
  <c r="AG292" i="5"/>
  <c r="AG297" i="5"/>
  <c r="AG299" i="5"/>
  <c r="AG304" i="5"/>
  <c r="AG308" i="5"/>
  <c r="AG311" i="5"/>
  <c r="AG316" i="5"/>
  <c r="AG319" i="5"/>
  <c r="AG325" i="5"/>
  <c r="AG327" i="5"/>
  <c r="AG328" i="5"/>
  <c r="AG117" i="5"/>
  <c r="AG196" i="5"/>
  <c r="AG200" i="5"/>
  <c r="AG237" i="5"/>
  <c r="AG244" i="5"/>
  <c r="AG253" i="5"/>
  <c r="AG259" i="5"/>
  <c r="AG261" i="5"/>
  <c r="AG264" i="5"/>
  <c r="AG269" i="5"/>
  <c r="AG271" i="5"/>
  <c r="AG281" i="5"/>
  <c r="AG285" i="5"/>
  <c r="AG288" i="5"/>
  <c r="AG291" i="5"/>
  <c r="AG296" i="5"/>
  <c r="AG300" i="5"/>
  <c r="AG303" i="5"/>
  <c r="AG307" i="5"/>
  <c r="AG313" i="5"/>
  <c r="AG318" i="5"/>
  <c r="AG323" i="5"/>
  <c r="AG335" i="5"/>
  <c r="AG336" i="5"/>
  <c r="AG338" i="5"/>
  <c r="AG342" i="5"/>
  <c r="AG343" i="5"/>
  <c r="AG345" i="5"/>
  <c r="AG348" i="5"/>
  <c r="AG349" i="5"/>
  <c r="AG354" i="5"/>
  <c r="AG356" i="5"/>
  <c r="AG359" i="5"/>
  <c r="AG174" i="5"/>
  <c r="AG231" i="5"/>
  <c r="AG284" i="5"/>
  <c r="AG290" i="5"/>
  <c r="AG310" i="5"/>
  <c r="AG330" i="5"/>
  <c r="AG341" i="5"/>
  <c r="AG364" i="5"/>
  <c r="AG366" i="5"/>
  <c r="AG374" i="5"/>
  <c r="AG378" i="5"/>
  <c r="AG382" i="5"/>
  <c r="AG388" i="5"/>
  <c r="AG394" i="5"/>
  <c r="AG397" i="5"/>
  <c r="AG398" i="5"/>
  <c r="AG400" i="5"/>
  <c r="AG401" i="5"/>
  <c r="AG403" i="5"/>
  <c r="AG406" i="5"/>
  <c r="AG415" i="5"/>
  <c r="AG420" i="5"/>
  <c r="AG421" i="5"/>
  <c r="AG424" i="5"/>
  <c r="AG429" i="5"/>
  <c r="AG433" i="5"/>
  <c r="AG436" i="5"/>
  <c r="AG437" i="5"/>
  <c r="AG180" i="5"/>
  <c r="AG226" i="5"/>
  <c r="AG262" i="5"/>
  <c r="AG267" i="5"/>
  <c r="AG268" i="5"/>
  <c r="AG298" i="5"/>
  <c r="AG321" i="5"/>
  <c r="AG326" i="5"/>
  <c r="AG329" i="5"/>
  <c r="AG333" i="5"/>
  <c r="AG340" i="5"/>
  <c r="AG355" i="5"/>
  <c r="AG362" i="5"/>
  <c r="AG367" i="5"/>
  <c r="AG368" i="5"/>
  <c r="AG372" i="5"/>
  <c r="AG376" i="5"/>
  <c r="AG381" i="5"/>
  <c r="AG386" i="5"/>
  <c r="AG387" i="5"/>
  <c r="AG391" i="5"/>
  <c r="AG393" i="5"/>
  <c r="AG396" i="5"/>
  <c r="AG405" i="5"/>
  <c r="AG407" i="5"/>
  <c r="AG409" i="5"/>
  <c r="AG410" i="5"/>
  <c r="AG202" i="5"/>
  <c r="AG317" i="5"/>
  <c r="AG339" i="5"/>
  <c r="AG347" i="5"/>
  <c r="AG351" i="5"/>
  <c r="AG352" i="5"/>
  <c r="AG353" i="5"/>
  <c r="AG360" i="5"/>
  <c r="AG361" i="5"/>
  <c r="AG369" i="5"/>
  <c r="AG373" i="5"/>
  <c r="AG375" i="5"/>
  <c r="AG383" i="5"/>
  <c r="AG385" i="5"/>
  <c r="AG390" i="5"/>
  <c r="AG402" i="5"/>
  <c r="AG404" i="5"/>
  <c r="AG411" i="5"/>
  <c r="AG414" i="5"/>
  <c r="AG417" i="5"/>
  <c r="AG418" i="5"/>
  <c r="AG168" i="5"/>
  <c r="AG256" i="5"/>
  <c r="AG275" i="5"/>
  <c r="AG305" i="5"/>
  <c r="AG334" i="5"/>
  <c r="AG344" i="5"/>
  <c r="AG346" i="5"/>
  <c r="AG350" i="5"/>
  <c r="AG371" i="5"/>
  <c r="AG379" i="5"/>
  <c r="AG412" i="5"/>
  <c r="AG419" i="5"/>
  <c r="AG427" i="5"/>
  <c r="AG431" i="5"/>
  <c r="AG438" i="5"/>
  <c r="AG443" i="5"/>
  <c r="AG445" i="5"/>
  <c r="AG450" i="5"/>
  <c r="AG451" i="5"/>
  <c r="AG466" i="5"/>
  <c r="AG469" i="5"/>
  <c r="AG481" i="5"/>
  <c r="AG487" i="5"/>
  <c r="AG488" i="5"/>
  <c r="AG489" i="5"/>
  <c r="AG493" i="5"/>
  <c r="AG494" i="5"/>
  <c r="AG499" i="5"/>
  <c r="AG502" i="5"/>
  <c r="AG508" i="5"/>
  <c r="AG510" i="5"/>
  <c r="AG513" i="5"/>
  <c r="AG518" i="5"/>
  <c r="AG522" i="5"/>
  <c r="AG530" i="5"/>
  <c r="AG294" i="5"/>
  <c r="AG331" i="5"/>
  <c r="AG357" i="5"/>
  <c r="AG370" i="5"/>
  <c r="AG384" i="5"/>
  <c r="AG408" i="5"/>
  <c r="AG422" i="5"/>
  <c r="AG425" i="5"/>
  <c r="AG434" i="5"/>
  <c r="AG435" i="5"/>
  <c r="AG442" i="5"/>
  <c r="AG447" i="5"/>
  <c r="AG448" i="5"/>
  <c r="AG456" i="5"/>
  <c r="AG458" i="5"/>
  <c r="AG460" i="5"/>
  <c r="AG464" i="5"/>
  <c r="AG472" i="5"/>
  <c r="AG475" i="5"/>
  <c r="AG483" i="5"/>
  <c r="AG485" i="5"/>
  <c r="AG490" i="5"/>
  <c r="AG491" i="5"/>
  <c r="AG496" i="5"/>
  <c r="AG497" i="5"/>
  <c r="AG501" i="5"/>
  <c r="AG515" i="5"/>
  <c r="AG516" i="5"/>
  <c r="AG517" i="5"/>
  <c r="AG272" i="5"/>
  <c r="AG302" i="5"/>
  <c r="AG337" i="5"/>
  <c r="AG363" i="5"/>
  <c r="AG399" i="5"/>
  <c r="AG423" i="5"/>
  <c r="AG439" i="5"/>
  <c r="AG452" i="5"/>
  <c r="AG453" i="5"/>
  <c r="AG457" i="5"/>
  <c r="AG459" i="5"/>
  <c r="AG462" i="5"/>
  <c r="AG468" i="5"/>
  <c r="AG471" i="5"/>
  <c r="AG474" i="5"/>
  <c r="AG477" i="5"/>
  <c r="AG478" i="5"/>
  <c r="AG480" i="5"/>
  <c r="AG486" i="5"/>
  <c r="AG498" i="5"/>
  <c r="AG504" i="5"/>
  <c r="AG505" i="5"/>
  <c r="AG507" i="5"/>
  <c r="AG512" i="5"/>
  <c r="AG514" i="5"/>
  <c r="AG524" i="5"/>
  <c r="AG525" i="5"/>
  <c r="AG531" i="5"/>
  <c r="AG543" i="5"/>
  <c r="AG546" i="5"/>
  <c r="AG548" i="5"/>
  <c r="AG549" i="5"/>
  <c r="AG550" i="5"/>
  <c r="AG551" i="5"/>
  <c r="AG553" i="5"/>
  <c r="AG557" i="5"/>
  <c r="AG559" i="5"/>
  <c r="AG204" i="5"/>
  <c r="AG380" i="5"/>
  <c r="AG392" i="5"/>
  <c r="AG416" i="5"/>
  <c r="AG463" i="5"/>
  <c r="AG473" i="5"/>
  <c r="AG476" i="5"/>
  <c r="AG479" i="5"/>
  <c r="AG482" i="5"/>
  <c r="AG492" i="5"/>
  <c r="AG506" i="5"/>
  <c r="AG509" i="5"/>
  <c r="AG520" i="5"/>
  <c r="AG528" i="5"/>
  <c r="AG535" i="5"/>
  <c r="AG539" i="5"/>
  <c r="AG541" i="5"/>
  <c r="AG542" i="5"/>
  <c r="AG547" i="5"/>
  <c r="AG554" i="5"/>
  <c r="AG441" i="5"/>
  <c r="AG444" i="5"/>
  <c r="AG455" i="5"/>
  <c r="AG465" i="5"/>
  <c r="AG484" i="5"/>
  <c r="AG495" i="5"/>
  <c r="AG519" i="5"/>
  <c r="AG526" i="5"/>
  <c r="AG533" i="5"/>
  <c r="AG545" i="5"/>
  <c r="AG552" i="5"/>
  <c r="AG555" i="5"/>
  <c r="AG532" i="5"/>
  <c r="AG536" i="5"/>
  <c r="AG540" i="5"/>
  <c r="AG358" i="5"/>
  <c r="AG365" i="5"/>
  <c r="AG377" i="5"/>
  <c r="AG389" i="5"/>
  <c r="AG395" i="5"/>
  <c r="AG413" i="5"/>
  <c r="AG426" i="5"/>
  <c r="AG428" i="5"/>
  <c r="AG430" i="5"/>
  <c r="AG432" i="5"/>
  <c r="AG454" i="5"/>
  <c r="AG461" i="5"/>
  <c r="AG467" i="5"/>
  <c r="AG511" i="5"/>
  <c r="AG523" i="5"/>
  <c r="AG529" i="5"/>
  <c r="AG537" i="5"/>
  <c r="AG556" i="5"/>
  <c r="AG558" i="5"/>
  <c r="AG560" i="5"/>
  <c r="AG440" i="5"/>
  <c r="AG446" i="5"/>
  <c r="AG449" i="5"/>
  <c r="AG470" i="5"/>
  <c r="AG500" i="5"/>
  <c r="AG503" i="5"/>
  <c r="AG521" i="5"/>
  <c r="AG527" i="5"/>
  <c r="AG534" i="5"/>
  <c r="AG538" i="5"/>
  <c r="AG544" i="5"/>
  <c r="AG19" i="5"/>
  <c r="B31" i="5"/>
  <c r="AJ22" i="5"/>
  <c r="AJ23" i="5"/>
  <c r="AJ25" i="5"/>
  <c r="AJ26" i="5"/>
  <c r="AJ31" i="5"/>
  <c r="AJ37" i="5"/>
  <c r="AJ43" i="5"/>
  <c r="AJ48" i="5"/>
  <c r="AJ20" i="5"/>
  <c r="AJ29" i="5"/>
  <c r="AJ30" i="5"/>
  <c r="AJ33" i="5"/>
  <c r="AJ38" i="5"/>
  <c r="AJ41" i="5"/>
  <c r="AJ44" i="5"/>
  <c r="AJ46" i="5"/>
  <c r="AJ21" i="5"/>
  <c r="AJ24" i="5"/>
  <c r="AJ28" i="5"/>
  <c r="AJ32" i="5"/>
  <c r="AJ35" i="5"/>
  <c r="AJ39" i="5"/>
  <c r="AJ42" i="5"/>
  <c r="AJ45" i="5"/>
  <c r="AJ52" i="5"/>
  <c r="AJ63" i="5"/>
  <c r="AJ69" i="5"/>
  <c r="AJ34" i="5"/>
  <c r="AJ51" i="5"/>
  <c r="AJ53" i="5"/>
  <c r="AJ55" i="5"/>
  <c r="AJ59" i="5"/>
  <c r="AJ61" i="5"/>
  <c r="AJ66" i="5"/>
  <c r="AJ27" i="5"/>
  <c r="AJ36" i="5"/>
  <c r="AJ47" i="5"/>
  <c r="AJ49" i="5"/>
  <c r="AJ50" i="5"/>
  <c r="AJ54" i="5"/>
  <c r="AJ56" i="5"/>
  <c r="AJ57" i="5"/>
  <c r="AJ62" i="5"/>
  <c r="AJ65" i="5"/>
  <c r="AJ71" i="5"/>
  <c r="AJ75" i="5"/>
  <c r="AJ79" i="5"/>
  <c r="AJ40" i="5"/>
  <c r="AJ60" i="5"/>
  <c r="AJ76" i="5"/>
  <c r="AJ77" i="5"/>
  <c r="AJ58" i="5"/>
  <c r="AJ68" i="5"/>
  <c r="AJ73" i="5"/>
  <c r="AJ74" i="5"/>
  <c r="AJ83" i="5"/>
  <c r="AJ88" i="5"/>
  <c r="AJ91" i="5"/>
  <c r="AJ67" i="5"/>
  <c r="AJ70" i="5"/>
  <c r="AJ72" i="5"/>
  <c r="AJ82" i="5"/>
  <c r="AJ78" i="5"/>
  <c r="AJ81" i="5"/>
  <c r="AJ85" i="5"/>
  <c r="AJ93" i="5"/>
  <c r="AJ94" i="5"/>
  <c r="AJ99" i="5"/>
  <c r="AJ101" i="5"/>
  <c r="AJ104" i="5"/>
  <c r="AJ109" i="5"/>
  <c r="AJ84" i="5"/>
  <c r="AJ89" i="5"/>
  <c r="AJ90" i="5"/>
  <c r="AJ92" i="5"/>
  <c r="AJ95" i="5"/>
  <c r="AJ96" i="5"/>
  <c r="AJ98" i="5"/>
  <c r="AJ100" i="5"/>
  <c r="AJ107" i="5"/>
  <c r="AJ97" i="5"/>
  <c r="AJ103" i="5"/>
  <c r="AJ106" i="5"/>
  <c r="AJ111" i="5"/>
  <c r="AJ112" i="5"/>
  <c r="AJ117" i="5"/>
  <c r="AJ118" i="5"/>
  <c r="AJ120" i="5"/>
  <c r="AJ125" i="5"/>
  <c r="AJ126" i="5"/>
  <c r="AJ128" i="5"/>
  <c r="AJ135" i="5"/>
  <c r="AJ138" i="5"/>
  <c r="AJ146" i="5"/>
  <c r="AJ149" i="5"/>
  <c r="AJ152" i="5"/>
  <c r="AJ158" i="5"/>
  <c r="AJ161" i="5"/>
  <c r="AJ87" i="5"/>
  <c r="AJ115" i="5"/>
  <c r="AJ116" i="5"/>
  <c r="AJ122" i="5"/>
  <c r="AJ127" i="5"/>
  <c r="AJ130" i="5"/>
  <c r="AJ132" i="5"/>
  <c r="AJ134" i="5"/>
  <c r="AJ136" i="5"/>
  <c r="AJ141" i="5"/>
  <c r="AJ143" i="5"/>
  <c r="AJ145" i="5"/>
  <c r="AJ153" i="5"/>
  <c r="AJ157" i="5"/>
  <c r="AJ64" i="5"/>
  <c r="AJ80" i="5"/>
  <c r="AJ86" i="5"/>
  <c r="AJ102" i="5"/>
  <c r="AJ105" i="5"/>
  <c r="AJ108" i="5"/>
  <c r="AJ110" i="5"/>
  <c r="AJ114" i="5"/>
  <c r="AJ121" i="5"/>
  <c r="AJ123" i="5"/>
  <c r="AJ129" i="5"/>
  <c r="AJ131" i="5"/>
  <c r="AJ133" i="5"/>
  <c r="AJ140" i="5"/>
  <c r="AJ144" i="5"/>
  <c r="AJ147" i="5"/>
  <c r="AJ150" i="5"/>
  <c r="AJ151" i="5"/>
  <c r="AJ154" i="5"/>
  <c r="AJ155" i="5"/>
  <c r="AJ113" i="5"/>
  <c r="AJ139" i="5"/>
  <c r="AJ159" i="5"/>
  <c r="AJ164" i="5"/>
  <c r="AJ166" i="5"/>
  <c r="AJ168" i="5"/>
  <c r="AJ174" i="5"/>
  <c r="AJ176" i="5"/>
  <c r="AJ180" i="5"/>
  <c r="AJ185" i="5"/>
  <c r="AJ186" i="5"/>
  <c r="AJ156" i="5"/>
  <c r="AJ173" i="5"/>
  <c r="AJ178" i="5"/>
  <c r="AJ179" i="5"/>
  <c r="AJ183" i="5"/>
  <c r="AJ119" i="5"/>
  <c r="AJ137" i="5"/>
  <c r="AJ165" i="5"/>
  <c r="AJ170" i="5"/>
  <c r="AJ171" i="5"/>
  <c r="AJ182" i="5"/>
  <c r="AJ184" i="5"/>
  <c r="AJ188" i="5"/>
  <c r="AJ191" i="5"/>
  <c r="AJ196" i="5"/>
  <c r="AJ200" i="5"/>
  <c r="AJ205" i="5"/>
  <c r="AJ207" i="5"/>
  <c r="AJ124" i="5"/>
  <c r="AJ142" i="5"/>
  <c r="AJ148" i="5"/>
  <c r="AJ160" i="5"/>
  <c r="AJ162" i="5"/>
  <c r="AJ194" i="5"/>
  <c r="AJ195" i="5"/>
  <c r="AJ203" i="5"/>
  <c r="AJ204" i="5"/>
  <c r="AJ210" i="5"/>
  <c r="AJ214" i="5"/>
  <c r="AJ217" i="5"/>
  <c r="AJ219" i="5"/>
  <c r="AJ222" i="5"/>
  <c r="AJ226" i="5"/>
  <c r="AJ228" i="5"/>
  <c r="AJ235" i="5"/>
  <c r="AJ238" i="5"/>
  <c r="AJ240" i="5"/>
  <c r="AJ242" i="5"/>
  <c r="AJ244" i="5"/>
  <c r="AJ167" i="5"/>
  <c r="AJ197" i="5"/>
  <c r="AJ199" i="5"/>
  <c r="AJ202" i="5"/>
  <c r="AJ215" i="5"/>
  <c r="AJ231" i="5"/>
  <c r="AJ234" i="5"/>
  <c r="AJ237" i="5"/>
  <c r="AJ239" i="5"/>
  <c r="AJ169" i="5"/>
  <c r="AJ172" i="5"/>
  <c r="AJ175" i="5"/>
  <c r="AJ181" i="5"/>
  <c r="AJ187" i="5"/>
  <c r="AJ189" i="5"/>
  <c r="AJ192" i="5"/>
  <c r="AJ193" i="5"/>
  <c r="AJ198" i="5"/>
  <c r="AJ201" i="5"/>
  <c r="AJ206" i="5"/>
  <c r="AJ209" i="5"/>
  <c r="AJ216" i="5"/>
  <c r="AJ218" i="5"/>
  <c r="AJ220" i="5"/>
  <c r="AJ223" i="5"/>
  <c r="AJ224" i="5"/>
  <c r="AJ227" i="5"/>
  <c r="AJ229" i="5"/>
  <c r="AJ232" i="5"/>
  <c r="AJ241" i="5"/>
  <c r="AJ163" i="5"/>
  <c r="AJ208" i="5"/>
  <c r="AJ211" i="5"/>
  <c r="AJ233" i="5"/>
  <c r="AJ236" i="5"/>
  <c r="AJ243" i="5"/>
  <c r="AJ247" i="5"/>
  <c r="AJ253" i="5"/>
  <c r="AJ256" i="5"/>
  <c r="AJ262" i="5"/>
  <c r="AJ269" i="5"/>
  <c r="AJ272" i="5"/>
  <c r="AJ278" i="5"/>
  <c r="AJ284" i="5"/>
  <c r="AJ290" i="5"/>
  <c r="AJ294" i="5"/>
  <c r="AJ298" i="5"/>
  <c r="AJ302" i="5"/>
  <c r="AJ305" i="5"/>
  <c r="AJ310" i="5"/>
  <c r="AJ317" i="5"/>
  <c r="AJ321" i="5"/>
  <c r="AJ326" i="5"/>
  <c r="AJ329" i="5"/>
  <c r="AJ330" i="5"/>
  <c r="AJ331" i="5"/>
  <c r="AJ177" i="5"/>
  <c r="AJ225" i="5"/>
  <c r="AJ230" i="5"/>
  <c r="AJ248" i="5"/>
  <c r="AJ249" i="5"/>
  <c r="AJ251" i="5"/>
  <c r="AJ254" i="5"/>
  <c r="AJ255" i="5"/>
  <c r="AJ257" i="5"/>
  <c r="AJ263" i="5"/>
  <c r="AJ265" i="5"/>
  <c r="AJ268" i="5"/>
  <c r="AJ275" i="5"/>
  <c r="AJ280" i="5"/>
  <c r="AJ283" i="5"/>
  <c r="AJ287" i="5"/>
  <c r="AJ293" i="5"/>
  <c r="AJ295" i="5"/>
  <c r="AJ301" i="5"/>
  <c r="AJ306" i="5"/>
  <c r="AJ309" i="5"/>
  <c r="AJ312" i="5"/>
  <c r="AJ314" i="5"/>
  <c r="AJ315" i="5"/>
  <c r="AJ320" i="5"/>
  <c r="AJ322" i="5"/>
  <c r="AJ324" i="5"/>
  <c r="AJ332" i="5"/>
  <c r="AJ190" i="5"/>
  <c r="AJ213" i="5"/>
  <c r="AJ221" i="5"/>
  <c r="AJ245" i="5"/>
  <c r="AJ250" i="5"/>
  <c r="AJ252" i="5"/>
  <c r="AJ258" i="5"/>
  <c r="AJ260" i="5"/>
  <c r="AJ267" i="5"/>
  <c r="AJ270" i="5"/>
  <c r="AJ273" i="5"/>
  <c r="AJ276" i="5"/>
  <c r="AJ277" i="5"/>
  <c r="AJ282" i="5"/>
  <c r="AJ286" i="5"/>
  <c r="AJ289" i="5"/>
  <c r="AJ292" i="5"/>
  <c r="AJ297" i="5"/>
  <c r="AJ299" i="5"/>
  <c r="AJ304" i="5"/>
  <c r="AJ308" i="5"/>
  <c r="AJ311" i="5"/>
  <c r="AJ316" i="5"/>
  <c r="AJ319" i="5"/>
  <c r="AJ325" i="5"/>
  <c r="AJ328" i="5"/>
  <c r="AJ333" i="5"/>
  <c r="AJ334" i="5"/>
  <c r="AJ340" i="5"/>
  <c r="AJ347" i="5"/>
  <c r="AJ353" i="5"/>
  <c r="AJ355" i="5"/>
  <c r="AJ212" i="5"/>
  <c r="AJ246" i="5"/>
  <c r="AJ281" i="5"/>
  <c r="AJ296" i="5"/>
  <c r="AJ307" i="5"/>
  <c r="AJ313" i="5"/>
  <c r="AJ327" i="5"/>
  <c r="AJ337" i="5"/>
  <c r="AJ344" i="5"/>
  <c r="AJ345" i="5"/>
  <c r="AJ346" i="5"/>
  <c r="AJ350" i="5"/>
  <c r="AJ356" i="5"/>
  <c r="AJ357" i="5"/>
  <c r="AJ359" i="5"/>
  <c r="AJ363" i="5"/>
  <c r="AJ365" i="5"/>
  <c r="AJ370" i="5"/>
  <c r="AJ371" i="5"/>
  <c r="AJ377" i="5"/>
  <c r="AJ379" i="5"/>
  <c r="AJ380" i="5"/>
  <c r="AJ384" i="5"/>
  <c r="AJ389" i="5"/>
  <c r="AJ390" i="5"/>
  <c r="AJ392" i="5"/>
  <c r="AJ399" i="5"/>
  <c r="AJ408" i="5"/>
  <c r="AJ412" i="5"/>
  <c r="AJ413" i="5"/>
  <c r="AJ416" i="5"/>
  <c r="AJ419" i="5"/>
  <c r="AJ426" i="5"/>
  <c r="AJ427" i="5"/>
  <c r="AJ432" i="5"/>
  <c r="AJ434" i="5"/>
  <c r="AJ439" i="5"/>
  <c r="AJ271" i="5"/>
  <c r="AJ274" i="5"/>
  <c r="AJ318" i="5"/>
  <c r="AJ336" i="5"/>
  <c r="AJ341" i="5"/>
  <c r="AJ342" i="5"/>
  <c r="AJ348" i="5"/>
  <c r="AJ349" i="5"/>
  <c r="AJ354" i="5"/>
  <c r="AJ358" i="5"/>
  <c r="AJ364" i="5"/>
  <c r="AJ366" i="5"/>
  <c r="AJ374" i="5"/>
  <c r="AJ378" i="5"/>
  <c r="AJ388" i="5"/>
  <c r="AJ394" i="5"/>
  <c r="AJ395" i="5"/>
  <c r="AJ398" i="5"/>
  <c r="AJ400" i="5"/>
  <c r="AJ406" i="5"/>
  <c r="AJ415" i="5"/>
  <c r="AJ420" i="5"/>
  <c r="AJ259" i="5"/>
  <c r="AJ264" i="5"/>
  <c r="AJ300" i="5"/>
  <c r="AJ303" i="5"/>
  <c r="AJ323" i="5"/>
  <c r="AJ343" i="5"/>
  <c r="AJ362" i="5"/>
  <c r="AJ368" i="5"/>
  <c r="AJ372" i="5"/>
  <c r="AJ376" i="5"/>
  <c r="AJ381" i="5"/>
  <c r="AJ382" i="5"/>
  <c r="AJ386" i="5"/>
  <c r="AJ387" i="5"/>
  <c r="AJ391" i="5"/>
  <c r="AJ396" i="5"/>
  <c r="AJ397" i="5"/>
  <c r="AJ401" i="5"/>
  <c r="AJ403" i="5"/>
  <c r="AJ405" i="5"/>
  <c r="AJ407" i="5"/>
  <c r="AJ409" i="5"/>
  <c r="AJ410" i="5"/>
  <c r="AJ338" i="5"/>
  <c r="AJ352" i="5"/>
  <c r="AJ385" i="5"/>
  <c r="AJ428" i="5"/>
  <c r="AJ429" i="5"/>
  <c r="AJ430" i="5"/>
  <c r="AJ440" i="5"/>
  <c r="AJ444" i="5"/>
  <c r="AJ446" i="5"/>
  <c r="AJ453" i="5"/>
  <c r="AJ461" i="5"/>
  <c r="AJ465" i="5"/>
  <c r="AJ467" i="5"/>
  <c r="AJ470" i="5"/>
  <c r="AJ476" i="5"/>
  <c r="AJ477" i="5"/>
  <c r="AJ479" i="5"/>
  <c r="AJ480" i="5"/>
  <c r="AJ482" i="5"/>
  <c r="AJ484" i="5"/>
  <c r="AJ492" i="5"/>
  <c r="AJ495" i="5"/>
  <c r="AJ500" i="5"/>
  <c r="AJ505" i="5"/>
  <c r="AJ506" i="5"/>
  <c r="AJ511" i="5"/>
  <c r="AJ512" i="5"/>
  <c r="AJ519" i="5"/>
  <c r="AJ523" i="5"/>
  <c r="AJ537" i="5"/>
  <c r="AJ288" i="5"/>
  <c r="AJ361" i="5"/>
  <c r="AJ367" i="5"/>
  <c r="AJ373" i="5"/>
  <c r="AJ418" i="5"/>
  <c r="AJ431" i="5"/>
  <c r="AJ436" i="5"/>
  <c r="AJ438" i="5"/>
  <c r="AJ441" i="5"/>
  <c r="AJ443" i="5"/>
  <c r="AJ449" i="5"/>
  <c r="AJ450" i="5"/>
  <c r="AJ451" i="5"/>
  <c r="AJ454" i="5"/>
  <c r="AJ455" i="5"/>
  <c r="AJ463" i="5"/>
  <c r="AJ466" i="5"/>
  <c r="AJ469" i="5"/>
  <c r="AJ473" i="5"/>
  <c r="AJ481" i="5"/>
  <c r="AJ487" i="5"/>
  <c r="AJ488" i="5"/>
  <c r="AJ489" i="5"/>
  <c r="AJ493" i="5"/>
  <c r="AJ494" i="5"/>
  <c r="AJ499" i="5"/>
  <c r="AJ502" i="5"/>
  <c r="AJ503" i="5"/>
  <c r="AJ508" i="5"/>
  <c r="AJ509" i="5"/>
  <c r="AJ510" i="5"/>
  <c r="AJ513" i="5"/>
  <c r="AJ518" i="5"/>
  <c r="AJ520" i="5"/>
  <c r="AJ521" i="5"/>
  <c r="AJ266" i="5"/>
  <c r="AJ335" i="5"/>
  <c r="AJ339" i="5"/>
  <c r="AJ351" i="5"/>
  <c r="AJ375" i="5"/>
  <c r="AJ393" i="5"/>
  <c r="AJ402" i="5"/>
  <c r="AJ411" i="5"/>
  <c r="AJ414" i="5"/>
  <c r="AJ417" i="5"/>
  <c r="AJ421" i="5"/>
  <c r="AJ422" i="5"/>
  <c r="AJ424" i="5"/>
  <c r="AJ425" i="5"/>
  <c r="AJ433" i="5"/>
  <c r="AJ435" i="5"/>
  <c r="AJ437" i="5"/>
  <c r="AJ442" i="5"/>
  <c r="AJ445" i="5"/>
  <c r="AJ448" i="5"/>
  <c r="AJ456" i="5"/>
  <c r="AJ458" i="5"/>
  <c r="AJ460" i="5"/>
  <c r="AJ464" i="5"/>
  <c r="AJ472" i="5"/>
  <c r="AJ483" i="5"/>
  <c r="AJ485" i="5"/>
  <c r="AJ490" i="5"/>
  <c r="AJ491" i="5"/>
  <c r="AJ496" i="5"/>
  <c r="AJ501" i="5"/>
  <c r="AJ517" i="5"/>
  <c r="AJ526" i="5"/>
  <c r="AJ527" i="5"/>
  <c r="AJ533" i="5"/>
  <c r="AJ534" i="5"/>
  <c r="AJ536" i="5"/>
  <c r="AJ538" i="5"/>
  <c r="AJ540" i="5"/>
  <c r="AJ542" i="5"/>
  <c r="AJ544" i="5"/>
  <c r="AJ547" i="5"/>
  <c r="AJ552" i="5"/>
  <c r="AJ558" i="5"/>
  <c r="AJ261" i="5"/>
  <c r="AJ279" i="5"/>
  <c r="AJ285" i="5"/>
  <c r="AJ291" i="5"/>
  <c r="AJ404" i="5"/>
  <c r="AJ423" i="5"/>
  <c r="AJ452" i="5"/>
  <c r="AJ459" i="5"/>
  <c r="AJ524" i="5"/>
  <c r="AJ532" i="5"/>
  <c r="AJ549" i="5"/>
  <c r="AJ550" i="5"/>
  <c r="AJ559" i="5"/>
  <c r="AJ556" i="5"/>
  <c r="AJ369" i="5"/>
  <c r="AJ462" i="5"/>
  <c r="AJ468" i="5"/>
  <c r="AJ516" i="5"/>
  <c r="AJ522" i="5"/>
  <c r="AJ528" i="5"/>
  <c r="AJ530" i="5"/>
  <c r="AJ535" i="5"/>
  <c r="AJ539" i="5"/>
  <c r="AJ541" i="5"/>
  <c r="AJ546" i="5"/>
  <c r="AJ551" i="5"/>
  <c r="AJ554" i="5"/>
  <c r="AJ548" i="5"/>
  <c r="AJ560" i="5"/>
  <c r="AJ383" i="5"/>
  <c r="AJ447" i="5"/>
  <c r="AJ457" i="5"/>
  <c r="AJ471" i="5"/>
  <c r="AJ475" i="5"/>
  <c r="AJ478" i="5"/>
  <c r="AJ486" i="5"/>
  <c r="AJ498" i="5"/>
  <c r="AJ504" i="5"/>
  <c r="AJ515" i="5"/>
  <c r="AJ525" i="5"/>
  <c r="AJ531" i="5"/>
  <c r="AJ555" i="5"/>
  <c r="AJ557" i="5"/>
  <c r="AJ360" i="5"/>
  <c r="AJ474" i="5"/>
  <c r="AJ497" i="5"/>
  <c r="AJ507" i="5"/>
  <c r="AJ514" i="5"/>
  <c r="AJ529" i="5"/>
  <c r="AJ543" i="5"/>
  <c r="AJ545" i="5"/>
  <c r="AJ553" i="5"/>
  <c r="AJ19" i="5"/>
  <c r="B76" i="2"/>
  <c r="AO2" i="4" s="1"/>
  <c r="B24" i="3"/>
  <c r="B74" i="2"/>
  <c r="B10" i="2"/>
  <c r="B16" i="3"/>
  <c r="B14" i="3"/>
  <c r="B12" i="3"/>
  <c r="B9" i="2"/>
  <c r="B12" i="10" s="1"/>
  <c r="B8" i="2"/>
  <c r="H59" i="1" s="1"/>
  <c r="B7" i="2"/>
  <c r="B10" i="10" s="1"/>
  <c r="AS42" i="10" l="1"/>
  <c r="AS69" i="10"/>
  <c r="AS283" i="10"/>
  <c r="AS310" i="10"/>
  <c r="AS535" i="10"/>
  <c r="AS542" i="10"/>
  <c r="AS83" i="10"/>
  <c r="AS400" i="10"/>
  <c r="AS439" i="10"/>
  <c r="AS91" i="10"/>
  <c r="AS284" i="10"/>
  <c r="AS443" i="10"/>
  <c r="AS420" i="10"/>
  <c r="AS456" i="10"/>
  <c r="AS457" i="10"/>
  <c r="AS524" i="10"/>
  <c r="AS495" i="10"/>
  <c r="AS348" i="10"/>
  <c r="AS357" i="10"/>
  <c r="AS538" i="10"/>
  <c r="AS530" i="10"/>
  <c r="B112" i="2"/>
  <c r="K112" i="2" s="1"/>
  <c r="B183" i="2"/>
  <c r="T7" i="5" s="1"/>
  <c r="V7" i="5" s="1"/>
  <c r="B18" i="5"/>
  <c r="B18" i="10"/>
  <c r="BV8" i="4"/>
  <c r="BV24" i="4"/>
  <c r="BV40" i="4"/>
  <c r="BV56" i="4"/>
  <c r="BV72" i="4"/>
  <c r="BV88" i="4"/>
  <c r="BV104" i="4"/>
  <c r="BV120" i="4"/>
  <c r="BV136" i="4"/>
  <c r="BV152" i="4"/>
  <c r="BV39" i="4"/>
  <c r="BV71" i="4"/>
  <c r="BV17" i="4"/>
  <c r="BV33" i="4"/>
  <c r="BV49" i="4"/>
  <c r="BV65" i="4"/>
  <c r="BV81" i="4"/>
  <c r="BV97" i="4"/>
  <c r="BV113" i="4"/>
  <c r="BV129" i="4"/>
  <c r="BV145" i="4"/>
  <c r="BV10" i="4"/>
  <c r="BV26" i="4"/>
  <c r="BV42" i="4"/>
  <c r="BV58" i="4"/>
  <c r="BV74" i="4"/>
  <c r="BV90" i="4"/>
  <c r="BV106" i="4"/>
  <c r="BV122" i="4"/>
  <c r="BV138" i="4"/>
  <c r="BV154" i="4"/>
  <c r="BV27" i="4"/>
  <c r="BV59" i="4"/>
  <c r="BV111" i="4"/>
  <c r="BV99" i="4"/>
  <c r="BV87" i="4"/>
  <c r="BV151" i="4"/>
  <c r="BV139" i="4"/>
  <c r="BV20" i="4"/>
  <c r="BV44" i="4"/>
  <c r="BV64" i="4"/>
  <c r="BV84" i="4"/>
  <c r="BV108" i="4"/>
  <c r="BV128" i="4"/>
  <c r="BV148" i="4"/>
  <c r="BV47" i="4"/>
  <c r="BV9" i="4"/>
  <c r="BV29" i="4"/>
  <c r="BV53" i="4"/>
  <c r="BV73" i="4"/>
  <c r="BV93" i="4"/>
  <c r="BV117" i="4"/>
  <c r="BV137" i="4"/>
  <c r="BV157" i="4"/>
  <c r="BV30" i="4"/>
  <c r="BV50" i="4"/>
  <c r="BV70" i="4"/>
  <c r="BV94" i="4"/>
  <c r="BV114" i="4"/>
  <c r="BV134" i="4"/>
  <c r="BV11" i="4"/>
  <c r="BV43" i="4"/>
  <c r="BV95" i="4"/>
  <c r="BV115" i="4"/>
  <c r="BV119" i="4"/>
  <c r="BV123" i="4"/>
  <c r="BV28" i="4"/>
  <c r="BV48" i="4"/>
  <c r="BV68" i="4"/>
  <c r="BV92" i="4"/>
  <c r="BV112" i="4"/>
  <c r="BV132" i="4"/>
  <c r="BV156" i="4"/>
  <c r="BV55" i="4"/>
  <c r="BV13" i="4"/>
  <c r="BV37" i="4"/>
  <c r="BV57" i="4"/>
  <c r="BV77" i="4"/>
  <c r="BV101" i="4"/>
  <c r="BV121" i="4"/>
  <c r="BV141" i="4"/>
  <c r="BV14" i="4"/>
  <c r="BV34" i="4"/>
  <c r="BV54" i="4"/>
  <c r="BV78" i="4"/>
  <c r="BV98" i="4"/>
  <c r="BV118" i="4"/>
  <c r="BV142" i="4"/>
  <c r="BV19" i="4"/>
  <c r="BV51" i="4"/>
  <c r="BV127" i="4"/>
  <c r="BV131" i="4"/>
  <c r="BV135" i="4"/>
  <c r="BV155" i="4"/>
  <c r="BV12" i="4"/>
  <c r="BV32" i="4"/>
  <c r="BV52" i="4"/>
  <c r="BV76" i="4"/>
  <c r="BV96" i="4"/>
  <c r="BV116" i="4"/>
  <c r="BV140" i="4"/>
  <c r="BV15" i="4"/>
  <c r="BV63" i="4"/>
  <c r="BV21" i="4"/>
  <c r="BV41" i="4"/>
  <c r="BV61" i="4"/>
  <c r="BV85" i="4"/>
  <c r="BV105" i="4"/>
  <c r="BV125" i="4"/>
  <c r="BV149" i="4"/>
  <c r="BV18" i="4"/>
  <c r="BV38" i="4"/>
  <c r="BV62" i="4"/>
  <c r="BV82" i="4"/>
  <c r="BV102" i="4"/>
  <c r="BV126" i="4"/>
  <c r="BV146" i="4"/>
  <c r="BV23" i="4"/>
  <c r="BV67" i="4"/>
  <c r="BV143" i="4"/>
  <c r="BV147" i="4"/>
  <c r="BV91" i="4"/>
  <c r="BV80" i="4"/>
  <c r="BV31" i="4"/>
  <c r="BV69" i="4"/>
  <c r="BV153" i="4"/>
  <c r="BV86" i="4"/>
  <c r="BV35" i="4"/>
  <c r="BV107" i="4"/>
  <c r="BV16" i="4"/>
  <c r="BV100" i="4"/>
  <c r="BV79" i="4"/>
  <c r="BV89" i="4"/>
  <c r="BV22" i="4"/>
  <c r="BV110" i="4"/>
  <c r="BV75" i="4"/>
  <c r="BV36" i="4"/>
  <c r="BV124" i="4"/>
  <c r="BV25" i="4"/>
  <c r="BV109" i="4"/>
  <c r="BV46" i="4"/>
  <c r="BV130" i="4"/>
  <c r="BV83" i="4"/>
  <c r="BV60" i="4"/>
  <c r="BV144" i="4"/>
  <c r="BV45" i="4"/>
  <c r="BV133" i="4"/>
  <c r="BV66" i="4"/>
  <c r="BV150" i="4"/>
  <c r="BV103" i="4"/>
  <c r="B29" i="10"/>
  <c r="AS24" i="10"/>
  <c r="AS51" i="10"/>
  <c r="AS97" i="10"/>
  <c r="AS45" i="10"/>
  <c r="AS145" i="10"/>
  <c r="AS32" i="10"/>
  <c r="AS60" i="10"/>
  <c r="AS75" i="10"/>
  <c r="AS150" i="10"/>
  <c r="AS197" i="10"/>
  <c r="AS135" i="10"/>
  <c r="AS128" i="10"/>
  <c r="AS160" i="10"/>
  <c r="AS207" i="10"/>
  <c r="AS255" i="10"/>
  <c r="AS287" i="10"/>
  <c r="AS212" i="10"/>
  <c r="AS228" i="10"/>
  <c r="AS331" i="10"/>
  <c r="AS356" i="10"/>
  <c r="AS333" i="10"/>
  <c r="AS374" i="10"/>
  <c r="AS408" i="10"/>
  <c r="AS365" i="10"/>
  <c r="AS432" i="10"/>
  <c r="AS482" i="10"/>
  <c r="AS475" i="10"/>
  <c r="AS494" i="10"/>
  <c r="AS496" i="10"/>
  <c r="AS537" i="10"/>
  <c r="AS81" i="10"/>
  <c r="AS57" i="10"/>
  <c r="AS129" i="10"/>
  <c r="AS22" i="10"/>
  <c r="AS23" i="10"/>
  <c r="AS41" i="10"/>
  <c r="AS169" i="10"/>
  <c r="AS185" i="10"/>
  <c r="AS86" i="10"/>
  <c r="AS118" i="10"/>
  <c r="AS268" i="10"/>
  <c r="AS68" i="10"/>
  <c r="AS221" i="10"/>
  <c r="AS237" i="10"/>
  <c r="AS244" i="10"/>
  <c r="AS190" i="10"/>
  <c r="AS206" i="10"/>
  <c r="AS301" i="10"/>
  <c r="AS315" i="10"/>
  <c r="AS324" i="10"/>
  <c r="AS340" i="10"/>
  <c r="AS282" i="10"/>
  <c r="AS298" i="10"/>
  <c r="AS346" i="10"/>
  <c r="AS424" i="10"/>
  <c r="AS427" i="10"/>
  <c r="AS460" i="10"/>
  <c r="AS397" i="10"/>
  <c r="AS413" i="10"/>
  <c r="AS429" i="10"/>
  <c r="AS448" i="10"/>
  <c r="AS446" i="10"/>
  <c r="AS463" i="10"/>
  <c r="AS490" i="10"/>
  <c r="AS461" i="10"/>
  <c r="AS477" i="10"/>
  <c r="AS508" i="10"/>
  <c r="AS543" i="10"/>
  <c r="AS548" i="10"/>
  <c r="AS85" i="10"/>
  <c r="AS149" i="10"/>
  <c r="AS95" i="10"/>
  <c r="AS138" i="10"/>
  <c r="AS154" i="10"/>
  <c r="AS201" i="10"/>
  <c r="AS187" i="10"/>
  <c r="AS259" i="10"/>
  <c r="AS291" i="10"/>
  <c r="AS368" i="10"/>
  <c r="AS216" i="10"/>
  <c r="AS232" i="10"/>
  <c r="AS304" i="10"/>
  <c r="AS194" i="10"/>
  <c r="AS319" i="10"/>
  <c r="AS344" i="10"/>
  <c r="AS321" i="10"/>
  <c r="AS353" i="10"/>
  <c r="AS318" i="10"/>
  <c r="AS350" i="10"/>
  <c r="AS366" i="10"/>
  <c r="AS396" i="10"/>
  <c r="AS428" i="10"/>
  <c r="AS398" i="10"/>
  <c r="AS464" i="10"/>
  <c r="AS479" i="10"/>
  <c r="AS493" i="10"/>
  <c r="AS498" i="10"/>
  <c r="AS516" i="10"/>
  <c r="AS534" i="10"/>
  <c r="AS532" i="10"/>
  <c r="AS553" i="10"/>
  <c r="AS551" i="10"/>
  <c r="AS20" i="10"/>
  <c r="AS62" i="10"/>
  <c r="AS77" i="10"/>
  <c r="AS93" i="10"/>
  <c r="AS125" i="10"/>
  <c r="AS87" i="10"/>
  <c r="AS115" i="10"/>
  <c r="AS131" i="10"/>
  <c r="AS179" i="10"/>
  <c r="AS264" i="10"/>
  <c r="AS296" i="10"/>
  <c r="AS124" i="10"/>
  <c r="AS156" i="10"/>
  <c r="AS380" i="10"/>
  <c r="AS218" i="10"/>
  <c r="AS234" i="10"/>
  <c r="AS249" i="10"/>
  <c r="AS265" i="10"/>
  <c r="AS281" i="10"/>
  <c r="AS297" i="10"/>
  <c r="AS311" i="10"/>
  <c r="AS320" i="10"/>
  <c r="AS262" i="10"/>
  <c r="AS294" i="10"/>
  <c r="AS422" i="10"/>
  <c r="AS407" i="10"/>
  <c r="AS486" i="10"/>
  <c r="AS488" i="10"/>
  <c r="AS491" i="10"/>
  <c r="AS507" i="10"/>
  <c r="AS541" i="10"/>
  <c r="AS554" i="10"/>
  <c r="AS55" i="10"/>
  <c r="AS300" i="10"/>
  <c r="AS30" i="10"/>
  <c r="AS50" i="10"/>
  <c r="AS117" i="10"/>
  <c r="AS63" i="10"/>
  <c r="AS90" i="10"/>
  <c r="AS275" i="10"/>
  <c r="AS178" i="10"/>
  <c r="AS210" i="10"/>
  <c r="AS242" i="10"/>
  <c r="AS273" i="10"/>
  <c r="AS375" i="10"/>
  <c r="AS312" i="10"/>
  <c r="AS337" i="10"/>
  <c r="AS412" i="10"/>
  <c r="AS433" i="10"/>
  <c r="AS512" i="10"/>
  <c r="AS44" i="10"/>
  <c r="AS40" i="10"/>
  <c r="AS52" i="10"/>
  <c r="AS137" i="10"/>
  <c r="AS153" i="10"/>
  <c r="AS46" i="10"/>
  <c r="AS33" i="10"/>
  <c r="AS99" i="10"/>
  <c r="AS177" i="10"/>
  <c r="AS193" i="10"/>
  <c r="AS78" i="10"/>
  <c r="AS94" i="10"/>
  <c r="AS110" i="10"/>
  <c r="AS126" i="10"/>
  <c r="AS158" i="10"/>
  <c r="AS223" i="10"/>
  <c r="AS239" i="10"/>
  <c r="AS159" i="10"/>
  <c r="AS276" i="10"/>
  <c r="AS88" i="10"/>
  <c r="AS104" i="10"/>
  <c r="AS136" i="10"/>
  <c r="AS213" i="10"/>
  <c r="AS229" i="10"/>
  <c r="AS263" i="10"/>
  <c r="AS295" i="10"/>
  <c r="AS204" i="10"/>
  <c r="AS166" i="10"/>
  <c r="AS198" i="10"/>
  <c r="AS214" i="10"/>
  <c r="AS230" i="10"/>
  <c r="AS245" i="10"/>
  <c r="AS261" i="10"/>
  <c r="AS277" i="10"/>
  <c r="AS293" i="10"/>
  <c r="AS307" i="10"/>
  <c r="AS339" i="10"/>
  <c r="AS355" i="10"/>
  <c r="AS379" i="10"/>
  <c r="AS316" i="10"/>
  <c r="AS309" i="10"/>
  <c r="AS341" i="10"/>
  <c r="AS274" i="10"/>
  <c r="AS416" i="10"/>
  <c r="AS418" i="10"/>
  <c r="AS387" i="10"/>
  <c r="AS403" i="10"/>
  <c r="AS419" i="10"/>
  <c r="AS437" i="10"/>
  <c r="AS451" i="10"/>
  <c r="AS373" i="10"/>
  <c r="AS389" i="10"/>
  <c r="AS405" i="10"/>
  <c r="AS421" i="10"/>
  <c r="AS435" i="10"/>
  <c r="AS440" i="10"/>
  <c r="AS474" i="10"/>
  <c r="AS458" i="10"/>
  <c r="AS489" i="10"/>
  <c r="AS455" i="10"/>
  <c r="AS483" i="10"/>
  <c r="AS501" i="10"/>
  <c r="AS485" i="10"/>
  <c r="AS509" i="10"/>
  <c r="AS533" i="10"/>
  <c r="AS531" i="10"/>
  <c r="AS520" i="10"/>
  <c r="AS550" i="10"/>
  <c r="AS536" i="10"/>
  <c r="AS34" i="10"/>
  <c r="AS25" i="10"/>
  <c r="AS219" i="10"/>
  <c r="AS107" i="10"/>
  <c r="AS155" i="10"/>
  <c r="AS226" i="10"/>
  <c r="AS257" i="10"/>
  <c r="AS289" i="10"/>
  <c r="AS384" i="10"/>
  <c r="AS334" i="10"/>
  <c r="AS430" i="10"/>
  <c r="AS415" i="10"/>
  <c r="AS369" i="10"/>
  <c r="AS385" i="10"/>
  <c r="AS450" i="10"/>
  <c r="AS500" i="10"/>
  <c r="AS546" i="10"/>
  <c r="AS36" i="10"/>
  <c r="AS53" i="10"/>
  <c r="AS28" i="10"/>
  <c r="AS141" i="10"/>
  <c r="AS157" i="10"/>
  <c r="AS61" i="10"/>
  <c r="AS38" i="10"/>
  <c r="AS58" i="10"/>
  <c r="AS165" i="10"/>
  <c r="AS181" i="10"/>
  <c r="AS82" i="10"/>
  <c r="AS98" i="10"/>
  <c r="AS114" i="10"/>
  <c r="AS130" i="10"/>
  <c r="AS146" i="10"/>
  <c r="AS211" i="10"/>
  <c r="AS227" i="10"/>
  <c r="AS147" i="10"/>
  <c r="AS248" i="10"/>
  <c r="AS280" i="10"/>
  <c r="AS76" i="10"/>
  <c r="AS92" i="10"/>
  <c r="AS108" i="10"/>
  <c r="AS140" i="10"/>
  <c r="AS203" i="10"/>
  <c r="AS217" i="10"/>
  <c r="AS233" i="10"/>
  <c r="AS267" i="10"/>
  <c r="AS299" i="10"/>
  <c r="AS364" i="10"/>
  <c r="AS208" i="10"/>
  <c r="AS224" i="10"/>
  <c r="AS240" i="10"/>
  <c r="AS170" i="10"/>
  <c r="AS202" i="10"/>
  <c r="AS327" i="10"/>
  <c r="AS343" i="10"/>
  <c r="AS383" i="10"/>
  <c r="AS336" i="10"/>
  <c r="AS352" i="10"/>
  <c r="AS329" i="10"/>
  <c r="AS370" i="10"/>
  <c r="AS246" i="10"/>
  <c r="AS278" i="10"/>
  <c r="AS326" i="10"/>
  <c r="AS358" i="10"/>
  <c r="AS404" i="10"/>
  <c r="AS390" i="10"/>
  <c r="AS423" i="10"/>
  <c r="AS361" i="10"/>
  <c r="AS377" i="10"/>
  <c r="AS393" i="10"/>
  <c r="AS409" i="10"/>
  <c r="AS425" i="10"/>
  <c r="AS438" i="10"/>
  <c r="AS444" i="10"/>
  <c r="AS478" i="10"/>
  <c r="AS462" i="10"/>
  <c r="AS442" i="10"/>
  <c r="AS459" i="10"/>
  <c r="AS471" i="10"/>
  <c r="AS472" i="10"/>
  <c r="AS505" i="10"/>
  <c r="AS519" i="10"/>
  <c r="AS513" i="10"/>
  <c r="AS510" i="10"/>
  <c r="AS523" i="10"/>
  <c r="AS539" i="10"/>
  <c r="AS557" i="10"/>
  <c r="AS544" i="10"/>
  <c r="AS559" i="10"/>
  <c r="B54" i="10"/>
  <c r="B13" i="10"/>
  <c r="AS21" i="10"/>
  <c r="AS56" i="10"/>
  <c r="AS89" i="10"/>
  <c r="AS105" i="10"/>
  <c r="AS35" i="10"/>
  <c r="AS48" i="10"/>
  <c r="AS142" i="10"/>
  <c r="AS205" i="10"/>
  <c r="AS111" i="10"/>
  <c r="AS175" i="10"/>
  <c r="AS260" i="10"/>
  <c r="AS292" i="10"/>
  <c r="AS372" i="10"/>
  <c r="AS220" i="10"/>
  <c r="AS236" i="10"/>
  <c r="AS182" i="10"/>
  <c r="AS332" i="10"/>
  <c r="AS382" i="10"/>
  <c r="AS290" i="10"/>
  <c r="AS306" i="10"/>
  <c r="AS322" i="10"/>
  <c r="AS338" i="10"/>
  <c r="AS386" i="10"/>
  <c r="AS434" i="10"/>
  <c r="AS445" i="10"/>
  <c r="AS487" i="10"/>
  <c r="AS502" i="10"/>
  <c r="AS515" i="10"/>
  <c r="AS506" i="10"/>
  <c r="AS521" i="10"/>
  <c r="AS503" i="10"/>
  <c r="AS552" i="10"/>
  <c r="AS540" i="10"/>
  <c r="AS560" i="10"/>
  <c r="AM12" i="10"/>
  <c r="AG12" i="10"/>
  <c r="AP12" i="10"/>
  <c r="AJ12" i="10"/>
  <c r="AS47" i="10"/>
  <c r="AS113" i="10"/>
  <c r="AS71" i="10"/>
  <c r="AS102" i="10"/>
  <c r="AS215" i="10"/>
  <c r="AS119" i="10"/>
  <c r="AS183" i="10"/>
  <c r="AS96" i="10"/>
  <c r="AS112" i="10"/>
  <c r="AS144" i="10"/>
  <c r="AS271" i="10"/>
  <c r="AS303" i="10"/>
  <c r="AS367" i="10"/>
  <c r="AS222" i="10"/>
  <c r="AS238" i="10"/>
  <c r="AS253" i="10"/>
  <c r="AS269" i="10"/>
  <c r="AS285" i="10"/>
  <c r="AS308" i="10"/>
  <c r="AS317" i="10"/>
  <c r="AS349" i="10"/>
  <c r="AS266" i="10"/>
  <c r="AS330" i="10"/>
  <c r="AS392" i="10"/>
  <c r="AS395" i="10"/>
  <c r="AS411" i="10"/>
  <c r="AS381" i="10"/>
  <c r="AS466" i="10"/>
  <c r="AS476" i="10"/>
  <c r="AS525" i="10"/>
  <c r="AS514" i="10"/>
  <c r="AS511" i="10"/>
  <c r="AS526" i="10"/>
  <c r="AS545" i="10"/>
  <c r="AS558" i="10"/>
  <c r="AG13" i="10"/>
  <c r="AM13" i="10"/>
  <c r="AP13" i="10"/>
  <c r="AJ13" i="10"/>
  <c r="B51" i="10"/>
  <c r="AS26" i="10"/>
  <c r="AS49" i="10"/>
  <c r="AS66" i="10"/>
  <c r="AS133" i="10"/>
  <c r="AS31" i="10"/>
  <c r="AS79" i="10"/>
  <c r="AS173" i="10"/>
  <c r="AS189" i="10"/>
  <c r="AS106" i="10"/>
  <c r="AS122" i="10"/>
  <c r="AS235" i="10"/>
  <c r="AS123" i="10"/>
  <c r="AS171" i="10"/>
  <c r="AS256" i="10"/>
  <c r="AS288" i="10"/>
  <c r="AS70" i="10"/>
  <c r="AS116" i="10"/>
  <c r="AS148" i="10"/>
  <c r="AS209" i="10"/>
  <c r="AS225" i="10"/>
  <c r="AS241" i="10"/>
  <c r="AS360" i="10"/>
  <c r="AS305" i="10"/>
  <c r="AS351" i="10"/>
  <c r="AS328" i="10"/>
  <c r="AS270" i="10"/>
  <c r="AS302" i="10"/>
  <c r="AS401" i="10"/>
  <c r="AS417" i="10"/>
  <c r="AS452" i="10"/>
  <c r="AS441" i="10"/>
  <c r="AS470" i="10"/>
  <c r="AS467" i="10"/>
  <c r="AS480" i="10"/>
  <c r="AS518" i="10"/>
  <c r="AS556" i="10"/>
  <c r="T8" i="10"/>
  <c r="T12" i="10"/>
  <c r="T13" i="10"/>
  <c r="T7" i="10"/>
  <c r="B16" i="10"/>
  <c r="P15" i="10" s="1"/>
  <c r="B11" i="10"/>
  <c r="B40" i="10"/>
  <c r="B52" i="10" s="1"/>
  <c r="AI537" i="10"/>
  <c r="AH537" i="10"/>
  <c r="AI502" i="10"/>
  <c r="AH502" i="10"/>
  <c r="AH385" i="10"/>
  <c r="AI385" i="10"/>
  <c r="AH336" i="10"/>
  <c r="AI336" i="10"/>
  <c r="AH305" i="10"/>
  <c r="AI305" i="10"/>
  <c r="AH269" i="10"/>
  <c r="AI269" i="10"/>
  <c r="AH245" i="10"/>
  <c r="AI245" i="10"/>
  <c r="AI226" i="10"/>
  <c r="AH226" i="10"/>
  <c r="AI155" i="10"/>
  <c r="AH155" i="10"/>
  <c r="AH118" i="10"/>
  <c r="AI118" i="10"/>
  <c r="AH200" i="10"/>
  <c r="AI200" i="10"/>
  <c r="AI22" i="10"/>
  <c r="AH22" i="10"/>
  <c r="AH558" i="10"/>
  <c r="AI558" i="10"/>
  <c r="AH497" i="10"/>
  <c r="AI497" i="10"/>
  <c r="AI490" i="10"/>
  <c r="AH490" i="10"/>
  <c r="AH429" i="10"/>
  <c r="AI429" i="10"/>
  <c r="AI396" i="10"/>
  <c r="AH396" i="10"/>
  <c r="AH348" i="10"/>
  <c r="AI348" i="10"/>
  <c r="AI193" i="10"/>
  <c r="AH193" i="10"/>
  <c r="AH276" i="10"/>
  <c r="AI276" i="10"/>
  <c r="AI238" i="10"/>
  <c r="AH238" i="10"/>
  <c r="AH208" i="10"/>
  <c r="AI208" i="10"/>
  <c r="AI174" i="10"/>
  <c r="AH174" i="10"/>
  <c r="AH130" i="10"/>
  <c r="AI130" i="10"/>
  <c r="AH42" i="10"/>
  <c r="AI42" i="10"/>
  <c r="AH40" i="10"/>
  <c r="AI40" i="10"/>
  <c r="AI535" i="10"/>
  <c r="AH535" i="10"/>
  <c r="AH471" i="10"/>
  <c r="AI471" i="10"/>
  <c r="AI400" i="10"/>
  <c r="AH400" i="10"/>
  <c r="AI321" i="10"/>
  <c r="AH321" i="10"/>
  <c r="AH281" i="10"/>
  <c r="AI281" i="10"/>
  <c r="AI519" i="10"/>
  <c r="AH519" i="10"/>
  <c r="AI506" i="10"/>
  <c r="AH506" i="10"/>
  <c r="AI456" i="10"/>
  <c r="AH456" i="10"/>
  <c r="AI426" i="10"/>
  <c r="AH426" i="10"/>
  <c r="AH393" i="10"/>
  <c r="AI393" i="10"/>
  <c r="AI392" i="10"/>
  <c r="AH392" i="10"/>
  <c r="AI349" i="10"/>
  <c r="AH349" i="10"/>
  <c r="AI317" i="10"/>
  <c r="AH317" i="10"/>
  <c r="AH312" i="10"/>
  <c r="AI312" i="10"/>
  <c r="AH387" i="10"/>
  <c r="AI387" i="10"/>
  <c r="AI218" i="10"/>
  <c r="AH218" i="10"/>
  <c r="AI117" i="10"/>
  <c r="AH117" i="10"/>
  <c r="AI101" i="10"/>
  <c r="AH101" i="10"/>
  <c r="AI147" i="10"/>
  <c r="AH147" i="10"/>
  <c r="AH142" i="10"/>
  <c r="AI142" i="10"/>
  <c r="AH78" i="10"/>
  <c r="AI78" i="10"/>
  <c r="AI64" i="10"/>
  <c r="AH64" i="10"/>
  <c r="AH30" i="10"/>
  <c r="AI30" i="10"/>
  <c r="AH530" i="10"/>
  <c r="AI530" i="10"/>
  <c r="AI329" i="10"/>
  <c r="AH329" i="10"/>
  <c r="AH261" i="10"/>
  <c r="AI261" i="10"/>
  <c r="AH538" i="10"/>
  <c r="AI538" i="10"/>
  <c r="AI514" i="10"/>
  <c r="AH514" i="10"/>
  <c r="AI494" i="10"/>
  <c r="AH494" i="10"/>
  <c r="AI451" i="10"/>
  <c r="AH451" i="10"/>
  <c r="AH444" i="10"/>
  <c r="AI444" i="10"/>
  <c r="AH405" i="10"/>
  <c r="AI405" i="10"/>
  <c r="AI388" i="10"/>
  <c r="AH388" i="10"/>
  <c r="AH356" i="10"/>
  <c r="AI356" i="10"/>
  <c r="AH241" i="10"/>
  <c r="AI241" i="10"/>
  <c r="AH373" i="10"/>
  <c r="AI373" i="10"/>
  <c r="AH288" i="10"/>
  <c r="AI288" i="10"/>
  <c r="AH256" i="10"/>
  <c r="AI256" i="10"/>
  <c r="AI85" i="10"/>
  <c r="AH85" i="10"/>
  <c r="AI194" i="10"/>
  <c r="AH194" i="10"/>
  <c r="AH154" i="10"/>
  <c r="AI154" i="10"/>
  <c r="AH98" i="10"/>
  <c r="AI98" i="10"/>
  <c r="AI19" i="10"/>
  <c r="AH19" i="10"/>
  <c r="AI39" i="10"/>
  <c r="AH39" i="10"/>
  <c r="AH88" i="10"/>
  <c r="AI88" i="10"/>
  <c r="AI44" i="10"/>
  <c r="AH44" i="10"/>
  <c r="AI55" i="10"/>
  <c r="AH55" i="10"/>
  <c r="AI104" i="10"/>
  <c r="AH104" i="10"/>
  <c r="AI120" i="10"/>
  <c r="AH120" i="10"/>
  <c r="AI136" i="10"/>
  <c r="AH136" i="10"/>
  <c r="AI152" i="10"/>
  <c r="AH152" i="10"/>
  <c r="AI48" i="10"/>
  <c r="AH48" i="10"/>
  <c r="AH76" i="10"/>
  <c r="AI76" i="10"/>
  <c r="AH164" i="10"/>
  <c r="AI164" i="10"/>
  <c r="AI206" i="10"/>
  <c r="AH206" i="10"/>
  <c r="AI202" i="10"/>
  <c r="AH202" i="10"/>
  <c r="AH172" i="10"/>
  <c r="AI172" i="10"/>
  <c r="AI26" i="10"/>
  <c r="AH26" i="10"/>
  <c r="AI149" i="10"/>
  <c r="AH149" i="10"/>
  <c r="AI247" i="10"/>
  <c r="AH247" i="10"/>
  <c r="AI263" i="10"/>
  <c r="AH263" i="10"/>
  <c r="AI279" i="10"/>
  <c r="AH279" i="10"/>
  <c r="AI295" i="10"/>
  <c r="AH295" i="10"/>
  <c r="AH224" i="10"/>
  <c r="AI224" i="10"/>
  <c r="AH240" i="10"/>
  <c r="AI240" i="10"/>
  <c r="AH254" i="10"/>
  <c r="AI254" i="10"/>
  <c r="AH270" i="10"/>
  <c r="AI270" i="10"/>
  <c r="AH286" i="10"/>
  <c r="AI286" i="10"/>
  <c r="AI67" i="10"/>
  <c r="AH67" i="10"/>
  <c r="AI87" i="10"/>
  <c r="AH87" i="10"/>
  <c r="AI103" i="10"/>
  <c r="AH103" i="10"/>
  <c r="AI119" i="10"/>
  <c r="AH119" i="10"/>
  <c r="AI171" i="10"/>
  <c r="AH171" i="10"/>
  <c r="AI187" i="10"/>
  <c r="AH187" i="10"/>
  <c r="AI318" i="10"/>
  <c r="AH318" i="10"/>
  <c r="AI334" i="10"/>
  <c r="AH334" i="10"/>
  <c r="AI350" i="10"/>
  <c r="AH350" i="10"/>
  <c r="AH302" i="10"/>
  <c r="AI302" i="10"/>
  <c r="AI203" i="10"/>
  <c r="AH203" i="10"/>
  <c r="AI219" i="10"/>
  <c r="AH219" i="10"/>
  <c r="AI235" i="10"/>
  <c r="AH235" i="10"/>
  <c r="AH367" i="10"/>
  <c r="AI367" i="10"/>
  <c r="AI315" i="10"/>
  <c r="AH315" i="10"/>
  <c r="AI331" i="10"/>
  <c r="AH331" i="10"/>
  <c r="AI347" i="10"/>
  <c r="AH347" i="10"/>
  <c r="AI362" i="10"/>
  <c r="AH362" i="10"/>
  <c r="AH436" i="10"/>
  <c r="AI436" i="10"/>
  <c r="AH379" i="10"/>
  <c r="AI379" i="10"/>
  <c r="AH399" i="10"/>
  <c r="AI399" i="10"/>
  <c r="AH415" i="10"/>
  <c r="AI415" i="10"/>
  <c r="AI370" i="10"/>
  <c r="AH370" i="10"/>
  <c r="AH455" i="10"/>
  <c r="AI455" i="10"/>
  <c r="AI450" i="10"/>
  <c r="AH450" i="10"/>
  <c r="AI398" i="10"/>
  <c r="AH398" i="10"/>
  <c r="AI414" i="10"/>
  <c r="AH414" i="10"/>
  <c r="AI481" i="10"/>
  <c r="AH481" i="10"/>
  <c r="AH467" i="10"/>
  <c r="AI467" i="10"/>
  <c r="AI445" i="10"/>
  <c r="AH445" i="10"/>
  <c r="AI458" i="10"/>
  <c r="AH458" i="10"/>
  <c r="AI488" i="10"/>
  <c r="AH488" i="10"/>
  <c r="AI478" i="10"/>
  <c r="AH478" i="10"/>
  <c r="AH495" i="10"/>
  <c r="AI495" i="10"/>
  <c r="AI528" i="10"/>
  <c r="AH528" i="10"/>
  <c r="AH518" i="10"/>
  <c r="AI518" i="10"/>
  <c r="AI521" i="10"/>
  <c r="AH521" i="10"/>
  <c r="AI540" i="10"/>
  <c r="AH540" i="10"/>
  <c r="AH544" i="10"/>
  <c r="AI544" i="10"/>
  <c r="AI545" i="10"/>
  <c r="AH545" i="10"/>
  <c r="AQ560" i="10"/>
  <c r="AR560" i="10"/>
  <c r="AR521" i="10"/>
  <c r="AQ521" i="10"/>
  <c r="AR441" i="10"/>
  <c r="AQ441" i="10"/>
  <c r="AQ330" i="10"/>
  <c r="AR330" i="10"/>
  <c r="AR308" i="10"/>
  <c r="AQ308" i="10"/>
  <c r="AR288" i="10"/>
  <c r="AQ288" i="10"/>
  <c r="AR256" i="10"/>
  <c r="AQ256" i="10"/>
  <c r="AR171" i="10"/>
  <c r="AQ171" i="10"/>
  <c r="AR123" i="10"/>
  <c r="AQ123" i="10"/>
  <c r="AQ31" i="10"/>
  <c r="AR31" i="10"/>
  <c r="AQ48" i="10"/>
  <c r="AR48" i="10"/>
  <c r="AR129" i="10"/>
  <c r="AQ129" i="10"/>
  <c r="AR77" i="10"/>
  <c r="AQ77" i="10"/>
  <c r="AR29" i="10"/>
  <c r="AQ29" i="10"/>
  <c r="AR552" i="10"/>
  <c r="AQ552" i="10"/>
  <c r="AR517" i="10"/>
  <c r="AQ517" i="10"/>
  <c r="AR497" i="10"/>
  <c r="AQ497" i="10"/>
  <c r="AR454" i="10"/>
  <c r="AQ454" i="10"/>
  <c r="AR408" i="10"/>
  <c r="AQ408" i="10"/>
  <c r="AQ423" i="10"/>
  <c r="AR423" i="10"/>
  <c r="AQ437" i="10"/>
  <c r="AR437" i="10"/>
  <c r="AR374" i="10"/>
  <c r="AQ374" i="10"/>
  <c r="AR447" i="10"/>
  <c r="AQ447" i="10"/>
  <c r="AR333" i="10"/>
  <c r="AQ333" i="10"/>
  <c r="AQ432" i="10"/>
  <c r="AR432" i="10"/>
  <c r="AR336" i="10"/>
  <c r="AQ336" i="10"/>
  <c r="AQ287" i="10"/>
  <c r="AR287" i="10"/>
  <c r="AQ255" i="10"/>
  <c r="AR255" i="10"/>
  <c r="AR331" i="10"/>
  <c r="AQ331" i="10"/>
  <c r="AR211" i="10"/>
  <c r="AQ211" i="10"/>
  <c r="AQ132" i="10"/>
  <c r="AR132" i="10"/>
  <c r="AQ100" i="10"/>
  <c r="AR100" i="10"/>
  <c r="AR159" i="10"/>
  <c r="AQ159" i="10"/>
  <c r="AQ84" i="10"/>
  <c r="AR84" i="10"/>
  <c r="AR204" i="10"/>
  <c r="AQ204" i="10"/>
  <c r="AQ170" i="10"/>
  <c r="AR170" i="10"/>
  <c r="AR60" i="10"/>
  <c r="AQ60" i="10"/>
  <c r="AR141" i="10"/>
  <c r="AQ141" i="10"/>
  <c r="AQ78" i="10"/>
  <c r="AR78" i="10"/>
  <c r="AR38" i="10"/>
  <c r="AQ38" i="10"/>
  <c r="AR53" i="10"/>
  <c r="AQ53" i="10"/>
  <c r="AR531" i="10"/>
  <c r="AQ531" i="10"/>
  <c r="AR474" i="10"/>
  <c r="AQ474" i="10"/>
  <c r="AR378" i="10"/>
  <c r="AQ378" i="10"/>
  <c r="AQ436" i="10"/>
  <c r="AR436" i="10"/>
  <c r="AQ548" i="10"/>
  <c r="AR548" i="10"/>
  <c r="AR549" i="10"/>
  <c r="AQ549" i="10"/>
  <c r="AQ520" i="10"/>
  <c r="AR520" i="10"/>
  <c r="AR483" i="10"/>
  <c r="AQ483" i="10"/>
  <c r="AR482" i="10"/>
  <c r="AQ482" i="10"/>
  <c r="AQ403" i="10"/>
  <c r="AR403" i="10"/>
  <c r="AR418" i="10"/>
  <c r="AQ418" i="10"/>
  <c r="AQ358" i="10"/>
  <c r="AR358" i="10"/>
  <c r="AQ326" i="10"/>
  <c r="AR326" i="10"/>
  <c r="AQ361" i="10"/>
  <c r="AR361" i="10"/>
  <c r="AQ377" i="10"/>
  <c r="AR377" i="10"/>
  <c r="AR327" i="10"/>
  <c r="AQ327" i="10"/>
  <c r="AR223" i="10"/>
  <c r="AQ223" i="10"/>
  <c r="AR276" i="10"/>
  <c r="AQ276" i="10"/>
  <c r="AQ195" i="10"/>
  <c r="AR195" i="10"/>
  <c r="AQ208" i="10"/>
  <c r="AR208" i="10"/>
  <c r="AQ33" i="10"/>
  <c r="AR33" i="10"/>
  <c r="AR196" i="10"/>
  <c r="AQ196" i="10"/>
  <c r="AQ58" i="10"/>
  <c r="AR58" i="10"/>
  <c r="AR153" i="10"/>
  <c r="AQ153" i="10"/>
  <c r="AQ90" i="10"/>
  <c r="AR90" i="10"/>
  <c r="AR44" i="10"/>
  <c r="AQ44" i="10"/>
  <c r="AR513" i="10"/>
  <c r="AQ513" i="10"/>
  <c r="AQ492" i="10"/>
  <c r="AR492" i="10"/>
  <c r="AR410" i="10"/>
  <c r="AQ410" i="10"/>
  <c r="AR300" i="10"/>
  <c r="AQ300" i="10"/>
  <c r="AQ559" i="10"/>
  <c r="AR559" i="10"/>
  <c r="AQ536" i="10"/>
  <c r="AR536" i="10"/>
  <c r="AQ528" i="10"/>
  <c r="AR528" i="10"/>
  <c r="AR510" i="10"/>
  <c r="AQ510" i="10"/>
  <c r="AQ485" i="10"/>
  <c r="AR485" i="10"/>
  <c r="AR501" i="10"/>
  <c r="AQ501" i="10"/>
  <c r="AR458" i="10"/>
  <c r="AQ458" i="10"/>
  <c r="AR412" i="10"/>
  <c r="AQ412" i="10"/>
  <c r="AQ415" i="10"/>
  <c r="AR415" i="10"/>
  <c r="AR430" i="10"/>
  <c r="AQ430" i="10"/>
  <c r="AR435" i="10"/>
  <c r="AQ435" i="10"/>
  <c r="AQ369" i="10"/>
  <c r="AR369" i="10"/>
  <c r="AR337" i="10"/>
  <c r="AQ337" i="10"/>
  <c r="AR307" i="10"/>
  <c r="AQ307" i="10"/>
  <c r="AR312" i="10"/>
  <c r="AQ312" i="10"/>
  <c r="AQ275" i="10"/>
  <c r="AR275" i="10"/>
  <c r="AR355" i="10"/>
  <c r="AQ355" i="10"/>
  <c r="AR219" i="10"/>
  <c r="AQ219" i="10"/>
  <c r="AQ136" i="10"/>
  <c r="AR136" i="10"/>
  <c r="AQ104" i="10"/>
  <c r="AR104" i="10"/>
  <c r="AR151" i="10"/>
  <c r="AQ151" i="10"/>
  <c r="AQ92" i="10"/>
  <c r="AR92" i="10"/>
  <c r="AR28" i="10"/>
  <c r="AQ28" i="10"/>
  <c r="AQ174" i="10"/>
  <c r="AR174" i="10"/>
  <c r="AR63" i="10"/>
  <c r="AQ63" i="10"/>
  <c r="AR117" i="10"/>
  <c r="AQ117" i="10"/>
  <c r="AR52" i="10"/>
  <c r="AQ52" i="10"/>
  <c r="AR46" i="10"/>
  <c r="AQ46" i="10"/>
  <c r="AR30" i="10"/>
  <c r="AQ30" i="10"/>
  <c r="AR34" i="10"/>
  <c r="AQ34" i="10"/>
  <c r="AQ250" i="10"/>
  <c r="AR250" i="10"/>
  <c r="AR61" i="10"/>
  <c r="AQ61" i="10"/>
  <c r="AR176" i="10"/>
  <c r="AQ176" i="10"/>
  <c r="AR192" i="10"/>
  <c r="AQ192" i="10"/>
  <c r="AR134" i="10"/>
  <c r="AQ134" i="10"/>
  <c r="AQ246" i="10"/>
  <c r="AR246" i="10"/>
  <c r="AQ278" i="10"/>
  <c r="AR278" i="10"/>
  <c r="AR110" i="10"/>
  <c r="AQ110" i="10"/>
  <c r="AR126" i="10"/>
  <c r="AQ126" i="10"/>
  <c r="AR146" i="10"/>
  <c r="AQ146" i="10"/>
  <c r="AQ202" i="10"/>
  <c r="AR202" i="10"/>
  <c r="AQ224" i="10"/>
  <c r="AR224" i="10"/>
  <c r="AQ240" i="10"/>
  <c r="AR240" i="10"/>
  <c r="AR177" i="10"/>
  <c r="AQ177" i="10"/>
  <c r="AR193" i="10"/>
  <c r="AQ193" i="10"/>
  <c r="AQ210" i="10"/>
  <c r="AR210" i="10"/>
  <c r="AQ226" i="10"/>
  <c r="AR226" i="10"/>
  <c r="AQ242" i="10"/>
  <c r="AR242" i="10"/>
  <c r="AR257" i="10"/>
  <c r="AQ257" i="10"/>
  <c r="AR273" i="10"/>
  <c r="AQ273" i="10"/>
  <c r="AR289" i="10"/>
  <c r="AQ289" i="10"/>
  <c r="AR213" i="10"/>
  <c r="AQ213" i="10"/>
  <c r="AR229" i="10"/>
  <c r="AQ229" i="10"/>
  <c r="AQ371" i="10"/>
  <c r="AR371" i="10"/>
  <c r="AQ389" i="10"/>
  <c r="AR389" i="10"/>
  <c r="AQ405" i="10"/>
  <c r="AR405" i="10"/>
  <c r="AQ421" i="10"/>
  <c r="AR421" i="10"/>
  <c r="AQ375" i="10"/>
  <c r="AR375" i="10"/>
  <c r="AQ385" i="10"/>
  <c r="AR385" i="10"/>
  <c r="AR440" i="10"/>
  <c r="AQ440" i="10"/>
  <c r="AR455" i="10"/>
  <c r="AQ455" i="10"/>
  <c r="AR471" i="10"/>
  <c r="AQ471" i="10"/>
  <c r="AR489" i="10"/>
  <c r="AQ489" i="10"/>
  <c r="AQ495" i="10"/>
  <c r="AR495" i="10"/>
  <c r="AR519" i="10"/>
  <c r="AQ519" i="10"/>
  <c r="AQ544" i="10"/>
  <c r="AR544" i="10"/>
  <c r="AI533" i="10"/>
  <c r="AH533" i="10"/>
  <c r="AI461" i="10"/>
  <c r="AH461" i="10"/>
  <c r="AI353" i="10"/>
  <c r="AH353" i="10"/>
  <c r="AH320" i="10"/>
  <c r="AI320" i="10"/>
  <c r="AH297" i="10"/>
  <c r="AI297" i="10"/>
  <c r="AH257" i="10"/>
  <c r="AI257" i="10"/>
  <c r="AI181" i="10"/>
  <c r="AH181" i="10"/>
  <c r="AI210" i="10"/>
  <c r="AH210" i="10"/>
  <c r="AI139" i="10"/>
  <c r="AH139" i="10"/>
  <c r="AH102" i="10"/>
  <c r="AI102" i="10"/>
  <c r="AI66" i="10"/>
  <c r="AH66" i="10"/>
  <c r="AH34" i="10"/>
  <c r="AI34" i="10"/>
  <c r="AH553" i="10"/>
  <c r="AI553" i="10"/>
  <c r="AH487" i="10"/>
  <c r="AI487" i="10"/>
  <c r="AH483" i="10"/>
  <c r="AI483" i="10"/>
  <c r="AH413" i="10"/>
  <c r="AI413" i="10"/>
  <c r="AH380" i="10"/>
  <c r="AI380" i="10"/>
  <c r="AH332" i="10"/>
  <c r="AI332" i="10"/>
  <c r="AH217" i="10"/>
  <c r="AI217" i="10"/>
  <c r="AI177" i="10"/>
  <c r="AH177" i="10"/>
  <c r="AH268" i="10"/>
  <c r="AI268" i="10"/>
  <c r="AI222" i="10"/>
  <c r="AH222" i="10"/>
  <c r="AI151" i="10"/>
  <c r="AH151" i="10"/>
  <c r="AI62" i="10"/>
  <c r="AH62" i="10"/>
  <c r="AI166" i="10"/>
  <c r="AH166" i="10"/>
  <c r="AH114" i="10"/>
  <c r="AI114" i="10"/>
  <c r="AI35" i="10"/>
  <c r="AH35" i="10"/>
  <c r="AH69" i="10"/>
  <c r="AI69" i="10"/>
  <c r="AI520" i="10"/>
  <c r="AH520" i="10"/>
  <c r="AH440" i="10"/>
  <c r="AI440" i="10"/>
  <c r="AI384" i="10"/>
  <c r="AH384" i="10"/>
  <c r="AI205" i="10"/>
  <c r="AH205" i="10"/>
  <c r="AH265" i="10"/>
  <c r="AI265" i="10"/>
  <c r="AI527" i="10"/>
  <c r="AH527" i="10"/>
  <c r="AI498" i="10"/>
  <c r="AH498" i="10"/>
  <c r="AI480" i="10"/>
  <c r="AH480" i="10"/>
  <c r="AI422" i="10"/>
  <c r="AH422" i="10"/>
  <c r="AI465" i="10"/>
  <c r="AH465" i="10"/>
  <c r="AH376" i="10"/>
  <c r="AI376" i="10"/>
  <c r="AI341" i="10"/>
  <c r="AH341" i="10"/>
  <c r="AI309" i="10"/>
  <c r="AH309" i="10"/>
  <c r="AH229" i="10"/>
  <c r="AI229" i="10"/>
  <c r="AI189" i="10"/>
  <c r="AH189" i="10"/>
  <c r="AI129" i="10"/>
  <c r="AH129" i="10"/>
  <c r="AI113" i="10"/>
  <c r="AH113" i="10"/>
  <c r="AI97" i="10"/>
  <c r="AH97" i="10"/>
  <c r="AI131" i="10"/>
  <c r="AH131" i="10"/>
  <c r="AH126" i="10"/>
  <c r="AI126" i="10"/>
  <c r="AH56" i="10"/>
  <c r="AI56" i="10"/>
  <c r="AI52" i="10"/>
  <c r="AH52" i="10"/>
  <c r="AH57" i="10"/>
  <c r="AI57" i="10"/>
  <c r="AI510" i="10"/>
  <c r="AH510" i="10"/>
  <c r="AH301" i="10"/>
  <c r="AI301" i="10"/>
  <c r="AI550" i="10"/>
  <c r="AH550" i="10"/>
  <c r="AI515" i="10"/>
  <c r="AH515" i="10"/>
  <c r="AH509" i="10"/>
  <c r="AI509" i="10"/>
  <c r="AI468" i="10"/>
  <c r="AH468" i="10"/>
  <c r="AI447" i="10"/>
  <c r="AH447" i="10"/>
  <c r="AI430" i="10"/>
  <c r="AH430" i="10"/>
  <c r="AH389" i="10"/>
  <c r="AI389" i="10"/>
  <c r="AH372" i="10"/>
  <c r="AI372" i="10"/>
  <c r="AH340" i="10"/>
  <c r="AI340" i="10"/>
  <c r="AH225" i="10"/>
  <c r="AI225" i="10"/>
  <c r="AI185" i="10"/>
  <c r="AH185" i="10"/>
  <c r="AH280" i="10"/>
  <c r="AI280" i="10"/>
  <c r="AH248" i="10"/>
  <c r="AI248" i="10"/>
  <c r="AI159" i="10"/>
  <c r="AH159" i="10"/>
  <c r="AI186" i="10"/>
  <c r="AH186" i="10"/>
  <c r="AH138" i="10"/>
  <c r="AI138" i="10"/>
  <c r="AH82" i="10"/>
  <c r="AI82" i="10"/>
  <c r="AH23" i="10"/>
  <c r="AI23" i="10"/>
  <c r="AH168" i="10"/>
  <c r="AI168" i="10"/>
  <c r="AI46" i="10"/>
  <c r="AH46" i="10"/>
  <c r="AI59" i="10"/>
  <c r="AH59" i="10"/>
  <c r="AI108" i="10"/>
  <c r="AH108" i="10"/>
  <c r="AI124" i="10"/>
  <c r="AH124" i="10"/>
  <c r="AI140" i="10"/>
  <c r="AH140" i="10"/>
  <c r="AI156" i="10"/>
  <c r="AH156" i="10"/>
  <c r="AI63" i="10"/>
  <c r="AH63" i="10"/>
  <c r="AH80" i="10"/>
  <c r="AI80" i="10"/>
  <c r="AH180" i="10"/>
  <c r="AI180" i="10"/>
  <c r="AI20" i="10"/>
  <c r="AH20" i="10"/>
  <c r="AI58" i="10"/>
  <c r="AH58" i="10"/>
  <c r="AH176" i="10"/>
  <c r="AI176" i="10"/>
  <c r="AI137" i="10"/>
  <c r="AH137" i="10"/>
  <c r="AI153" i="10"/>
  <c r="AH153" i="10"/>
  <c r="AI251" i="10"/>
  <c r="AH251" i="10"/>
  <c r="AI267" i="10"/>
  <c r="AH267" i="10"/>
  <c r="AI283" i="10"/>
  <c r="AH283" i="10"/>
  <c r="AH212" i="10"/>
  <c r="AI212" i="10"/>
  <c r="AH228" i="10"/>
  <c r="AI228" i="10"/>
  <c r="AH244" i="10"/>
  <c r="AI244" i="10"/>
  <c r="AH258" i="10"/>
  <c r="AI258" i="10"/>
  <c r="AH274" i="10"/>
  <c r="AI274" i="10"/>
  <c r="AH290" i="10"/>
  <c r="AI290" i="10"/>
  <c r="AI75" i="10"/>
  <c r="AH75" i="10"/>
  <c r="AI91" i="10"/>
  <c r="AH91" i="10"/>
  <c r="AI107" i="10"/>
  <c r="AH107" i="10"/>
  <c r="AI123" i="10"/>
  <c r="AH123" i="10"/>
  <c r="AI175" i="10"/>
  <c r="AH175" i="10"/>
  <c r="AI191" i="10"/>
  <c r="AH191" i="10"/>
  <c r="AI322" i="10"/>
  <c r="AH322" i="10"/>
  <c r="AI338" i="10"/>
  <c r="AH338" i="10"/>
  <c r="AI354" i="10"/>
  <c r="AH354" i="10"/>
  <c r="AI303" i="10"/>
  <c r="AH303" i="10"/>
  <c r="AI207" i="10"/>
  <c r="AH207" i="10"/>
  <c r="AI223" i="10"/>
  <c r="AH223" i="10"/>
  <c r="AI239" i="10"/>
  <c r="AH239" i="10"/>
  <c r="AI306" i="10"/>
  <c r="AH306" i="10"/>
  <c r="AI319" i="10"/>
  <c r="AH319" i="10"/>
  <c r="AI335" i="10"/>
  <c r="AH335" i="10"/>
  <c r="AI351" i="10"/>
  <c r="AH351" i="10"/>
  <c r="AI366" i="10"/>
  <c r="AH366" i="10"/>
  <c r="AI437" i="10"/>
  <c r="AH437" i="10"/>
  <c r="AH383" i="10"/>
  <c r="AI383" i="10"/>
  <c r="AH403" i="10"/>
  <c r="AI403" i="10"/>
  <c r="AH419" i="10"/>
  <c r="AI419" i="10"/>
  <c r="AI374" i="10"/>
  <c r="AH374" i="10"/>
  <c r="AI438" i="10"/>
  <c r="AH438" i="10"/>
  <c r="AI386" i="10"/>
  <c r="AH386" i="10"/>
  <c r="AI402" i="10"/>
  <c r="AH402" i="10"/>
  <c r="AI418" i="10"/>
  <c r="AH418" i="10"/>
  <c r="AI485" i="10"/>
  <c r="AH485" i="10"/>
  <c r="AI428" i="10"/>
  <c r="AH428" i="10"/>
  <c r="AI449" i="10"/>
  <c r="AH449" i="10"/>
  <c r="AI462" i="10"/>
  <c r="AH462" i="10"/>
  <c r="AI492" i="10"/>
  <c r="AH492" i="10"/>
  <c r="AI482" i="10"/>
  <c r="AH482" i="10"/>
  <c r="AI511" i="10"/>
  <c r="AH511" i="10"/>
  <c r="AH499" i="10"/>
  <c r="AI499" i="10"/>
  <c r="AI508" i="10"/>
  <c r="AH508" i="10"/>
  <c r="AI525" i="10"/>
  <c r="AH525" i="10"/>
  <c r="AI548" i="10"/>
  <c r="AH548" i="10"/>
  <c r="AI555" i="10"/>
  <c r="AH555" i="10"/>
  <c r="AI549" i="10"/>
  <c r="AH549" i="10"/>
  <c r="AR546" i="10"/>
  <c r="AQ546" i="10"/>
  <c r="AQ487" i="10"/>
  <c r="AR487" i="10"/>
  <c r="AR394" i="10"/>
  <c r="AQ394" i="10"/>
  <c r="AQ314" i="10"/>
  <c r="AR314" i="10"/>
  <c r="AQ387" i="10"/>
  <c r="AR387" i="10"/>
  <c r="AR280" i="10"/>
  <c r="AQ280" i="10"/>
  <c r="AR248" i="10"/>
  <c r="AQ248" i="10"/>
  <c r="AR155" i="10"/>
  <c r="AQ155" i="10"/>
  <c r="AR107" i="10"/>
  <c r="AQ107" i="10"/>
  <c r="AR91" i="10"/>
  <c r="AQ91" i="10"/>
  <c r="AQ19" i="10"/>
  <c r="AR19" i="10"/>
  <c r="AR113" i="10"/>
  <c r="AQ113" i="10"/>
  <c r="AR56" i="10"/>
  <c r="AQ56" i="10"/>
  <c r="AR538" i="10"/>
  <c r="AQ538" i="10"/>
  <c r="AR504" i="10"/>
  <c r="AQ504" i="10"/>
  <c r="AQ493" i="10"/>
  <c r="AR493" i="10"/>
  <c r="AQ446" i="10"/>
  <c r="AR446" i="10"/>
  <c r="AR400" i="10"/>
  <c r="AQ400" i="10"/>
  <c r="AQ407" i="10"/>
  <c r="AR407" i="10"/>
  <c r="AR422" i="10"/>
  <c r="AQ422" i="10"/>
  <c r="AR428" i="10"/>
  <c r="AQ428" i="10"/>
  <c r="AR357" i="10"/>
  <c r="AQ357" i="10"/>
  <c r="AR325" i="10"/>
  <c r="AQ325" i="10"/>
  <c r="AR368" i="10"/>
  <c r="AQ368" i="10"/>
  <c r="AR320" i="10"/>
  <c r="AQ320" i="10"/>
  <c r="AQ279" i="10"/>
  <c r="AR279" i="10"/>
  <c r="AQ247" i="10"/>
  <c r="AR247" i="10"/>
  <c r="AR315" i="10"/>
  <c r="AQ315" i="10"/>
  <c r="AQ156" i="10"/>
  <c r="AR156" i="10"/>
  <c r="AQ124" i="10"/>
  <c r="AR124" i="10"/>
  <c r="AQ199" i="10"/>
  <c r="AR199" i="10"/>
  <c r="AR143" i="10"/>
  <c r="AQ143" i="10"/>
  <c r="AQ41" i="10"/>
  <c r="AR41" i="10"/>
  <c r="AQ194" i="10"/>
  <c r="AR194" i="10"/>
  <c r="AR95" i="10"/>
  <c r="AQ95" i="10"/>
  <c r="AR22" i="10"/>
  <c r="AQ22" i="10"/>
  <c r="AR125" i="10"/>
  <c r="AQ125" i="10"/>
  <c r="AR57" i="10"/>
  <c r="AQ57" i="10"/>
  <c r="AR73" i="10"/>
  <c r="AQ73" i="10"/>
  <c r="AR62" i="10"/>
  <c r="AQ62" i="10"/>
  <c r="AR488" i="10"/>
  <c r="AQ488" i="10"/>
  <c r="AR424" i="10"/>
  <c r="AQ424" i="10"/>
  <c r="AR366" i="10"/>
  <c r="AQ366" i="10"/>
  <c r="AR324" i="10"/>
  <c r="AQ324" i="10"/>
  <c r="AR553" i="10"/>
  <c r="AQ553" i="10"/>
  <c r="AQ532" i="10"/>
  <c r="AR532" i="10"/>
  <c r="AR484" i="10"/>
  <c r="AQ484" i="10"/>
  <c r="AR508" i="10"/>
  <c r="AQ508" i="10"/>
  <c r="AR468" i="10"/>
  <c r="AQ468" i="10"/>
  <c r="AQ461" i="10"/>
  <c r="AR461" i="10"/>
  <c r="AR402" i="10"/>
  <c r="AQ402" i="10"/>
  <c r="AQ350" i="10"/>
  <c r="AR350" i="10"/>
  <c r="AQ318" i="10"/>
  <c r="AR318" i="10"/>
  <c r="AR348" i="10"/>
  <c r="AQ348" i="10"/>
  <c r="AQ304" i="10"/>
  <c r="AR304" i="10"/>
  <c r="AR311" i="10"/>
  <c r="AQ311" i="10"/>
  <c r="AR244" i="10"/>
  <c r="AQ244" i="10"/>
  <c r="AR268" i="10"/>
  <c r="AQ268" i="10"/>
  <c r="AR179" i="10"/>
  <c r="AQ179" i="10"/>
  <c r="AR115" i="10"/>
  <c r="AQ115" i="10"/>
  <c r="AQ23" i="10"/>
  <c r="AR23" i="10"/>
  <c r="AR99" i="10"/>
  <c r="AQ99" i="10"/>
  <c r="AQ43" i="10"/>
  <c r="AR43" i="10"/>
  <c r="AR137" i="10"/>
  <c r="AQ137" i="10"/>
  <c r="AQ74" i="10"/>
  <c r="AR74" i="10"/>
  <c r="AR24" i="10"/>
  <c r="AQ24" i="10"/>
  <c r="AR529" i="10"/>
  <c r="AQ529" i="10"/>
  <c r="AQ496" i="10"/>
  <c r="AR496" i="10"/>
  <c r="AR376" i="10"/>
  <c r="AQ376" i="10"/>
  <c r="AQ373" i="10"/>
  <c r="AR373" i="10"/>
  <c r="AR557" i="10"/>
  <c r="AQ557" i="10"/>
  <c r="AR550" i="10"/>
  <c r="AQ550" i="10"/>
  <c r="AR537" i="10"/>
  <c r="AQ537" i="10"/>
  <c r="AR509" i="10"/>
  <c r="AQ509" i="10"/>
  <c r="AQ481" i="10"/>
  <c r="AR481" i="10"/>
  <c r="AR494" i="10"/>
  <c r="AQ494" i="10"/>
  <c r="AR478" i="10"/>
  <c r="AQ478" i="10"/>
  <c r="AR404" i="10"/>
  <c r="AQ404" i="10"/>
  <c r="AQ399" i="10"/>
  <c r="AR399" i="10"/>
  <c r="AR414" i="10"/>
  <c r="AQ414" i="10"/>
  <c r="AQ438" i="10"/>
  <c r="AR438" i="10"/>
  <c r="AQ365" i="10"/>
  <c r="AR365" i="10"/>
  <c r="AR329" i="10"/>
  <c r="AQ329" i="10"/>
  <c r="AR364" i="10"/>
  <c r="AQ364" i="10"/>
  <c r="AQ299" i="10"/>
  <c r="AR299" i="10"/>
  <c r="AQ267" i="10"/>
  <c r="AR267" i="10"/>
  <c r="AR339" i="10"/>
  <c r="AQ339" i="10"/>
  <c r="AQ160" i="10"/>
  <c r="AR160" i="10"/>
  <c r="AQ128" i="10"/>
  <c r="AR128" i="10"/>
  <c r="AQ207" i="10"/>
  <c r="AR207" i="10"/>
  <c r="AR135" i="10"/>
  <c r="AQ135" i="10"/>
  <c r="AQ76" i="10"/>
  <c r="AR76" i="10"/>
  <c r="AR97" i="10"/>
  <c r="AQ97" i="10"/>
  <c r="AQ166" i="10"/>
  <c r="AR166" i="10"/>
  <c r="AR200" i="10"/>
  <c r="AQ200" i="10"/>
  <c r="AR101" i="10"/>
  <c r="AQ101" i="10"/>
  <c r="AR45" i="10"/>
  <c r="AQ45" i="10"/>
  <c r="AR36" i="10"/>
  <c r="AQ36" i="10"/>
  <c r="AQ32" i="10"/>
  <c r="AR32" i="10"/>
  <c r="AR40" i="10"/>
  <c r="AQ40" i="10"/>
  <c r="AQ274" i="10"/>
  <c r="AR274" i="10"/>
  <c r="AR164" i="10"/>
  <c r="AQ164" i="10"/>
  <c r="AR180" i="10"/>
  <c r="AQ180" i="10"/>
  <c r="AQ198" i="10"/>
  <c r="AR198" i="10"/>
  <c r="AR150" i="10"/>
  <c r="AQ150" i="10"/>
  <c r="AQ254" i="10"/>
  <c r="AR254" i="10"/>
  <c r="AQ286" i="10"/>
  <c r="AR286" i="10"/>
  <c r="AR114" i="10"/>
  <c r="AQ114" i="10"/>
  <c r="AR130" i="10"/>
  <c r="AQ130" i="10"/>
  <c r="AR158" i="10"/>
  <c r="AQ158" i="10"/>
  <c r="AQ212" i="10"/>
  <c r="AR212" i="10"/>
  <c r="AQ228" i="10"/>
  <c r="AR228" i="10"/>
  <c r="AR165" i="10"/>
  <c r="AQ165" i="10"/>
  <c r="AR181" i="10"/>
  <c r="AQ181" i="10"/>
  <c r="AR197" i="10"/>
  <c r="AQ197" i="10"/>
  <c r="AQ214" i="10"/>
  <c r="AR214" i="10"/>
  <c r="AQ230" i="10"/>
  <c r="AR230" i="10"/>
  <c r="AR245" i="10"/>
  <c r="AQ245" i="10"/>
  <c r="AR261" i="10"/>
  <c r="AQ261" i="10"/>
  <c r="AR277" i="10"/>
  <c r="AQ277" i="10"/>
  <c r="AR293" i="10"/>
  <c r="AQ293" i="10"/>
  <c r="AR217" i="10"/>
  <c r="AQ217" i="10"/>
  <c r="AR233" i="10"/>
  <c r="AQ233" i="10"/>
  <c r="AQ379" i="10"/>
  <c r="AR379" i="10"/>
  <c r="AQ393" i="10"/>
  <c r="AR393" i="10"/>
  <c r="AQ409" i="10"/>
  <c r="AR409" i="10"/>
  <c r="AQ425" i="10"/>
  <c r="AR425" i="10"/>
  <c r="AQ383" i="10"/>
  <c r="AR383" i="10"/>
  <c r="AR431" i="10"/>
  <c r="AQ431" i="10"/>
  <c r="AR444" i="10"/>
  <c r="AQ444" i="10"/>
  <c r="AR459" i="10"/>
  <c r="AQ459" i="10"/>
  <c r="AR475" i="10"/>
  <c r="AQ475" i="10"/>
  <c r="AR505" i="10"/>
  <c r="AQ505" i="10"/>
  <c r="AQ499" i="10"/>
  <c r="AR499" i="10"/>
  <c r="AR539" i="10"/>
  <c r="AQ539" i="10"/>
  <c r="AI77" i="10"/>
  <c r="AH77" i="10"/>
  <c r="AI551" i="10"/>
  <c r="AH551" i="10"/>
  <c r="AH417" i="10"/>
  <c r="AI417" i="10"/>
  <c r="AI313" i="10"/>
  <c r="AH313" i="10"/>
  <c r="AH237" i="10"/>
  <c r="AI237" i="10"/>
  <c r="AH285" i="10"/>
  <c r="AI285" i="10"/>
  <c r="AH253" i="10"/>
  <c r="AI253" i="10"/>
  <c r="AI165" i="10"/>
  <c r="AH165" i="10"/>
  <c r="AI89" i="10"/>
  <c r="AH89" i="10"/>
  <c r="AH150" i="10"/>
  <c r="AI150" i="10"/>
  <c r="AH86" i="10"/>
  <c r="AI86" i="10"/>
  <c r="AH45" i="10"/>
  <c r="AI45" i="10"/>
  <c r="AH21" i="10"/>
  <c r="AI21" i="10"/>
  <c r="AI543" i="10"/>
  <c r="AH543" i="10"/>
  <c r="AI460" i="10"/>
  <c r="AH460" i="10"/>
  <c r="AH452" i="10"/>
  <c r="AI452" i="10"/>
  <c r="AH397" i="10"/>
  <c r="AI397" i="10"/>
  <c r="AH365" i="10"/>
  <c r="AI365" i="10"/>
  <c r="AH316" i="10"/>
  <c r="AI316" i="10"/>
  <c r="AI201" i="10"/>
  <c r="AH201" i="10"/>
  <c r="AH292" i="10"/>
  <c r="AI292" i="10"/>
  <c r="AH260" i="10"/>
  <c r="AI260" i="10"/>
  <c r="AI133" i="10"/>
  <c r="AH133" i="10"/>
  <c r="AI135" i="10"/>
  <c r="AH135" i="10"/>
  <c r="AI190" i="10"/>
  <c r="AH190" i="10"/>
  <c r="AH162" i="10"/>
  <c r="AI162" i="10"/>
  <c r="AH90" i="10"/>
  <c r="AI90" i="10"/>
  <c r="AH32" i="10"/>
  <c r="AI32" i="10"/>
  <c r="AH557" i="10"/>
  <c r="AI557" i="10"/>
  <c r="AH493" i="10"/>
  <c r="AI493" i="10"/>
  <c r="AI457" i="10"/>
  <c r="AH457" i="10"/>
  <c r="AH361" i="10"/>
  <c r="AI361" i="10"/>
  <c r="AH381" i="10"/>
  <c r="AI381" i="10"/>
  <c r="AH542" i="10"/>
  <c r="AI542" i="10"/>
  <c r="AI516" i="10"/>
  <c r="AH516" i="10"/>
  <c r="AI486" i="10"/>
  <c r="AH486" i="10"/>
  <c r="AH479" i="10"/>
  <c r="AI479" i="10"/>
  <c r="AH425" i="10"/>
  <c r="AI425" i="10"/>
  <c r="AI424" i="10"/>
  <c r="AH424" i="10"/>
  <c r="AH369" i="10"/>
  <c r="AI369" i="10"/>
  <c r="AI333" i="10"/>
  <c r="AH333" i="10"/>
  <c r="AH344" i="10"/>
  <c r="AI344" i="10"/>
  <c r="AH213" i="10"/>
  <c r="AI213" i="10"/>
  <c r="AI173" i="10"/>
  <c r="AH173" i="10"/>
  <c r="AI125" i="10"/>
  <c r="AH125" i="10"/>
  <c r="AI109" i="10"/>
  <c r="AH109" i="10"/>
  <c r="AI81" i="10"/>
  <c r="AH81" i="10"/>
  <c r="AH204" i="10"/>
  <c r="AI204" i="10"/>
  <c r="AH110" i="10"/>
  <c r="AI110" i="10"/>
  <c r="AH49" i="10"/>
  <c r="AI49" i="10"/>
  <c r="AI28" i="10"/>
  <c r="AH28" i="10"/>
  <c r="AH50" i="10"/>
  <c r="AI50" i="10"/>
  <c r="AI435" i="10"/>
  <c r="AH435" i="10"/>
  <c r="AH289" i="10"/>
  <c r="AI289" i="10"/>
  <c r="AH546" i="10"/>
  <c r="AI546" i="10"/>
  <c r="AI523" i="10"/>
  <c r="AH523" i="10"/>
  <c r="AH501" i="10"/>
  <c r="AI501" i="10"/>
  <c r="AI476" i="10"/>
  <c r="AH476" i="10"/>
  <c r="AI443" i="10"/>
  <c r="AH443" i="10"/>
  <c r="AI431" i="10"/>
  <c r="AH431" i="10"/>
  <c r="AI420" i="10"/>
  <c r="AH420" i="10"/>
  <c r="AI368" i="10"/>
  <c r="AH368" i="10"/>
  <c r="AH324" i="10"/>
  <c r="AI324" i="10"/>
  <c r="AH209" i="10"/>
  <c r="AI209" i="10"/>
  <c r="AI169" i="10"/>
  <c r="AH169" i="10"/>
  <c r="AH272" i="10"/>
  <c r="AI272" i="10"/>
  <c r="AI230" i="10"/>
  <c r="AH230" i="10"/>
  <c r="AI143" i="10"/>
  <c r="AH143" i="10"/>
  <c r="AI178" i="10"/>
  <c r="AH178" i="10"/>
  <c r="AH122" i="10"/>
  <c r="AI122" i="10"/>
  <c r="AI25" i="10"/>
  <c r="AH25" i="10"/>
  <c r="AI31" i="10"/>
  <c r="AH31" i="10"/>
  <c r="AH41" i="10"/>
  <c r="AI41" i="10"/>
  <c r="AH192" i="10"/>
  <c r="AI192" i="10"/>
  <c r="AI51" i="10"/>
  <c r="AH51" i="10"/>
  <c r="AH61" i="10"/>
  <c r="AI61" i="10"/>
  <c r="AI112" i="10"/>
  <c r="AH112" i="10"/>
  <c r="AI128" i="10"/>
  <c r="AH128" i="10"/>
  <c r="AI144" i="10"/>
  <c r="AH144" i="10"/>
  <c r="AI160" i="10"/>
  <c r="AH160" i="10"/>
  <c r="AI65" i="10"/>
  <c r="AH65" i="10"/>
  <c r="AH92" i="10"/>
  <c r="AI92" i="10"/>
  <c r="AH184" i="10"/>
  <c r="AI184" i="10"/>
  <c r="AI29" i="10"/>
  <c r="AH29" i="10"/>
  <c r="AI60" i="10"/>
  <c r="AH60" i="10"/>
  <c r="AI141" i="10"/>
  <c r="AH141" i="10"/>
  <c r="AI157" i="10"/>
  <c r="AH157" i="10"/>
  <c r="AI255" i="10"/>
  <c r="AH255" i="10"/>
  <c r="AI271" i="10"/>
  <c r="AH271" i="10"/>
  <c r="AI287" i="10"/>
  <c r="AH287" i="10"/>
  <c r="AH216" i="10"/>
  <c r="AI216" i="10"/>
  <c r="AH232" i="10"/>
  <c r="AI232" i="10"/>
  <c r="AH246" i="10"/>
  <c r="AI246" i="10"/>
  <c r="AH262" i="10"/>
  <c r="AI262" i="10"/>
  <c r="AH278" i="10"/>
  <c r="AI278" i="10"/>
  <c r="AH294" i="10"/>
  <c r="AI294" i="10"/>
  <c r="AI79" i="10"/>
  <c r="AH79" i="10"/>
  <c r="AI95" i="10"/>
  <c r="AH95" i="10"/>
  <c r="AI111" i="10"/>
  <c r="AH111" i="10"/>
  <c r="AI127" i="10"/>
  <c r="AH127" i="10"/>
  <c r="AI179" i="10"/>
  <c r="AH179" i="10"/>
  <c r="AI310" i="10"/>
  <c r="AH310" i="10"/>
  <c r="AI326" i="10"/>
  <c r="AH326" i="10"/>
  <c r="AI342" i="10"/>
  <c r="AH342" i="10"/>
  <c r="AI358" i="10"/>
  <c r="AH358" i="10"/>
  <c r="AI195" i="10"/>
  <c r="AH195" i="10"/>
  <c r="AI211" i="10"/>
  <c r="AH211" i="10"/>
  <c r="AI227" i="10"/>
  <c r="AH227" i="10"/>
  <c r="AI243" i="10"/>
  <c r="AH243" i="10"/>
  <c r="AI307" i="10"/>
  <c r="AH307" i="10"/>
  <c r="AI323" i="10"/>
  <c r="AH323" i="10"/>
  <c r="AI339" i="10"/>
  <c r="AH339" i="10"/>
  <c r="AI355" i="10"/>
  <c r="AH355" i="10"/>
  <c r="AH432" i="10"/>
  <c r="AI432" i="10"/>
  <c r="AH371" i="10"/>
  <c r="AI371" i="10"/>
  <c r="AH391" i="10"/>
  <c r="AI391" i="10"/>
  <c r="AH407" i="10"/>
  <c r="AI407" i="10"/>
  <c r="AH423" i="10"/>
  <c r="AI423" i="10"/>
  <c r="AI378" i="10"/>
  <c r="AH378" i="10"/>
  <c r="AI442" i="10"/>
  <c r="AH442" i="10"/>
  <c r="AI390" i="10"/>
  <c r="AH390" i="10"/>
  <c r="AI406" i="10"/>
  <c r="AH406" i="10"/>
  <c r="AI473" i="10"/>
  <c r="AH473" i="10"/>
  <c r="AH459" i="10"/>
  <c r="AI459" i="10"/>
  <c r="AH434" i="10"/>
  <c r="AI434" i="10"/>
  <c r="AI453" i="10"/>
  <c r="AH453" i="10"/>
  <c r="AI466" i="10"/>
  <c r="AH466" i="10"/>
  <c r="AI496" i="10"/>
  <c r="AH496" i="10"/>
  <c r="AH489" i="10"/>
  <c r="AI489" i="10"/>
  <c r="AI504" i="10"/>
  <c r="AH504" i="10"/>
  <c r="AH503" i="10"/>
  <c r="AI503" i="10"/>
  <c r="AI512" i="10"/>
  <c r="AH512" i="10"/>
  <c r="AI529" i="10"/>
  <c r="AH529" i="10"/>
  <c r="AI531" i="10"/>
  <c r="AH531" i="10"/>
  <c r="AI556" i="10"/>
  <c r="AH556" i="10"/>
  <c r="AI552" i="10"/>
  <c r="AH552" i="10"/>
  <c r="AR530" i="10"/>
  <c r="AQ530" i="10"/>
  <c r="AR472" i="10"/>
  <c r="AQ472" i="10"/>
  <c r="AQ465" i="10"/>
  <c r="AR465" i="10"/>
  <c r="AR356" i="10"/>
  <c r="AQ356" i="10"/>
  <c r="AR335" i="10"/>
  <c r="AQ335" i="10"/>
  <c r="AR272" i="10"/>
  <c r="AQ272" i="10"/>
  <c r="AQ203" i="10"/>
  <c r="AR203" i="10"/>
  <c r="AR139" i="10"/>
  <c r="AQ139" i="10"/>
  <c r="AQ88" i="10"/>
  <c r="AR88" i="10"/>
  <c r="AR75" i="10"/>
  <c r="AQ75" i="10"/>
  <c r="AR161" i="10"/>
  <c r="AQ161" i="10"/>
  <c r="AQ98" i="10"/>
  <c r="AR98" i="10"/>
  <c r="AQ59" i="10"/>
  <c r="AR59" i="10"/>
  <c r="AR558" i="10"/>
  <c r="AQ558" i="10"/>
  <c r="AQ524" i="10"/>
  <c r="AR524" i="10"/>
  <c r="AR525" i="10"/>
  <c r="AQ525" i="10"/>
  <c r="AR470" i="10"/>
  <c r="AQ470" i="10"/>
  <c r="AR456" i="10"/>
  <c r="AQ456" i="10"/>
  <c r="AR392" i="10"/>
  <c r="AQ392" i="10"/>
  <c r="AQ391" i="10"/>
  <c r="AR391" i="10"/>
  <c r="AR406" i="10"/>
  <c r="AQ406" i="10"/>
  <c r="AR372" i="10"/>
  <c r="AQ372" i="10"/>
  <c r="AR349" i="10"/>
  <c r="AQ349" i="10"/>
  <c r="AR317" i="10"/>
  <c r="AQ317" i="10"/>
  <c r="AR360" i="10"/>
  <c r="AQ360" i="10"/>
  <c r="AQ303" i="10"/>
  <c r="AR303" i="10"/>
  <c r="AQ271" i="10"/>
  <c r="AR271" i="10"/>
  <c r="AQ381" i="10"/>
  <c r="AR381" i="10"/>
  <c r="AR243" i="10"/>
  <c r="AQ243" i="10"/>
  <c r="AQ148" i="10"/>
  <c r="AR148" i="10"/>
  <c r="AQ116" i="10"/>
  <c r="AR116" i="10"/>
  <c r="AR183" i="10"/>
  <c r="AQ183" i="10"/>
  <c r="AR119" i="10"/>
  <c r="AQ119" i="10"/>
  <c r="AR35" i="10"/>
  <c r="AQ35" i="10"/>
  <c r="AQ186" i="10"/>
  <c r="AR186" i="10"/>
  <c r="AR79" i="10"/>
  <c r="AQ79" i="10"/>
  <c r="AR89" i="10"/>
  <c r="AQ89" i="10"/>
  <c r="AR109" i="10"/>
  <c r="AQ109" i="10"/>
  <c r="AR54" i="10"/>
  <c r="AQ54" i="10"/>
  <c r="AR47" i="10"/>
  <c r="AQ47" i="10"/>
  <c r="AR26" i="10"/>
  <c r="AQ26" i="10"/>
  <c r="AR480" i="10"/>
  <c r="AQ480" i="10"/>
  <c r="AQ395" i="10"/>
  <c r="AR395" i="10"/>
  <c r="AQ338" i="10"/>
  <c r="AR338" i="10"/>
  <c r="AR351" i="10"/>
  <c r="AQ351" i="10"/>
  <c r="AR535" i="10"/>
  <c r="AQ535" i="10"/>
  <c r="AR527" i="10"/>
  <c r="AQ527" i="10"/>
  <c r="AR476" i="10"/>
  <c r="AQ476" i="10"/>
  <c r="AR502" i="10"/>
  <c r="AQ502" i="10"/>
  <c r="AQ457" i="10"/>
  <c r="AR457" i="10"/>
  <c r="AR449" i="10"/>
  <c r="AQ449" i="10"/>
  <c r="AR386" i="10"/>
  <c r="AQ386" i="10"/>
  <c r="AQ342" i="10"/>
  <c r="AR342" i="10"/>
  <c r="AQ310" i="10"/>
  <c r="AR310" i="10"/>
  <c r="AR332" i="10"/>
  <c r="AQ332" i="10"/>
  <c r="AR359" i="10"/>
  <c r="AQ359" i="10"/>
  <c r="AR305" i="10"/>
  <c r="AQ305" i="10"/>
  <c r="AR292" i="10"/>
  <c r="AQ292" i="10"/>
  <c r="AR260" i="10"/>
  <c r="AQ260" i="10"/>
  <c r="AR163" i="10"/>
  <c r="AQ163" i="10"/>
  <c r="AQ96" i="10"/>
  <c r="AR96" i="10"/>
  <c r="AR83" i="10"/>
  <c r="AQ83" i="10"/>
  <c r="AR85" i="10"/>
  <c r="AQ85" i="10"/>
  <c r="AR121" i="10"/>
  <c r="AQ121" i="10"/>
  <c r="AR93" i="10"/>
  <c r="AQ93" i="10"/>
  <c r="AR554" i="10"/>
  <c r="AQ554" i="10"/>
  <c r="AQ516" i="10"/>
  <c r="AR516" i="10"/>
  <c r="AQ427" i="10"/>
  <c r="AR427" i="10"/>
  <c r="AQ354" i="10"/>
  <c r="AR354" i="10"/>
  <c r="AR319" i="10"/>
  <c r="AQ319" i="10"/>
  <c r="AQ555" i="10"/>
  <c r="AR555" i="10"/>
  <c r="AQ551" i="10"/>
  <c r="AR551" i="10"/>
  <c r="AQ541" i="10"/>
  <c r="AR541" i="10"/>
  <c r="AQ491" i="10"/>
  <c r="AR491" i="10"/>
  <c r="AQ477" i="10"/>
  <c r="AR477" i="10"/>
  <c r="AR490" i="10"/>
  <c r="AQ490" i="10"/>
  <c r="AR464" i="10"/>
  <c r="AQ464" i="10"/>
  <c r="AR396" i="10"/>
  <c r="AQ396" i="10"/>
  <c r="AQ469" i="10"/>
  <c r="AR469" i="10"/>
  <c r="AR398" i="10"/>
  <c r="AQ398" i="10"/>
  <c r="AR380" i="10"/>
  <c r="AQ380" i="10"/>
  <c r="AR353" i="10"/>
  <c r="AQ353" i="10"/>
  <c r="AR321" i="10"/>
  <c r="AQ321" i="10"/>
  <c r="AR344" i="10"/>
  <c r="AQ344" i="10"/>
  <c r="AQ291" i="10"/>
  <c r="AR291" i="10"/>
  <c r="AQ259" i="10"/>
  <c r="AR259" i="10"/>
  <c r="AR323" i="10"/>
  <c r="AQ323" i="10"/>
  <c r="AQ152" i="10"/>
  <c r="AR152" i="10"/>
  <c r="AQ120" i="10"/>
  <c r="AR120" i="10"/>
  <c r="AR191" i="10"/>
  <c r="AQ191" i="10"/>
  <c r="AR127" i="10"/>
  <c r="AQ127" i="10"/>
  <c r="AQ68" i="10"/>
  <c r="AR68" i="10"/>
  <c r="AQ190" i="10"/>
  <c r="AR190" i="10"/>
  <c r="AR87" i="10"/>
  <c r="AQ87" i="10"/>
  <c r="AR149" i="10"/>
  <c r="AQ149" i="10"/>
  <c r="AQ86" i="10"/>
  <c r="AR86" i="10"/>
  <c r="AR81" i="10"/>
  <c r="AQ81" i="10"/>
  <c r="AR20" i="10"/>
  <c r="AQ20" i="10"/>
  <c r="AR37" i="10"/>
  <c r="AQ37" i="10"/>
  <c r="AR154" i="10"/>
  <c r="AQ154" i="10"/>
  <c r="AQ282" i="10"/>
  <c r="AR282" i="10"/>
  <c r="AR168" i="10"/>
  <c r="AQ168" i="10"/>
  <c r="AR184" i="10"/>
  <c r="AQ184" i="10"/>
  <c r="AQ206" i="10"/>
  <c r="AR206" i="10"/>
  <c r="AQ298" i="10"/>
  <c r="AR298" i="10"/>
  <c r="AQ262" i="10"/>
  <c r="AR262" i="10"/>
  <c r="AQ294" i="10"/>
  <c r="AR294" i="10"/>
  <c r="AR118" i="10"/>
  <c r="AQ118" i="10"/>
  <c r="AR138" i="10"/>
  <c r="AQ138" i="10"/>
  <c r="AQ258" i="10"/>
  <c r="AR258" i="10"/>
  <c r="AQ216" i="10"/>
  <c r="AR216" i="10"/>
  <c r="AQ232" i="10"/>
  <c r="AR232" i="10"/>
  <c r="AR169" i="10"/>
  <c r="AQ169" i="10"/>
  <c r="AR185" i="10"/>
  <c r="AQ185" i="10"/>
  <c r="AR201" i="10"/>
  <c r="AQ201" i="10"/>
  <c r="AQ218" i="10"/>
  <c r="AR218" i="10"/>
  <c r="AQ234" i="10"/>
  <c r="AR234" i="10"/>
  <c r="AR249" i="10"/>
  <c r="AQ249" i="10"/>
  <c r="AR265" i="10"/>
  <c r="AQ265" i="10"/>
  <c r="AR281" i="10"/>
  <c r="AQ281" i="10"/>
  <c r="AR297" i="10"/>
  <c r="AQ297" i="10"/>
  <c r="AR221" i="10"/>
  <c r="AQ221" i="10"/>
  <c r="AR237" i="10"/>
  <c r="AQ237" i="10"/>
  <c r="AR301" i="10"/>
  <c r="AQ301" i="10"/>
  <c r="AQ397" i="10"/>
  <c r="AR397" i="10"/>
  <c r="AQ413" i="10"/>
  <c r="AR413" i="10"/>
  <c r="AQ429" i="10"/>
  <c r="AR429" i="10"/>
  <c r="AR363" i="10"/>
  <c r="AQ363" i="10"/>
  <c r="AR498" i="10"/>
  <c r="AQ498" i="10"/>
  <c r="AR448" i="10"/>
  <c r="AQ448" i="10"/>
  <c r="AR463" i="10"/>
  <c r="AQ463" i="10"/>
  <c r="AR479" i="10"/>
  <c r="AQ479" i="10"/>
  <c r="AR486" i="10"/>
  <c r="AQ486" i="10"/>
  <c r="AQ534" i="10"/>
  <c r="AR534" i="10"/>
  <c r="AR543" i="10"/>
  <c r="AQ543" i="10"/>
  <c r="AH233" i="10"/>
  <c r="AI233" i="10"/>
  <c r="AI472" i="10"/>
  <c r="AH472" i="10"/>
  <c r="AH401" i="10"/>
  <c r="AI401" i="10"/>
  <c r="AH352" i="10"/>
  <c r="AI352" i="10"/>
  <c r="AH221" i="10"/>
  <c r="AI221" i="10"/>
  <c r="AH277" i="10"/>
  <c r="AI277" i="10"/>
  <c r="AH249" i="10"/>
  <c r="AI249" i="10"/>
  <c r="AI242" i="10"/>
  <c r="AH242" i="10"/>
  <c r="AI73" i="10"/>
  <c r="AH73" i="10"/>
  <c r="AH134" i="10"/>
  <c r="AI134" i="10"/>
  <c r="AH70" i="10"/>
  <c r="AI70" i="10"/>
  <c r="AI38" i="10"/>
  <c r="AH38" i="10"/>
  <c r="AH554" i="10"/>
  <c r="AI554" i="10"/>
  <c r="AH526" i="10"/>
  <c r="AI526" i="10"/>
  <c r="AI484" i="10"/>
  <c r="AH484" i="10"/>
  <c r="AI469" i="10"/>
  <c r="AH469" i="10"/>
  <c r="AI412" i="10"/>
  <c r="AH412" i="10"/>
  <c r="AI364" i="10"/>
  <c r="AH364" i="10"/>
  <c r="AH377" i="10"/>
  <c r="AI377" i="10"/>
  <c r="AH304" i="10"/>
  <c r="AI304" i="10"/>
  <c r="AH284" i="10"/>
  <c r="AI284" i="10"/>
  <c r="AH252" i="10"/>
  <c r="AI252" i="10"/>
  <c r="AI93" i="10"/>
  <c r="AH93" i="10"/>
  <c r="AH71" i="10"/>
  <c r="AI71" i="10"/>
  <c r="AI182" i="10"/>
  <c r="AH182" i="10"/>
  <c r="AH146" i="10"/>
  <c r="AI146" i="10"/>
  <c r="AH74" i="10"/>
  <c r="AI74" i="10"/>
  <c r="AH27" i="10"/>
  <c r="AI27" i="10"/>
  <c r="AI547" i="10"/>
  <c r="AH547" i="10"/>
  <c r="AI464" i="10"/>
  <c r="AH464" i="10"/>
  <c r="AI416" i="10"/>
  <c r="AH416" i="10"/>
  <c r="AI345" i="10"/>
  <c r="AH345" i="10"/>
  <c r="AH293" i="10"/>
  <c r="AI293" i="10"/>
  <c r="AI539" i="10"/>
  <c r="AH539" i="10"/>
  <c r="AH513" i="10"/>
  <c r="AI513" i="10"/>
  <c r="AH491" i="10"/>
  <c r="AI491" i="10"/>
  <c r="AH448" i="10"/>
  <c r="AI448" i="10"/>
  <c r="AH409" i="10"/>
  <c r="AI409" i="10"/>
  <c r="AI408" i="10"/>
  <c r="AH408" i="10"/>
  <c r="AI357" i="10"/>
  <c r="AH357" i="10"/>
  <c r="AI325" i="10"/>
  <c r="AH325" i="10"/>
  <c r="AH328" i="10"/>
  <c r="AI328" i="10"/>
  <c r="AI197" i="10"/>
  <c r="AH197" i="10"/>
  <c r="AI234" i="10"/>
  <c r="AH234" i="10"/>
  <c r="AI121" i="10"/>
  <c r="AH121" i="10"/>
  <c r="AI105" i="10"/>
  <c r="AH105" i="10"/>
  <c r="AI163" i="10"/>
  <c r="AH163" i="10"/>
  <c r="AH158" i="10"/>
  <c r="AI158" i="10"/>
  <c r="AH94" i="10"/>
  <c r="AI94" i="10"/>
  <c r="AH47" i="10"/>
  <c r="AI47" i="10"/>
  <c r="AH37" i="10"/>
  <c r="AI37" i="10"/>
  <c r="AH534" i="10"/>
  <c r="AI534" i="10"/>
  <c r="AI337" i="10"/>
  <c r="AH337" i="10"/>
  <c r="AH273" i="10"/>
  <c r="AI273" i="10"/>
  <c r="AH532" i="10"/>
  <c r="AI532" i="10"/>
  <c r="AH522" i="10"/>
  <c r="AI522" i="10"/>
  <c r="AH505" i="10"/>
  <c r="AI505" i="10"/>
  <c r="AH475" i="10"/>
  <c r="AI475" i="10"/>
  <c r="AI439" i="10"/>
  <c r="AH439" i="10"/>
  <c r="AH421" i="10"/>
  <c r="AI421" i="10"/>
  <c r="AI404" i="10"/>
  <c r="AH404" i="10"/>
  <c r="AI360" i="10"/>
  <c r="AH360" i="10"/>
  <c r="AH308" i="10"/>
  <c r="AI308" i="10"/>
  <c r="AH300" i="10"/>
  <c r="AI300" i="10"/>
  <c r="AH296" i="10"/>
  <c r="AI296" i="10"/>
  <c r="AH264" i="10"/>
  <c r="AI264" i="10"/>
  <c r="AI214" i="10"/>
  <c r="AH214" i="10"/>
  <c r="AH196" i="10"/>
  <c r="AI196" i="10"/>
  <c r="AI170" i="10"/>
  <c r="AH170" i="10"/>
  <c r="AH106" i="10"/>
  <c r="AI106" i="10"/>
  <c r="AH54" i="10"/>
  <c r="AI54" i="10"/>
  <c r="AI33" i="10"/>
  <c r="AH33" i="10"/>
  <c r="AH84" i="10"/>
  <c r="AI84" i="10"/>
  <c r="AI198" i="10"/>
  <c r="AH198" i="10"/>
  <c r="AI53" i="10"/>
  <c r="AH53" i="10"/>
  <c r="AI100" i="10"/>
  <c r="AH100" i="10"/>
  <c r="AI116" i="10"/>
  <c r="AH116" i="10"/>
  <c r="AI132" i="10"/>
  <c r="AH132" i="10"/>
  <c r="AI148" i="10"/>
  <c r="AH148" i="10"/>
  <c r="AI43" i="10"/>
  <c r="AH43" i="10"/>
  <c r="AH72" i="10"/>
  <c r="AI72" i="10"/>
  <c r="AH96" i="10"/>
  <c r="AI96" i="10"/>
  <c r="AH188" i="10"/>
  <c r="AI188" i="10"/>
  <c r="AI36" i="10"/>
  <c r="AH36" i="10"/>
  <c r="AH68" i="10"/>
  <c r="AI68" i="10"/>
  <c r="AI24" i="10"/>
  <c r="AH24" i="10"/>
  <c r="AI145" i="10"/>
  <c r="AH145" i="10"/>
  <c r="AI161" i="10"/>
  <c r="AH161" i="10"/>
  <c r="AI259" i="10"/>
  <c r="AH259" i="10"/>
  <c r="AI275" i="10"/>
  <c r="AH275" i="10"/>
  <c r="AI291" i="10"/>
  <c r="AH291" i="10"/>
  <c r="AH220" i="10"/>
  <c r="AI220" i="10"/>
  <c r="AH236" i="10"/>
  <c r="AI236" i="10"/>
  <c r="AH250" i="10"/>
  <c r="AI250" i="10"/>
  <c r="AH266" i="10"/>
  <c r="AI266" i="10"/>
  <c r="AH282" i="10"/>
  <c r="AI282" i="10"/>
  <c r="AH298" i="10"/>
  <c r="AI298" i="10"/>
  <c r="AI83" i="10"/>
  <c r="AH83" i="10"/>
  <c r="AI99" i="10"/>
  <c r="AH99" i="10"/>
  <c r="AI115" i="10"/>
  <c r="AH115" i="10"/>
  <c r="AI167" i="10"/>
  <c r="AH167" i="10"/>
  <c r="AI183" i="10"/>
  <c r="AH183" i="10"/>
  <c r="AI314" i="10"/>
  <c r="AH314" i="10"/>
  <c r="AI330" i="10"/>
  <c r="AH330" i="10"/>
  <c r="AI346" i="10"/>
  <c r="AH346" i="10"/>
  <c r="AI299" i="10"/>
  <c r="AH299" i="10"/>
  <c r="AI199" i="10"/>
  <c r="AH199" i="10"/>
  <c r="AI215" i="10"/>
  <c r="AH215" i="10"/>
  <c r="AI231" i="10"/>
  <c r="AH231" i="10"/>
  <c r="AH363" i="10"/>
  <c r="AI363" i="10"/>
  <c r="AI311" i="10"/>
  <c r="AH311" i="10"/>
  <c r="AI327" i="10"/>
  <c r="AH327" i="10"/>
  <c r="AI343" i="10"/>
  <c r="AH343" i="10"/>
  <c r="AI359" i="10"/>
  <c r="AH359" i="10"/>
  <c r="AI433" i="10"/>
  <c r="AH433" i="10"/>
  <c r="AH375" i="10"/>
  <c r="AI375" i="10"/>
  <c r="AH395" i="10"/>
  <c r="AI395" i="10"/>
  <c r="AH411" i="10"/>
  <c r="AI411" i="10"/>
  <c r="AH427" i="10"/>
  <c r="AI427" i="10"/>
  <c r="AI382" i="10"/>
  <c r="AH382" i="10"/>
  <c r="AI446" i="10"/>
  <c r="AH446" i="10"/>
  <c r="AI394" i="10"/>
  <c r="AH394" i="10"/>
  <c r="AI410" i="10"/>
  <c r="AH410" i="10"/>
  <c r="AI477" i="10"/>
  <c r="AH477" i="10"/>
  <c r="AH463" i="10"/>
  <c r="AI463" i="10"/>
  <c r="AI441" i="10"/>
  <c r="AH441" i="10"/>
  <c r="AI454" i="10"/>
  <c r="AH454" i="10"/>
  <c r="AI470" i="10"/>
  <c r="AH470" i="10"/>
  <c r="AI474" i="10"/>
  <c r="AH474" i="10"/>
  <c r="AI500" i="10"/>
  <c r="AH500" i="10"/>
  <c r="AI524" i="10"/>
  <c r="AH524" i="10"/>
  <c r="AI507" i="10"/>
  <c r="AH507" i="10"/>
  <c r="AI517" i="10"/>
  <c r="AH517" i="10"/>
  <c r="AI536" i="10"/>
  <c r="AH536" i="10"/>
  <c r="AI541" i="10"/>
  <c r="AH541" i="10"/>
  <c r="AI560" i="10"/>
  <c r="AH560" i="10"/>
  <c r="AI559" i="10"/>
  <c r="AH559" i="10"/>
  <c r="AQ507" i="10"/>
  <c r="AR507" i="10"/>
  <c r="AR460" i="10"/>
  <c r="AQ460" i="10"/>
  <c r="AQ346" i="10"/>
  <c r="AR346" i="10"/>
  <c r="AR340" i="10"/>
  <c r="AQ340" i="10"/>
  <c r="AR296" i="10"/>
  <c r="AQ296" i="10"/>
  <c r="AR264" i="10"/>
  <c r="AQ264" i="10"/>
  <c r="AR187" i="10"/>
  <c r="AQ187" i="10"/>
  <c r="AR131" i="10"/>
  <c r="AQ131" i="10"/>
  <c r="AQ72" i="10"/>
  <c r="AR72" i="10"/>
  <c r="AR65" i="10"/>
  <c r="AQ65" i="10"/>
  <c r="AR145" i="10"/>
  <c r="AQ145" i="10"/>
  <c r="AQ82" i="10"/>
  <c r="AR82" i="10"/>
  <c r="AQ51" i="10"/>
  <c r="AR51" i="10"/>
  <c r="AR542" i="10"/>
  <c r="AQ542" i="10"/>
  <c r="AR523" i="10"/>
  <c r="AQ523" i="10"/>
  <c r="AR506" i="10"/>
  <c r="AQ506" i="10"/>
  <c r="AR462" i="10"/>
  <c r="AQ462" i="10"/>
  <c r="AR416" i="10"/>
  <c r="AQ416" i="10"/>
  <c r="AR384" i="10"/>
  <c r="AQ384" i="10"/>
  <c r="AR453" i="10"/>
  <c r="AQ453" i="10"/>
  <c r="AR390" i="10"/>
  <c r="AQ390" i="10"/>
  <c r="AR362" i="10"/>
  <c r="AQ362" i="10"/>
  <c r="AR341" i="10"/>
  <c r="AQ341" i="10"/>
  <c r="AR309" i="10"/>
  <c r="AQ309" i="10"/>
  <c r="AR352" i="10"/>
  <c r="AQ352" i="10"/>
  <c r="AQ295" i="10"/>
  <c r="AR295" i="10"/>
  <c r="AQ263" i="10"/>
  <c r="AR263" i="10"/>
  <c r="AR347" i="10"/>
  <c r="AQ347" i="10"/>
  <c r="AR227" i="10"/>
  <c r="AQ227" i="10"/>
  <c r="AQ140" i="10"/>
  <c r="AR140" i="10"/>
  <c r="AQ108" i="10"/>
  <c r="AR108" i="10"/>
  <c r="AR167" i="10"/>
  <c r="AQ167" i="10"/>
  <c r="AR103" i="10"/>
  <c r="AQ103" i="10"/>
  <c r="AR25" i="10"/>
  <c r="AQ25" i="10"/>
  <c r="AQ178" i="10"/>
  <c r="AR178" i="10"/>
  <c r="AR64" i="10"/>
  <c r="AQ64" i="10"/>
  <c r="AR157" i="10"/>
  <c r="AQ157" i="10"/>
  <c r="AQ94" i="10"/>
  <c r="AR94" i="10"/>
  <c r="AR50" i="10"/>
  <c r="AQ50" i="10"/>
  <c r="AQ55" i="10"/>
  <c r="AR55" i="10"/>
  <c r="AR547" i="10"/>
  <c r="AQ547" i="10"/>
  <c r="AQ450" i="10"/>
  <c r="AR450" i="10"/>
  <c r="AR426" i="10"/>
  <c r="AQ426" i="10"/>
  <c r="AR451" i="10"/>
  <c r="AQ451" i="10"/>
  <c r="AR231" i="10"/>
  <c r="AQ231" i="10"/>
  <c r="AR533" i="10"/>
  <c r="AQ533" i="10"/>
  <c r="AR500" i="10"/>
  <c r="AQ500" i="10"/>
  <c r="AR512" i="10"/>
  <c r="AQ512" i="10"/>
  <c r="AQ442" i="10"/>
  <c r="AR442" i="10"/>
  <c r="AQ419" i="10"/>
  <c r="AR419" i="10"/>
  <c r="AQ433" i="10"/>
  <c r="AR433" i="10"/>
  <c r="AR370" i="10"/>
  <c r="AQ370" i="10"/>
  <c r="AQ334" i="10"/>
  <c r="AR334" i="10"/>
  <c r="AR443" i="10"/>
  <c r="AQ443" i="10"/>
  <c r="AR316" i="10"/>
  <c r="AQ316" i="10"/>
  <c r="AR343" i="10"/>
  <c r="AQ343" i="10"/>
  <c r="AR239" i="10"/>
  <c r="AQ239" i="10"/>
  <c r="AR284" i="10"/>
  <c r="AQ284" i="10"/>
  <c r="AR252" i="10"/>
  <c r="AQ252" i="10"/>
  <c r="AR147" i="10"/>
  <c r="AQ147" i="10"/>
  <c r="AQ80" i="10"/>
  <c r="AR80" i="10"/>
  <c r="AR49" i="10"/>
  <c r="AQ49" i="10"/>
  <c r="AR67" i="10"/>
  <c r="AQ67" i="10"/>
  <c r="AR66" i="10"/>
  <c r="AQ66" i="10"/>
  <c r="AR105" i="10"/>
  <c r="AQ105" i="10"/>
  <c r="AQ69" i="10"/>
  <c r="AR69" i="10"/>
  <c r="AQ511" i="10"/>
  <c r="AR511" i="10"/>
  <c r="AQ503" i="10"/>
  <c r="AR503" i="10"/>
  <c r="AQ411" i="10"/>
  <c r="AR411" i="10"/>
  <c r="AQ322" i="10"/>
  <c r="AR322" i="10"/>
  <c r="AR215" i="10"/>
  <c r="AQ215" i="10"/>
  <c r="AQ556" i="10"/>
  <c r="AR556" i="10"/>
  <c r="AR545" i="10"/>
  <c r="AQ545" i="10"/>
  <c r="AR526" i="10"/>
  <c r="AQ526" i="10"/>
  <c r="AQ522" i="10"/>
  <c r="AR522" i="10"/>
  <c r="AQ473" i="10"/>
  <c r="AR473" i="10"/>
  <c r="AR466" i="10"/>
  <c r="AQ466" i="10"/>
  <c r="AR420" i="10"/>
  <c r="AQ420" i="10"/>
  <c r="AR388" i="10"/>
  <c r="AQ388" i="10"/>
  <c r="AR445" i="10"/>
  <c r="AQ445" i="10"/>
  <c r="AR382" i="10"/>
  <c r="AQ382" i="10"/>
  <c r="AR439" i="10"/>
  <c r="AQ439" i="10"/>
  <c r="AR345" i="10"/>
  <c r="AQ345" i="10"/>
  <c r="AR313" i="10"/>
  <c r="AQ313" i="10"/>
  <c r="AR328" i="10"/>
  <c r="AQ328" i="10"/>
  <c r="AQ283" i="10"/>
  <c r="AR283" i="10"/>
  <c r="AQ251" i="10"/>
  <c r="AR251" i="10"/>
  <c r="AR235" i="10"/>
  <c r="AQ235" i="10"/>
  <c r="AQ144" i="10"/>
  <c r="AR144" i="10"/>
  <c r="AQ112" i="10"/>
  <c r="AR112" i="10"/>
  <c r="AR175" i="10"/>
  <c r="AQ175" i="10"/>
  <c r="AR111" i="10"/>
  <c r="AQ111" i="10"/>
  <c r="AQ39" i="10"/>
  <c r="AR39" i="10"/>
  <c r="AQ182" i="10"/>
  <c r="AR182" i="10"/>
  <c r="AQ71" i="10"/>
  <c r="AR71" i="10"/>
  <c r="AR133" i="10"/>
  <c r="AQ133" i="10"/>
  <c r="AQ70" i="10"/>
  <c r="AR70" i="10"/>
  <c r="AR42" i="10"/>
  <c r="AQ42" i="10"/>
  <c r="AR27" i="10"/>
  <c r="AQ27" i="10"/>
  <c r="AR21" i="10"/>
  <c r="AQ21" i="10"/>
  <c r="AR162" i="10"/>
  <c r="AQ162" i="10"/>
  <c r="AQ290" i="10"/>
  <c r="AR290" i="10"/>
  <c r="AR172" i="10"/>
  <c r="AQ172" i="10"/>
  <c r="AR188" i="10"/>
  <c r="AQ188" i="10"/>
  <c r="AR102" i="10"/>
  <c r="AQ102" i="10"/>
  <c r="AQ270" i="10"/>
  <c r="AR270" i="10"/>
  <c r="AR106" i="10"/>
  <c r="AQ106" i="10"/>
  <c r="AR122" i="10"/>
  <c r="AQ122" i="10"/>
  <c r="AR142" i="10"/>
  <c r="AQ142" i="10"/>
  <c r="AQ266" i="10"/>
  <c r="AR266" i="10"/>
  <c r="AQ220" i="10"/>
  <c r="AR220" i="10"/>
  <c r="AQ236" i="10"/>
  <c r="AR236" i="10"/>
  <c r="AR173" i="10"/>
  <c r="AQ173" i="10"/>
  <c r="AR189" i="10"/>
  <c r="AQ189" i="10"/>
  <c r="AR205" i="10"/>
  <c r="AQ205" i="10"/>
  <c r="AQ222" i="10"/>
  <c r="AR222" i="10"/>
  <c r="AQ238" i="10"/>
  <c r="AR238" i="10"/>
  <c r="AR253" i="10"/>
  <c r="AQ253" i="10"/>
  <c r="AR269" i="10"/>
  <c r="AQ269" i="10"/>
  <c r="AR285" i="10"/>
  <c r="AQ285" i="10"/>
  <c r="AR209" i="10"/>
  <c r="AQ209" i="10"/>
  <c r="AR225" i="10"/>
  <c r="AQ225" i="10"/>
  <c r="AR241" i="10"/>
  <c r="AQ241" i="10"/>
  <c r="AQ302" i="10"/>
  <c r="AR302" i="10"/>
  <c r="AQ401" i="10"/>
  <c r="AR401" i="10"/>
  <c r="AQ417" i="10"/>
  <c r="AR417" i="10"/>
  <c r="AQ306" i="10"/>
  <c r="AR306" i="10"/>
  <c r="AR367" i="10"/>
  <c r="AQ367" i="10"/>
  <c r="AR434" i="10"/>
  <c r="AQ434" i="10"/>
  <c r="AR452" i="10"/>
  <c r="AQ452" i="10"/>
  <c r="AR467" i="10"/>
  <c r="AQ467" i="10"/>
  <c r="AR514" i="10"/>
  <c r="AQ514" i="10"/>
  <c r="AR518" i="10"/>
  <c r="AQ518" i="10"/>
  <c r="AR515" i="10"/>
  <c r="AQ515" i="10"/>
  <c r="AQ540" i="10"/>
  <c r="AR540" i="10"/>
  <c r="T560" i="10"/>
  <c r="T556" i="10"/>
  <c r="T552" i="10"/>
  <c r="T557" i="10"/>
  <c r="T547" i="10"/>
  <c r="T553" i="10"/>
  <c r="T549" i="10"/>
  <c r="T545" i="10"/>
  <c r="T537" i="10"/>
  <c r="T533" i="10"/>
  <c r="T527" i="10"/>
  <c r="T541" i="10"/>
  <c r="T535" i="10"/>
  <c r="T531" i="10"/>
  <c r="T529" i="10"/>
  <c r="T525" i="10"/>
  <c r="T521" i="10"/>
  <c r="T517" i="10"/>
  <c r="T512" i="10"/>
  <c r="T508" i="10"/>
  <c r="T504" i="10"/>
  <c r="T500" i="10"/>
  <c r="T496" i="10"/>
  <c r="T492" i="10"/>
  <c r="T488" i="10"/>
  <c r="T523" i="10"/>
  <c r="T498" i="10"/>
  <c r="T493" i="10"/>
  <c r="T450" i="10"/>
  <c r="T446" i="10"/>
  <c r="T442" i="10"/>
  <c r="T486" i="10"/>
  <c r="T482" i="10"/>
  <c r="T478" i="10"/>
  <c r="T474" i="10"/>
  <c r="T453" i="10"/>
  <c r="T449" i="10"/>
  <c r="T445" i="10"/>
  <c r="T441" i="10"/>
  <c r="T466" i="10"/>
  <c r="T462" i="10"/>
  <c r="T458" i="10"/>
  <c r="T454" i="10"/>
  <c r="T438" i="10"/>
  <c r="T428" i="10"/>
  <c r="T424" i="10"/>
  <c r="T420" i="10"/>
  <c r="T416" i="10"/>
  <c r="T412" i="10"/>
  <c r="T408" i="10"/>
  <c r="T404" i="10"/>
  <c r="T400" i="10"/>
  <c r="T396" i="10"/>
  <c r="T392" i="10"/>
  <c r="T388" i="10"/>
  <c r="T382" i="10"/>
  <c r="T378" i="10"/>
  <c r="T374" i="10"/>
  <c r="T370" i="10"/>
  <c r="T470" i="10"/>
  <c r="T386" i="10"/>
  <c r="T451" i="10"/>
  <c r="T447" i="10"/>
  <c r="T443" i="10"/>
  <c r="T439" i="10"/>
  <c r="T430" i="10"/>
  <c r="T426" i="10"/>
  <c r="T422" i="10"/>
  <c r="T418" i="10"/>
  <c r="T414" i="10"/>
  <c r="T410" i="10"/>
  <c r="T406" i="10"/>
  <c r="T402" i="10"/>
  <c r="T398" i="10"/>
  <c r="T394" i="10"/>
  <c r="T390" i="10"/>
  <c r="T383" i="10"/>
  <c r="T379" i="10"/>
  <c r="T375" i="10"/>
  <c r="T371" i="10"/>
  <c r="T366" i="10"/>
  <c r="T362" i="10"/>
  <c r="T307" i="10"/>
  <c r="T437" i="10"/>
  <c r="T433" i="10"/>
  <c r="T376" i="10"/>
  <c r="T368" i="10"/>
  <c r="T364" i="10"/>
  <c r="T360" i="10"/>
  <c r="T384" i="10"/>
  <c r="T359" i="10"/>
  <c r="T355" i="10"/>
  <c r="T351" i="10"/>
  <c r="T347" i="10"/>
  <c r="T343" i="10"/>
  <c r="T339" i="10"/>
  <c r="T335" i="10"/>
  <c r="T331" i="10"/>
  <c r="T327" i="10"/>
  <c r="T323" i="10"/>
  <c r="T319" i="10"/>
  <c r="T315" i="10"/>
  <c r="T311" i="10"/>
  <c r="T303" i="10"/>
  <c r="T299" i="10"/>
  <c r="T380" i="10"/>
  <c r="T372" i="10"/>
  <c r="T243" i="10"/>
  <c r="T239" i="10"/>
  <c r="T235" i="10"/>
  <c r="T231" i="10"/>
  <c r="T227" i="10"/>
  <c r="T223" i="10"/>
  <c r="T219" i="10"/>
  <c r="T215" i="10"/>
  <c r="T211" i="10"/>
  <c r="T163" i="10"/>
  <c r="T159" i="10"/>
  <c r="T155" i="10"/>
  <c r="T151" i="10"/>
  <c r="T147" i="10"/>
  <c r="T143" i="10"/>
  <c r="T139" i="10"/>
  <c r="T135" i="10"/>
  <c r="T131" i="10"/>
  <c r="T127" i="10"/>
  <c r="T123" i="10"/>
  <c r="T119" i="10"/>
  <c r="T115" i="10"/>
  <c r="T111" i="10"/>
  <c r="T107" i="10"/>
  <c r="T103" i="10"/>
  <c r="T356" i="10"/>
  <c r="T352" i="10"/>
  <c r="T348" i="10"/>
  <c r="T344" i="10"/>
  <c r="T340" i="10"/>
  <c r="T336" i="10"/>
  <c r="T332" i="10"/>
  <c r="T328" i="10"/>
  <c r="T324" i="10"/>
  <c r="T320" i="10"/>
  <c r="T316" i="10"/>
  <c r="T312" i="10"/>
  <c r="T308" i="10"/>
  <c r="T297" i="10"/>
  <c r="T295" i="10"/>
  <c r="T293" i="10"/>
  <c r="T291" i="10"/>
  <c r="T289" i="10"/>
  <c r="T287" i="10"/>
  <c r="T285" i="10"/>
  <c r="T283" i="10"/>
  <c r="T281" i="10"/>
  <c r="T279" i="10"/>
  <c r="T277" i="10"/>
  <c r="T275" i="10"/>
  <c r="T273" i="10"/>
  <c r="T271" i="10"/>
  <c r="T269" i="10"/>
  <c r="T267" i="10"/>
  <c r="T265" i="10"/>
  <c r="T263" i="10"/>
  <c r="T261" i="10"/>
  <c r="T259" i="10"/>
  <c r="T257" i="10"/>
  <c r="T255" i="10"/>
  <c r="T253" i="10"/>
  <c r="T251" i="10"/>
  <c r="T249" i="10"/>
  <c r="T247" i="10"/>
  <c r="T245" i="10"/>
  <c r="T244" i="10"/>
  <c r="T240" i="10"/>
  <c r="T236" i="10"/>
  <c r="T232" i="10"/>
  <c r="T228" i="10"/>
  <c r="T224" i="10"/>
  <c r="T220" i="10"/>
  <c r="T216" i="10"/>
  <c r="T212" i="10"/>
  <c r="T191" i="10"/>
  <c r="T187" i="10"/>
  <c r="T183" i="10"/>
  <c r="T179" i="10"/>
  <c r="T175" i="10"/>
  <c r="T171" i="10"/>
  <c r="T167" i="10"/>
  <c r="T301" i="10"/>
  <c r="T161" i="10"/>
  <c r="T157" i="10"/>
  <c r="T153" i="10"/>
  <c r="T149" i="10"/>
  <c r="T145" i="10"/>
  <c r="T141" i="10"/>
  <c r="T137" i="10"/>
  <c r="T133" i="10"/>
  <c r="T129" i="10"/>
  <c r="T125" i="10"/>
  <c r="T121" i="10"/>
  <c r="T117" i="10"/>
  <c r="T113" i="10"/>
  <c r="T109" i="10"/>
  <c r="T105" i="10"/>
  <c r="T101" i="10"/>
  <c r="T97" i="10"/>
  <c r="T93" i="10"/>
  <c r="T89" i="10"/>
  <c r="T85" i="10"/>
  <c r="T81" i="10"/>
  <c r="T77" i="10"/>
  <c r="T73" i="10"/>
  <c r="B49" i="10"/>
  <c r="T199" i="10"/>
  <c r="T51" i="10"/>
  <c r="T203" i="10"/>
  <c r="T195" i="10"/>
  <c r="T65" i="10"/>
  <c r="T63" i="10"/>
  <c r="T60" i="10"/>
  <c r="O10" i="10"/>
  <c r="T59" i="10"/>
  <c r="T53" i="10"/>
  <c r="T99" i="10"/>
  <c r="T95" i="10"/>
  <c r="T91" i="10"/>
  <c r="T87" i="10"/>
  <c r="T83" i="10"/>
  <c r="T79" i="10"/>
  <c r="T75" i="10"/>
  <c r="T67" i="10"/>
  <c r="T207" i="10"/>
  <c r="T55" i="10"/>
  <c r="T46" i="10"/>
  <c r="T44" i="10"/>
  <c r="T36" i="10"/>
  <c r="T29" i="10"/>
  <c r="T26" i="10"/>
  <c r="T24" i="10"/>
  <c r="T20" i="10"/>
  <c r="T32" i="10"/>
  <c r="T37" i="10"/>
  <c r="T78" i="10"/>
  <c r="T94" i="10"/>
  <c r="T52" i="10"/>
  <c r="T110" i="10"/>
  <c r="T126" i="10"/>
  <c r="T142" i="10"/>
  <c r="T158" i="10"/>
  <c r="T204" i="10"/>
  <c r="T64" i="10"/>
  <c r="T23" i="10"/>
  <c r="T41" i="10"/>
  <c r="T61" i="10"/>
  <c r="T72" i="10"/>
  <c r="T88" i="10"/>
  <c r="T218" i="10"/>
  <c r="T234" i="10"/>
  <c r="T300" i="10"/>
  <c r="T172" i="10"/>
  <c r="T188" i="10"/>
  <c r="T202" i="10"/>
  <c r="T144" i="10"/>
  <c r="T160" i="10"/>
  <c r="T177" i="10"/>
  <c r="T193" i="10"/>
  <c r="T201" i="10"/>
  <c r="T217" i="10"/>
  <c r="T233" i="10"/>
  <c r="T246" i="10"/>
  <c r="T262" i="10"/>
  <c r="T278" i="10"/>
  <c r="T294" i="10"/>
  <c r="T309" i="10"/>
  <c r="T317" i="10"/>
  <c r="T325" i="10"/>
  <c r="T333" i="10"/>
  <c r="T341" i="10"/>
  <c r="T349" i="10"/>
  <c r="T357" i="10"/>
  <c r="T361" i="10"/>
  <c r="T310" i="10"/>
  <c r="T318" i="10"/>
  <c r="T326" i="10"/>
  <c r="T334" i="10"/>
  <c r="T342" i="10"/>
  <c r="T350" i="10"/>
  <c r="T358" i="10"/>
  <c r="T397" i="10"/>
  <c r="T413" i="10"/>
  <c r="T429" i="10"/>
  <c r="T461" i="10"/>
  <c r="T391" i="10"/>
  <c r="T407" i="10"/>
  <c r="T423" i="10"/>
  <c r="T457" i="10"/>
  <c r="T448" i="10"/>
  <c r="T432" i="10"/>
  <c r="T479" i="10"/>
  <c r="T502" i="10"/>
  <c r="T467" i="10"/>
  <c r="T460" i="10"/>
  <c r="T487" i="10"/>
  <c r="T485" i="10"/>
  <c r="T499" i="10"/>
  <c r="T506" i="10"/>
  <c r="T513" i="10"/>
  <c r="T520" i="10"/>
  <c r="T501" i="10"/>
  <c r="T510" i="10"/>
  <c r="T514" i="10"/>
  <c r="T543" i="10"/>
  <c r="T544" i="10"/>
  <c r="T548" i="10"/>
  <c r="T555" i="10"/>
  <c r="T148" i="10"/>
  <c r="T189" i="10"/>
  <c r="T213" i="10"/>
  <c r="T305" i="10"/>
  <c r="T266" i="10"/>
  <c r="T298" i="10"/>
  <c r="T363" i="10"/>
  <c r="T434" i="10"/>
  <c r="T456" i="10"/>
  <c r="T538" i="10"/>
  <c r="T546" i="10"/>
  <c r="T27" i="10"/>
  <c r="T34" i="10"/>
  <c r="T47" i="10"/>
  <c r="T70" i="10"/>
  <c r="T82" i="10"/>
  <c r="T98" i="10"/>
  <c r="T25" i="10"/>
  <c r="T114" i="10"/>
  <c r="T130" i="10"/>
  <c r="T146" i="10"/>
  <c r="T162" i="10"/>
  <c r="T170" i="10"/>
  <c r="T178" i="10"/>
  <c r="T186" i="10"/>
  <c r="T194" i="10"/>
  <c r="T208" i="10"/>
  <c r="T19" i="10"/>
  <c r="T43" i="10"/>
  <c r="T48" i="10"/>
  <c r="T58" i="10"/>
  <c r="T68" i="10"/>
  <c r="T76" i="10"/>
  <c r="T92" i="10"/>
  <c r="T222" i="10"/>
  <c r="T238" i="10"/>
  <c r="T252" i="10"/>
  <c r="T260" i="10"/>
  <c r="T268" i="10"/>
  <c r="T276" i="10"/>
  <c r="T284" i="10"/>
  <c r="T292" i="10"/>
  <c r="T168" i="10"/>
  <c r="T184" i="10"/>
  <c r="T104" i="10"/>
  <c r="T112" i="10"/>
  <c r="T120" i="10"/>
  <c r="T128" i="10"/>
  <c r="T140" i="10"/>
  <c r="T156" i="10"/>
  <c r="T165" i="10"/>
  <c r="T181" i="10"/>
  <c r="T304" i="10"/>
  <c r="T205" i="10"/>
  <c r="T221" i="10"/>
  <c r="T237" i="10"/>
  <c r="T377" i="10"/>
  <c r="T258" i="10"/>
  <c r="T274" i="10"/>
  <c r="T290" i="10"/>
  <c r="T306" i="10"/>
  <c r="T385" i="10"/>
  <c r="T401" i="10"/>
  <c r="T417" i="10"/>
  <c r="T471" i="10"/>
  <c r="T395" i="10"/>
  <c r="T411" i="10"/>
  <c r="T427" i="10"/>
  <c r="T431" i="10"/>
  <c r="T452" i="10"/>
  <c r="T483" i="10"/>
  <c r="T463" i="10"/>
  <c r="T464" i="10"/>
  <c r="T472" i="10"/>
  <c r="T476" i="10"/>
  <c r="T480" i="10"/>
  <c r="T484" i="10"/>
  <c r="T481" i="10"/>
  <c r="T489" i="10"/>
  <c r="T497" i="10"/>
  <c r="T526" i="10"/>
  <c r="T511" i="10"/>
  <c r="T528" i="10"/>
  <c r="T542" i="10"/>
  <c r="T550" i="10"/>
  <c r="T540" i="10"/>
  <c r="T558" i="10"/>
  <c r="T554" i="10"/>
  <c r="T176" i="10"/>
  <c r="T173" i="10"/>
  <c r="T250" i="10"/>
  <c r="T282" i="10"/>
  <c r="T365" i="10"/>
  <c r="T469" i="10"/>
  <c r="T444" i="10"/>
  <c r="T475" i="10"/>
  <c r="T490" i="10"/>
  <c r="T473" i="10"/>
  <c r="T522" i="10"/>
  <c r="T518" i="10"/>
  <c r="T519" i="10"/>
  <c r="T551" i="10"/>
  <c r="T21" i="10"/>
  <c r="T86" i="10"/>
  <c r="T62" i="10"/>
  <c r="T200" i="10"/>
  <c r="T38" i="10"/>
  <c r="T45" i="10"/>
  <c r="T50" i="10"/>
  <c r="T54" i="10"/>
  <c r="T57" i="10"/>
  <c r="T71" i="10"/>
  <c r="T102" i="10"/>
  <c r="T118" i="10"/>
  <c r="T134" i="10"/>
  <c r="T150" i="10"/>
  <c r="T28" i="10"/>
  <c r="T35" i="10"/>
  <c r="T31" i="10"/>
  <c r="T66" i="10"/>
  <c r="T80" i="10"/>
  <c r="T96" i="10"/>
  <c r="T210" i="10"/>
  <c r="T226" i="10"/>
  <c r="T242" i="10"/>
  <c r="T164" i="10"/>
  <c r="T180" i="10"/>
  <c r="T198" i="10"/>
  <c r="T206" i="10"/>
  <c r="T136" i="10"/>
  <c r="T152" i="10"/>
  <c r="T169" i="10"/>
  <c r="T185" i="10"/>
  <c r="T381" i="10"/>
  <c r="T387" i="10"/>
  <c r="T209" i="10"/>
  <c r="T225" i="10"/>
  <c r="T241" i="10"/>
  <c r="T254" i="10"/>
  <c r="T270" i="10"/>
  <c r="T286" i="10"/>
  <c r="T302" i="10"/>
  <c r="T313" i="10"/>
  <c r="T321" i="10"/>
  <c r="T329" i="10"/>
  <c r="T337" i="10"/>
  <c r="T345" i="10"/>
  <c r="T353" i="10"/>
  <c r="T369" i="10"/>
  <c r="T435" i="10"/>
  <c r="T465" i="10"/>
  <c r="T314" i="10"/>
  <c r="T322" i="10"/>
  <c r="T330" i="10"/>
  <c r="T338" i="10"/>
  <c r="T346" i="10"/>
  <c r="T354" i="10"/>
  <c r="T367" i="10"/>
  <c r="T389" i="10"/>
  <c r="T405" i="10"/>
  <c r="T421" i="10"/>
  <c r="T399" i="10"/>
  <c r="T415" i="10"/>
  <c r="T440" i="10"/>
  <c r="T459" i="10"/>
  <c r="T468" i="10"/>
  <c r="T494" i="10"/>
  <c r="T477" i="10"/>
  <c r="T495" i="10"/>
  <c r="T503" i="10"/>
  <c r="T516" i="10"/>
  <c r="T530" i="10"/>
  <c r="T534" i="10"/>
  <c r="T507" i="10"/>
  <c r="T515" i="10"/>
  <c r="T532" i="10"/>
  <c r="T524" i="10"/>
  <c r="T536" i="10"/>
  <c r="T559" i="10"/>
  <c r="T40" i="10"/>
  <c r="T30" i="10"/>
  <c r="T42" i="10"/>
  <c r="T49" i="10"/>
  <c r="T56" i="10"/>
  <c r="T74" i="10"/>
  <c r="T90" i="10"/>
  <c r="T106" i="10"/>
  <c r="T122" i="10"/>
  <c r="T138" i="10"/>
  <c r="T154" i="10"/>
  <c r="T166" i="10"/>
  <c r="T174" i="10"/>
  <c r="T182" i="10"/>
  <c r="T190" i="10"/>
  <c r="T196" i="10"/>
  <c r="T69" i="10"/>
  <c r="T22" i="10"/>
  <c r="T33" i="10"/>
  <c r="T39" i="10"/>
  <c r="T84" i="10"/>
  <c r="T214" i="10"/>
  <c r="T230" i="10"/>
  <c r="T248" i="10"/>
  <c r="T256" i="10"/>
  <c r="T264" i="10"/>
  <c r="T272" i="10"/>
  <c r="T280" i="10"/>
  <c r="T288" i="10"/>
  <c r="T296" i="10"/>
  <c r="T192" i="10"/>
  <c r="T100" i="10"/>
  <c r="T108" i="10"/>
  <c r="T116" i="10"/>
  <c r="T124" i="10"/>
  <c r="T132" i="10"/>
  <c r="T373" i="10"/>
  <c r="T197" i="10"/>
  <c r="T229" i="10"/>
  <c r="T393" i="10"/>
  <c r="T409" i="10"/>
  <c r="T425" i="10"/>
  <c r="T403" i="10"/>
  <c r="T419" i="10"/>
  <c r="T436" i="10"/>
  <c r="T455" i="10"/>
  <c r="T491" i="10"/>
  <c r="T505" i="10"/>
  <c r="T509" i="10"/>
  <c r="T539" i="10"/>
  <c r="B40" i="5"/>
  <c r="B98" i="2"/>
  <c r="B59" i="2"/>
  <c r="E231" i="2" s="1"/>
  <c r="B174" i="2"/>
  <c r="B58" i="2"/>
  <c r="B53" i="2"/>
  <c r="N9" i="1" s="1"/>
  <c r="B57" i="2"/>
  <c r="G196" i="2" s="1"/>
  <c r="B194" i="2"/>
  <c r="K8" i="2"/>
  <c r="AH8" i="5"/>
  <c r="B192" i="2"/>
  <c r="B191" i="2"/>
  <c r="AI7" i="5"/>
  <c r="AP7" i="5"/>
  <c r="AH7" i="5"/>
  <c r="B3" i="8"/>
  <c r="B12" i="5"/>
  <c r="B5" i="8"/>
  <c r="B11" i="5"/>
  <c r="B4" i="8"/>
  <c r="B289" i="2"/>
  <c r="B290" i="2" s="1"/>
  <c r="M8" i="4"/>
  <c r="BV7" i="4"/>
  <c r="AL15" i="4"/>
  <c r="AL17" i="4"/>
  <c r="AL19" i="4"/>
  <c r="AL21" i="4"/>
  <c r="AL23" i="4"/>
  <c r="AL25" i="4"/>
  <c r="AL27" i="4"/>
  <c r="AL29" i="4"/>
  <c r="AL31" i="4"/>
  <c r="AL33" i="4"/>
  <c r="AL35" i="4"/>
  <c r="AL37" i="4"/>
  <c r="AL39" i="4"/>
  <c r="AL41" i="4"/>
  <c r="AL20" i="4"/>
  <c r="AL28" i="4"/>
  <c r="AL36" i="4"/>
  <c r="AL16" i="4"/>
  <c r="AL30" i="4"/>
  <c r="AL34" i="4"/>
  <c r="AL44" i="4"/>
  <c r="AL49" i="4"/>
  <c r="AL52" i="4"/>
  <c r="AL57" i="4"/>
  <c r="AL60" i="4"/>
  <c r="AL65" i="4"/>
  <c r="AL68" i="4"/>
  <c r="AL73" i="4"/>
  <c r="AL76" i="4"/>
  <c r="AL81" i="4"/>
  <c r="AL84" i="4"/>
  <c r="AL89" i="4"/>
  <c r="AL92" i="4"/>
  <c r="AL97" i="4"/>
  <c r="AL100" i="4"/>
  <c r="AL105" i="4"/>
  <c r="AL108" i="4"/>
  <c r="AL113" i="4"/>
  <c r="AL116" i="4"/>
  <c r="AL121" i="4"/>
  <c r="AL124" i="4"/>
  <c r="AL129" i="4"/>
  <c r="AL132" i="4"/>
  <c r="AL137" i="4"/>
  <c r="AL140" i="4"/>
  <c r="AL145" i="4"/>
  <c r="AL148" i="4"/>
  <c r="AL153" i="4"/>
  <c r="AL156" i="4"/>
  <c r="AL11" i="4"/>
  <c r="AL14" i="4"/>
  <c r="AL24" i="4"/>
  <c r="AL38" i="4"/>
  <c r="AL42" i="4"/>
  <c r="AL47" i="4"/>
  <c r="AL50" i="4"/>
  <c r="AL55" i="4"/>
  <c r="AL58" i="4"/>
  <c r="AL63" i="4"/>
  <c r="AL66" i="4"/>
  <c r="AL71" i="4"/>
  <c r="AL74" i="4"/>
  <c r="AL79" i="4"/>
  <c r="AL82" i="4"/>
  <c r="AL87" i="4"/>
  <c r="AL90" i="4"/>
  <c r="AL95" i="4"/>
  <c r="AL98" i="4"/>
  <c r="AL103" i="4"/>
  <c r="AL106" i="4"/>
  <c r="AL111" i="4"/>
  <c r="AL114" i="4"/>
  <c r="AL119" i="4"/>
  <c r="AL122" i="4"/>
  <c r="AL127" i="4"/>
  <c r="AL130" i="4"/>
  <c r="AL135" i="4"/>
  <c r="AL138" i="4"/>
  <c r="AL143" i="4"/>
  <c r="AL146" i="4"/>
  <c r="AL151" i="4"/>
  <c r="AL154" i="4"/>
  <c r="AL9" i="4"/>
  <c r="AL12" i="4"/>
  <c r="AL18" i="4"/>
  <c r="AL32" i="4"/>
  <c r="AL45" i="4"/>
  <c r="AL48" i="4"/>
  <c r="AL53" i="4"/>
  <c r="AL56" i="4"/>
  <c r="AL61" i="4"/>
  <c r="AL64" i="4"/>
  <c r="AL69" i="4"/>
  <c r="AL72" i="4"/>
  <c r="AL77" i="4"/>
  <c r="AL80" i="4"/>
  <c r="AL85" i="4"/>
  <c r="AL88" i="4"/>
  <c r="AL93" i="4"/>
  <c r="AL96" i="4"/>
  <c r="AL101" i="4"/>
  <c r="AL104" i="4"/>
  <c r="AL109" i="4"/>
  <c r="AL112" i="4"/>
  <c r="AL117" i="4"/>
  <c r="AL120" i="4"/>
  <c r="AL125" i="4"/>
  <c r="AL128" i="4"/>
  <c r="AL133" i="4"/>
  <c r="AL136" i="4"/>
  <c r="AL141" i="4"/>
  <c r="AL144" i="4"/>
  <c r="AL149" i="4"/>
  <c r="AL152" i="4"/>
  <c r="AL157" i="4"/>
  <c r="AL10" i="4"/>
  <c r="AL22" i="4"/>
  <c r="AL26" i="4"/>
  <c r="AL40" i="4"/>
  <c r="AL43" i="4"/>
  <c r="AL46" i="4"/>
  <c r="AL51" i="4"/>
  <c r="AL54" i="4"/>
  <c r="AL59" i="4"/>
  <c r="AL62" i="4"/>
  <c r="AL67" i="4"/>
  <c r="AL70" i="4"/>
  <c r="AL75" i="4"/>
  <c r="AL78" i="4"/>
  <c r="AL83" i="4"/>
  <c r="AL86" i="4"/>
  <c r="AL91" i="4"/>
  <c r="AL94" i="4"/>
  <c r="AL99" i="4"/>
  <c r="AL102" i="4"/>
  <c r="AL107" i="4"/>
  <c r="AL110" i="4"/>
  <c r="AL115" i="4"/>
  <c r="AL118" i="4"/>
  <c r="AL123" i="4"/>
  <c r="AL126" i="4"/>
  <c r="AL131" i="4"/>
  <c r="AL134" i="4"/>
  <c r="AL139" i="4"/>
  <c r="AL142" i="4"/>
  <c r="AL147" i="4"/>
  <c r="AL150" i="4"/>
  <c r="AL155" i="4"/>
  <c r="AL8" i="4"/>
  <c r="AL13" i="4"/>
  <c r="B29" i="5"/>
  <c r="O15" i="4"/>
  <c r="H47" i="1"/>
  <c r="AL7" i="4"/>
  <c r="E120" i="2"/>
  <c r="H49" i="1"/>
  <c r="O12" i="4"/>
  <c r="AN8" i="5"/>
  <c r="AK8" i="5"/>
  <c r="AM13" i="5"/>
  <c r="T13" i="5"/>
  <c r="AJ13" i="5"/>
  <c r="AG13" i="5"/>
  <c r="T8" i="5"/>
  <c r="U8" i="5" s="1"/>
  <c r="O10" i="5"/>
  <c r="AP8" i="5"/>
  <c r="AR8" i="5" s="1"/>
  <c r="AM12" i="5"/>
  <c r="T12" i="5"/>
  <c r="AJ12" i="5"/>
  <c r="AG12" i="5"/>
  <c r="B54" i="5"/>
  <c r="B188" i="2"/>
  <c r="B239" i="2"/>
  <c r="H64" i="1" s="1"/>
  <c r="B241" i="2"/>
  <c r="B10" i="5"/>
  <c r="AL19" i="5"/>
  <c r="AK19" i="5"/>
  <c r="AK474" i="5"/>
  <c r="AL474" i="5"/>
  <c r="AK471" i="5"/>
  <c r="AL471" i="5"/>
  <c r="AL546" i="5"/>
  <c r="AK546" i="5"/>
  <c r="AK468" i="5"/>
  <c r="AL468" i="5"/>
  <c r="AL524" i="5"/>
  <c r="AK524" i="5"/>
  <c r="AL544" i="5"/>
  <c r="AK544" i="5"/>
  <c r="AL526" i="5"/>
  <c r="AK526" i="5"/>
  <c r="AK472" i="5"/>
  <c r="AL472" i="5"/>
  <c r="AK437" i="5"/>
  <c r="AL437" i="5"/>
  <c r="AK375" i="5"/>
  <c r="AL375" i="5"/>
  <c r="AK513" i="5"/>
  <c r="AL513" i="5"/>
  <c r="AL493" i="5"/>
  <c r="AK493" i="5"/>
  <c r="AK450" i="5"/>
  <c r="AL450" i="5"/>
  <c r="AL438" i="5"/>
  <c r="AK438" i="5"/>
  <c r="AK511" i="5"/>
  <c r="AL511" i="5"/>
  <c r="AL470" i="5"/>
  <c r="AK470" i="5"/>
  <c r="AK453" i="5"/>
  <c r="AL453" i="5"/>
  <c r="AK407" i="5"/>
  <c r="AL407" i="5"/>
  <c r="AL372" i="5"/>
  <c r="AK372" i="5"/>
  <c r="AK323" i="5"/>
  <c r="AL323" i="5"/>
  <c r="AK388" i="5"/>
  <c r="AL388" i="5"/>
  <c r="AK348" i="5"/>
  <c r="AL348" i="5"/>
  <c r="AK434" i="5"/>
  <c r="AL434" i="5"/>
  <c r="AK389" i="5"/>
  <c r="AL389" i="5"/>
  <c r="AK363" i="5"/>
  <c r="AL363" i="5"/>
  <c r="AL337" i="5"/>
  <c r="AK337" i="5"/>
  <c r="AK334" i="5"/>
  <c r="AL334" i="5"/>
  <c r="AL304" i="5"/>
  <c r="AK304" i="5"/>
  <c r="AK276" i="5"/>
  <c r="AL276" i="5"/>
  <c r="AK245" i="5"/>
  <c r="AL245" i="5"/>
  <c r="AL315" i="5"/>
  <c r="AK315" i="5"/>
  <c r="AK268" i="5"/>
  <c r="AL268" i="5"/>
  <c r="AK248" i="5"/>
  <c r="AL248" i="5"/>
  <c r="AK321" i="5"/>
  <c r="AL321" i="5"/>
  <c r="AL262" i="5"/>
  <c r="AK262" i="5"/>
  <c r="AK208" i="5"/>
  <c r="AL208" i="5"/>
  <c r="AK220" i="5"/>
  <c r="AL220" i="5"/>
  <c r="AK192" i="5"/>
  <c r="AL192" i="5"/>
  <c r="AK202" i="5"/>
  <c r="AL202" i="5"/>
  <c r="AK235" i="5"/>
  <c r="AL235" i="5"/>
  <c r="AK204" i="5"/>
  <c r="AL204" i="5"/>
  <c r="AK196" i="5"/>
  <c r="AL196" i="5"/>
  <c r="AL182" i="5"/>
  <c r="AK182" i="5"/>
  <c r="AK185" i="5"/>
  <c r="AL185" i="5"/>
  <c r="AK151" i="5"/>
  <c r="AL151" i="5"/>
  <c r="AK140" i="5"/>
  <c r="AL140" i="5"/>
  <c r="AK80" i="5"/>
  <c r="AL80" i="5"/>
  <c r="AK134" i="5"/>
  <c r="AL134" i="5"/>
  <c r="AK161" i="5"/>
  <c r="AL161" i="5"/>
  <c r="AP117" i="5"/>
  <c r="AK117" i="5"/>
  <c r="AL117" i="5"/>
  <c r="AK103" i="5"/>
  <c r="AL103" i="5"/>
  <c r="AK104" i="5"/>
  <c r="AL104" i="5"/>
  <c r="AL91" i="5"/>
  <c r="AK91" i="5"/>
  <c r="AK73" i="5"/>
  <c r="AL73" i="5"/>
  <c r="AK57" i="5"/>
  <c r="AL57" i="5"/>
  <c r="AK53" i="5"/>
  <c r="AL53" i="5"/>
  <c r="AK63" i="5"/>
  <c r="AL63" i="5"/>
  <c r="AK41" i="5"/>
  <c r="AL41" i="5"/>
  <c r="AK23" i="5"/>
  <c r="AL23" i="5"/>
  <c r="AI521" i="5"/>
  <c r="AH521" i="5"/>
  <c r="AP521" i="5"/>
  <c r="AH558" i="5"/>
  <c r="AI558" i="5"/>
  <c r="AP558" i="5"/>
  <c r="AP426" i="5"/>
  <c r="AI426" i="5"/>
  <c r="AH426" i="5"/>
  <c r="AP377" i="5"/>
  <c r="AI377" i="5"/>
  <c r="AH377" i="5"/>
  <c r="AI495" i="5"/>
  <c r="AH495" i="5"/>
  <c r="AP495" i="5"/>
  <c r="AI528" i="5"/>
  <c r="AH528" i="5"/>
  <c r="AI380" i="5"/>
  <c r="AP380" i="5"/>
  <c r="AH380" i="5"/>
  <c r="AH553" i="5"/>
  <c r="AI553" i="5"/>
  <c r="AP553" i="5"/>
  <c r="AI507" i="5"/>
  <c r="AP507" i="5"/>
  <c r="AH507" i="5"/>
  <c r="AI486" i="5"/>
  <c r="AH486" i="5"/>
  <c r="AI474" i="5"/>
  <c r="AH474" i="5"/>
  <c r="AP474" i="5"/>
  <c r="AI459" i="5"/>
  <c r="AH459" i="5"/>
  <c r="AP459" i="5"/>
  <c r="AI439" i="5"/>
  <c r="AH439" i="5"/>
  <c r="AP439" i="5"/>
  <c r="AP337" i="5"/>
  <c r="AI337" i="5"/>
  <c r="AH337" i="5"/>
  <c r="AI516" i="5"/>
  <c r="AH516" i="5"/>
  <c r="AP516" i="5"/>
  <c r="AH496" i="5"/>
  <c r="AP496" i="5"/>
  <c r="AI496" i="5"/>
  <c r="AI460" i="5"/>
  <c r="AP460" i="5"/>
  <c r="AH460" i="5"/>
  <c r="AI447" i="5"/>
  <c r="AH447" i="5"/>
  <c r="AP447" i="5"/>
  <c r="AI370" i="5"/>
  <c r="AP370" i="5"/>
  <c r="AH370" i="5"/>
  <c r="AI530" i="5"/>
  <c r="AH530" i="5"/>
  <c r="AP530" i="5"/>
  <c r="AI510" i="5"/>
  <c r="AP510" i="5"/>
  <c r="AH510" i="5"/>
  <c r="AI494" i="5"/>
  <c r="AP494" i="5"/>
  <c r="AH494" i="5"/>
  <c r="AI487" i="5"/>
  <c r="AH487" i="5"/>
  <c r="AP487" i="5"/>
  <c r="AI451" i="5"/>
  <c r="AP451" i="5"/>
  <c r="AH451" i="5"/>
  <c r="AI438" i="5"/>
  <c r="AH438" i="5"/>
  <c r="AP438" i="5"/>
  <c r="AI412" i="5"/>
  <c r="AH412" i="5"/>
  <c r="AP412" i="5"/>
  <c r="AI346" i="5"/>
  <c r="AP346" i="5"/>
  <c r="AH346" i="5"/>
  <c r="AH275" i="5"/>
  <c r="AI275" i="5"/>
  <c r="AP275" i="5"/>
  <c r="AI417" i="5"/>
  <c r="AP417" i="5"/>
  <c r="AH417" i="5"/>
  <c r="AI402" i="5"/>
  <c r="AH402" i="5"/>
  <c r="AP402" i="5"/>
  <c r="AH375" i="5"/>
  <c r="AP375" i="5"/>
  <c r="AI375" i="5"/>
  <c r="AI360" i="5"/>
  <c r="AH360" i="5"/>
  <c r="AP360" i="5"/>
  <c r="AI347" i="5"/>
  <c r="AP347" i="5"/>
  <c r="AH347" i="5"/>
  <c r="AP410" i="5"/>
  <c r="AI410" i="5"/>
  <c r="AH410" i="5"/>
  <c r="AI396" i="5"/>
  <c r="AP396" i="5"/>
  <c r="AH396" i="5"/>
  <c r="AP386" i="5"/>
  <c r="AI386" i="5"/>
  <c r="AH386" i="5"/>
  <c r="AH368" i="5"/>
  <c r="AP368" i="5"/>
  <c r="AI368" i="5"/>
  <c r="AI340" i="5"/>
  <c r="AH340" i="5"/>
  <c r="AP340" i="5"/>
  <c r="AH321" i="5"/>
  <c r="AP321" i="5"/>
  <c r="AI321" i="5"/>
  <c r="AH262" i="5"/>
  <c r="AI262" i="5"/>
  <c r="AP262" i="5"/>
  <c r="AP436" i="5"/>
  <c r="AI436" i="5"/>
  <c r="AH436" i="5"/>
  <c r="AI421" i="5"/>
  <c r="AH421" i="5"/>
  <c r="AP421" i="5"/>
  <c r="AI403" i="5"/>
  <c r="AH403" i="5"/>
  <c r="AP403" i="5"/>
  <c r="AI397" i="5"/>
  <c r="AH397" i="5"/>
  <c r="AP397" i="5"/>
  <c r="AI378" i="5"/>
  <c r="AH378" i="5"/>
  <c r="AP378" i="5"/>
  <c r="AI341" i="5"/>
  <c r="AP341" i="5"/>
  <c r="AH341" i="5"/>
  <c r="AH284" i="5"/>
  <c r="AP284" i="5"/>
  <c r="AI284" i="5"/>
  <c r="AI356" i="5"/>
  <c r="AH356" i="5"/>
  <c r="AP356" i="5"/>
  <c r="AI345" i="5"/>
  <c r="AH345" i="5"/>
  <c r="AP345" i="5"/>
  <c r="AI336" i="5"/>
  <c r="AH336" i="5"/>
  <c r="AP336" i="5"/>
  <c r="AI313" i="5"/>
  <c r="AH313" i="5"/>
  <c r="AP313" i="5"/>
  <c r="AP296" i="5"/>
  <c r="AI296" i="5"/>
  <c r="AH296" i="5"/>
  <c r="AI281" i="5"/>
  <c r="AH281" i="5"/>
  <c r="AP281" i="5"/>
  <c r="AH261" i="5"/>
  <c r="AI261" i="5"/>
  <c r="AP261" i="5"/>
  <c r="AH237" i="5"/>
  <c r="AI237" i="5"/>
  <c r="AP237" i="5"/>
  <c r="AI328" i="5"/>
  <c r="AP328" i="5"/>
  <c r="AH328" i="5"/>
  <c r="AH316" i="5"/>
  <c r="AI316" i="5"/>
  <c r="AP316" i="5"/>
  <c r="AI299" i="5"/>
  <c r="AP299" i="5"/>
  <c r="AH299" i="5"/>
  <c r="AH286" i="5"/>
  <c r="AP286" i="5"/>
  <c r="AI286" i="5"/>
  <c r="AH276" i="5"/>
  <c r="AI276" i="5"/>
  <c r="AP276" i="5"/>
  <c r="AH250" i="5"/>
  <c r="AI250" i="5"/>
  <c r="AP250" i="5"/>
  <c r="AH210" i="5"/>
  <c r="AI210" i="5"/>
  <c r="AP210" i="5"/>
  <c r="AI324" i="5"/>
  <c r="AP324" i="5"/>
  <c r="AH324" i="5"/>
  <c r="AI314" i="5"/>
  <c r="AH314" i="5"/>
  <c r="AP314" i="5"/>
  <c r="AP301" i="5"/>
  <c r="AI301" i="5"/>
  <c r="AH301" i="5"/>
  <c r="AP283" i="5"/>
  <c r="AH283" i="5"/>
  <c r="AI283" i="5"/>
  <c r="AI273" i="5"/>
  <c r="AH273" i="5"/>
  <c r="AP273" i="5"/>
  <c r="AP257" i="5"/>
  <c r="AH257" i="5"/>
  <c r="AI257" i="5"/>
  <c r="AP251" i="5"/>
  <c r="AH251" i="5"/>
  <c r="AI251" i="5"/>
  <c r="AI240" i="5"/>
  <c r="AH240" i="5"/>
  <c r="AP240" i="5"/>
  <c r="AP233" i="5"/>
  <c r="AH233" i="5"/>
  <c r="AI233" i="5"/>
  <c r="AI221" i="5"/>
  <c r="AH221" i="5"/>
  <c r="AP221" i="5"/>
  <c r="AI195" i="5"/>
  <c r="AH195" i="5"/>
  <c r="AP195" i="5"/>
  <c r="AI159" i="5"/>
  <c r="AH159" i="5"/>
  <c r="AP159" i="5"/>
  <c r="AH229" i="5"/>
  <c r="AI229" i="5"/>
  <c r="AP229" i="5"/>
  <c r="AI211" i="5"/>
  <c r="AH211" i="5"/>
  <c r="AP211" i="5"/>
  <c r="AH164" i="5"/>
  <c r="AI164" i="5"/>
  <c r="AP164" i="5"/>
  <c r="AH239" i="5"/>
  <c r="AI239" i="5"/>
  <c r="AP239" i="5"/>
  <c r="AH218" i="5"/>
  <c r="AI218" i="5"/>
  <c r="AP218" i="5"/>
  <c r="AH176" i="5"/>
  <c r="AI176" i="5"/>
  <c r="AP176" i="5"/>
  <c r="AH199" i="5"/>
  <c r="AI199" i="5"/>
  <c r="AP199" i="5"/>
  <c r="AH190" i="5"/>
  <c r="AI190" i="5"/>
  <c r="AP190" i="5"/>
  <c r="AI175" i="5"/>
  <c r="AH175" i="5"/>
  <c r="AP175" i="5"/>
  <c r="AH160" i="5"/>
  <c r="AI160" i="5"/>
  <c r="AP160" i="5"/>
  <c r="AH133" i="5"/>
  <c r="AP133" i="5"/>
  <c r="AI133" i="5"/>
  <c r="AI182" i="5"/>
  <c r="AH182" i="5"/>
  <c r="AP182" i="5"/>
  <c r="AI165" i="5"/>
  <c r="AH165" i="5"/>
  <c r="AP165" i="5"/>
  <c r="AH131" i="5"/>
  <c r="AI131" i="5"/>
  <c r="AP131" i="5"/>
  <c r="AI187" i="5"/>
  <c r="AH187" i="5"/>
  <c r="AP187" i="5"/>
  <c r="AH177" i="5"/>
  <c r="AI177" i="5"/>
  <c r="AP177" i="5"/>
  <c r="AI153" i="5"/>
  <c r="AH153" i="5"/>
  <c r="AP153" i="5"/>
  <c r="AH135" i="5"/>
  <c r="AI135" i="5"/>
  <c r="AP135" i="5"/>
  <c r="AH110" i="5"/>
  <c r="AI110" i="5"/>
  <c r="AP110" i="5"/>
  <c r="AH139" i="5"/>
  <c r="AI139" i="5"/>
  <c r="AP139" i="5"/>
  <c r="AH130" i="5"/>
  <c r="AI130" i="5"/>
  <c r="AH118" i="5"/>
  <c r="AI118" i="5"/>
  <c r="AP118" i="5"/>
  <c r="AH92" i="5"/>
  <c r="AI92" i="5"/>
  <c r="AP92" i="5"/>
  <c r="AH142" i="5"/>
  <c r="AP142" i="5"/>
  <c r="AI142" i="5"/>
  <c r="AI89" i="5"/>
  <c r="AH89" i="5"/>
  <c r="AP89" i="5"/>
  <c r="AI141" i="5"/>
  <c r="AH141" i="5"/>
  <c r="AP141" i="5"/>
  <c r="AH121" i="5"/>
  <c r="AI121" i="5"/>
  <c r="AP121" i="5"/>
  <c r="AH100" i="5"/>
  <c r="AI100" i="5"/>
  <c r="AP100" i="5"/>
  <c r="AI91" i="5"/>
  <c r="AH91" i="5"/>
  <c r="AP91" i="5"/>
  <c r="AI79" i="5"/>
  <c r="AH79" i="5"/>
  <c r="AP79" i="5"/>
  <c r="AP103" i="5"/>
  <c r="AH103" i="5"/>
  <c r="AI103" i="5"/>
  <c r="AI96" i="5"/>
  <c r="AH96" i="5"/>
  <c r="AP96" i="5"/>
  <c r="AI93" i="5"/>
  <c r="AH93" i="5"/>
  <c r="AP93" i="5"/>
  <c r="AH78" i="5"/>
  <c r="AI78" i="5"/>
  <c r="AP78" i="5"/>
  <c r="AI55" i="5"/>
  <c r="AH55" i="5"/>
  <c r="AP55" i="5"/>
  <c r="AH69" i="5"/>
  <c r="AI69" i="5"/>
  <c r="AP69" i="5"/>
  <c r="AI66" i="5"/>
  <c r="AH66" i="5"/>
  <c r="AP66" i="5"/>
  <c r="AP23" i="5"/>
  <c r="AH23" i="5"/>
  <c r="AI23" i="5"/>
  <c r="AH65" i="5"/>
  <c r="AI65" i="5"/>
  <c r="AP65" i="5"/>
  <c r="AI41" i="5"/>
  <c r="AH41" i="5"/>
  <c r="AP41" i="5"/>
  <c r="AH54" i="5"/>
  <c r="AI54" i="5"/>
  <c r="AP54" i="5"/>
  <c r="AI25" i="5"/>
  <c r="AH25" i="5"/>
  <c r="AP25" i="5"/>
  <c r="AI47" i="5"/>
  <c r="AH47" i="5"/>
  <c r="AP47" i="5"/>
  <c r="AH34" i="5"/>
  <c r="AI34" i="5"/>
  <c r="AP34" i="5"/>
  <c r="AH42" i="5"/>
  <c r="AI42" i="5"/>
  <c r="AP42" i="5"/>
  <c r="AI24" i="5"/>
  <c r="AH24" i="5"/>
  <c r="AP24" i="5"/>
  <c r="AH38" i="5"/>
  <c r="AP38" i="5"/>
  <c r="AI38" i="5"/>
  <c r="AP29" i="5"/>
  <c r="AI29" i="5"/>
  <c r="AH29" i="5"/>
  <c r="AO546" i="5"/>
  <c r="AN546" i="5"/>
  <c r="AN450" i="5"/>
  <c r="AO450" i="5"/>
  <c r="AO552" i="5"/>
  <c r="AN552" i="5"/>
  <c r="AO535" i="5"/>
  <c r="AN535" i="5"/>
  <c r="AN491" i="5"/>
  <c r="AO491" i="5"/>
  <c r="AN551" i="5"/>
  <c r="AO551" i="5"/>
  <c r="AN543" i="5"/>
  <c r="AO543" i="5"/>
  <c r="AO445" i="5"/>
  <c r="AN445" i="5"/>
  <c r="AO560" i="5"/>
  <c r="AN560" i="5"/>
  <c r="AN540" i="5"/>
  <c r="AO540" i="5"/>
  <c r="AN527" i="5"/>
  <c r="AO527" i="5"/>
  <c r="AO485" i="5"/>
  <c r="AN485" i="5"/>
  <c r="AO421" i="5"/>
  <c r="AN421" i="5"/>
  <c r="AO556" i="5"/>
  <c r="AN556" i="5"/>
  <c r="AN539" i="5"/>
  <c r="AO539" i="5"/>
  <c r="AN520" i="5"/>
  <c r="AO520" i="5"/>
  <c r="AO508" i="5"/>
  <c r="AN508" i="5"/>
  <c r="AO500" i="5"/>
  <c r="AN500" i="5"/>
  <c r="AO493" i="5"/>
  <c r="AN493" i="5"/>
  <c r="AO487" i="5"/>
  <c r="AN487" i="5"/>
  <c r="AN476" i="5"/>
  <c r="AO476" i="5"/>
  <c r="AO463" i="5"/>
  <c r="AN463" i="5"/>
  <c r="AO451" i="5"/>
  <c r="AN451" i="5"/>
  <c r="AO434" i="5"/>
  <c r="AN434" i="5"/>
  <c r="AO396" i="5"/>
  <c r="AN396" i="5"/>
  <c r="AO347" i="5"/>
  <c r="AN347" i="5"/>
  <c r="AO514" i="5"/>
  <c r="AN514" i="5"/>
  <c r="AN506" i="5"/>
  <c r="AO506" i="5"/>
  <c r="AN477" i="5"/>
  <c r="AO477" i="5"/>
  <c r="AO467" i="5"/>
  <c r="AN467" i="5"/>
  <c r="AN447" i="5"/>
  <c r="AO447" i="5"/>
  <c r="AN427" i="5"/>
  <c r="AO427" i="5"/>
  <c r="AO397" i="5"/>
  <c r="AN397" i="5"/>
  <c r="AN325" i="5"/>
  <c r="AO325" i="5"/>
  <c r="AO526" i="5"/>
  <c r="AN526" i="5"/>
  <c r="AO497" i="5"/>
  <c r="AN497" i="5"/>
  <c r="AO475" i="5"/>
  <c r="AN475" i="5"/>
  <c r="AO459" i="5"/>
  <c r="AN459" i="5"/>
  <c r="AO442" i="5"/>
  <c r="AN442" i="5"/>
  <c r="AN362" i="5"/>
  <c r="AO362" i="5"/>
  <c r="AO415" i="5"/>
  <c r="AN415" i="5"/>
  <c r="AO395" i="5"/>
  <c r="AN395" i="5"/>
  <c r="AO374" i="5"/>
  <c r="AN374" i="5"/>
  <c r="AO355" i="5"/>
  <c r="AN355" i="5"/>
  <c r="AO341" i="5"/>
  <c r="AN341" i="5"/>
  <c r="AN292" i="5"/>
  <c r="AO292" i="5"/>
  <c r="AO273" i="5"/>
  <c r="AN273" i="5"/>
  <c r="AN209" i="5"/>
  <c r="AO209" i="5"/>
  <c r="AN413" i="5"/>
  <c r="AO413" i="5"/>
  <c r="AN392" i="5"/>
  <c r="AO392" i="5"/>
  <c r="AO384" i="5"/>
  <c r="AN384" i="5"/>
  <c r="AO370" i="5"/>
  <c r="AN370" i="5"/>
  <c r="AO359" i="5"/>
  <c r="AN359" i="5"/>
  <c r="AN334" i="5"/>
  <c r="AO334" i="5"/>
  <c r="AO260" i="5"/>
  <c r="AN260" i="5"/>
  <c r="AN436" i="5"/>
  <c r="AO436" i="5"/>
  <c r="AN423" i="5"/>
  <c r="AO423" i="5"/>
  <c r="AN410" i="5"/>
  <c r="AO410" i="5"/>
  <c r="AN385" i="5"/>
  <c r="AO385" i="5"/>
  <c r="AO369" i="5"/>
  <c r="AN369" i="5"/>
  <c r="AO338" i="5"/>
  <c r="AN338" i="5"/>
  <c r="AN299" i="5"/>
  <c r="AO299" i="5"/>
  <c r="AN206" i="5"/>
  <c r="AO206" i="5"/>
  <c r="AN346" i="5"/>
  <c r="AO346" i="5"/>
  <c r="AN337" i="5"/>
  <c r="AO337" i="5"/>
  <c r="AO324" i="5"/>
  <c r="AN324" i="5"/>
  <c r="AO314" i="5"/>
  <c r="AN314" i="5"/>
  <c r="AO306" i="5"/>
  <c r="AN306" i="5"/>
  <c r="AO287" i="5"/>
  <c r="AN287" i="5"/>
  <c r="AO265" i="5"/>
  <c r="AN265" i="5"/>
  <c r="AO251" i="5"/>
  <c r="AN251" i="5"/>
  <c r="AO232" i="5"/>
  <c r="AN232" i="5"/>
  <c r="AO331" i="5"/>
  <c r="AN331" i="5"/>
  <c r="AN305" i="5"/>
  <c r="AO305" i="5"/>
  <c r="AN284" i="5"/>
  <c r="AO284" i="5"/>
  <c r="AN262" i="5"/>
  <c r="AO262" i="5"/>
  <c r="AO207" i="5"/>
  <c r="AN207" i="5"/>
  <c r="AO318" i="5"/>
  <c r="AN318" i="5"/>
  <c r="AO300" i="5"/>
  <c r="AN300" i="5"/>
  <c r="AO285" i="5"/>
  <c r="AN285" i="5"/>
  <c r="AO276" i="5"/>
  <c r="AN276" i="5"/>
  <c r="AO264" i="5"/>
  <c r="AN264" i="5"/>
  <c r="AO223" i="5"/>
  <c r="AN223" i="5"/>
  <c r="AO189" i="5"/>
  <c r="AN189" i="5"/>
  <c r="AN234" i="5"/>
  <c r="AO234" i="5"/>
  <c r="AO200" i="5"/>
  <c r="AN200" i="5"/>
  <c r="AO178" i="5"/>
  <c r="AN178" i="5"/>
  <c r="AO238" i="5"/>
  <c r="AN238" i="5"/>
  <c r="AO222" i="5"/>
  <c r="AN222" i="5"/>
  <c r="AO212" i="5"/>
  <c r="AN212" i="5"/>
  <c r="AO195" i="5"/>
  <c r="AN195" i="5"/>
  <c r="AO243" i="5"/>
  <c r="AN243" i="5"/>
  <c r="AO225" i="5"/>
  <c r="AN225" i="5"/>
  <c r="AO211" i="5"/>
  <c r="AN211" i="5"/>
  <c r="AN174" i="5"/>
  <c r="AO174" i="5"/>
  <c r="AO130" i="5"/>
  <c r="AN130" i="5"/>
  <c r="AO198" i="5"/>
  <c r="AN198" i="5"/>
  <c r="AN173" i="5"/>
  <c r="AO173" i="5"/>
  <c r="AN156" i="5"/>
  <c r="AO156" i="5"/>
  <c r="AN122" i="5"/>
  <c r="AO122" i="5"/>
  <c r="AO176" i="5"/>
  <c r="AN176" i="5"/>
  <c r="AN164" i="5"/>
  <c r="AO164" i="5"/>
  <c r="AN141" i="5"/>
  <c r="AO141" i="5"/>
  <c r="AN175" i="5"/>
  <c r="AO175" i="5"/>
  <c r="AO160" i="5"/>
  <c r="AN160" i="5"/>
  <c r="AN148" i="5"/>
  <c r="AO148" i="5"/>
  <c r="AO137" i="5"/>
  <c r="AN137" i="5"/>
  <c r="AN113" i="5"/>
  <c r="AO113" i="5"/>
  <c r="AN149" i="5"/>
  <c r="AO149" i="5"/>
  <c r="AO135" i="5"/>
  <c r="AN135" i="5"/>
  <c r="AN125" i="5"/>
  <c r="AO125" i="5"/>
  <c r="AO112" i="5"/>
  <c r="AN112" i="5"/>
  <c r="AN85" i="5"/>
  <c r="AO85" i="5"/>
  <c r="AO140" i="5"/>
  <c r="AN140" i="5"/>
  <c r="AN114" i="5"/>
  <c r="AO114" i="5"/>
  <c r="AN109" i="5"/>
  <c r="AO109" i="5"/>
  <c r="AO108" i="5"/>
  <c r="AN108" i="5"/>
  <c r="AO98" i="5"/>
  <c r="AN98" i="5"/>
  <c r="AN92" i="5"/>
  <c r="AO92" i="5"/>
  <c r="AO88" i="5"/>
  <c r="AN88" i="5"/>
  <c r="AO82" i="5"/>
  <c r="AN82" i="5"/>
  <c r="AN69" i="5"/>
  <c r="AO69" i="5"/>
  <c r="AO47" i="5"/>
  <c r="AN47" i="5"/>
  <c r="AN71" i="5"/>
  <c r="AO71" i="5"/>
  <c r="AO72" i="5"/>
  <c r="AN72" i="5"/>
  <c r="AN66" i="5"/>
  <c r="AO66" i="5"/>
  <c r="AN51" i="5"/>
  <c r="AO51" i="5"/>
  <c r="AO48" i="5"/>
  <c r="AN48" i="5"/>
  <c r="AN73" i="5"/>
  <c r="AO73" i="5"/>
  <c r="AO60" i="5"/>
  <c r="AN60" i="5"/>
  <c r="AO32" i="5"/>
  <c r="AN32" i="5"/>
  <c r="AN41" i="5"/>
  <c r="AO41" i="5"/>
  <c r="AO20" i="5"/>
  <c r="AN20" i="5"/>
  <c r="AN27" i="5"/>
  <c r="AO27" i="5"/>
  <c r="AN45" i="5"/>
  <c r="AO45" i="5"/>
  <c r="AN29" i="5"/>
  <c r="AO29" i="5"/>
  <c r="AL553" i="5"/>
  <c r="AK553" i="5"/>
  <c r="AK514" i="5"/>
  <c r="AL514" i="5"/>
  <c r="AL360" i="5"/>
  <c r="AK360" i="5"/>
  <c r="AK525" i="5"/>
  <c r="AL525" i="5"/>
  <c r="AK486" i="5"/>
  <c r="AL486" i="5"/>
  <c r="AK457" i="5"/>
  <c r="AL457" i="5"/>
  <c r="AL548" i="5"/>
  <c r="AK548" i="5"/>
  <c r="AL541" i="5"/>
  <c r="AK541" i="5"/>
  <c r="AL528" i="5"/>
  <c r="AK528" i="5"/>
  <c r="AL462" i="5"/>
  <c r="AK462" i="5"/>
  <c r="AK550" i="5"/>
  <c r="AL550" i="5"/>
  <c r="AK459" i="5"/>
  <c r="AL459" i="5"/>
  <c r="AL291" i="5"/>
  <c r="AK291" i="5"/>
  <c r="AL558" i="5"/>
  <c r="AK558" i="5"/>
  <c r="AL542" i="5"/>
  <c r="AK542" i="5"/>
  <c r="AK534" i="5"/>
  <c r="AL534" i="5"/>
  <c r="AK517" i="5"/>
  <c r="AL517" i="5"/>
  <c r="AK490" i="5"/>
  <c r="AL490" i="5"/>
  <c r="AK464" i="5"/>
  <c r="AL464" i="5"/>
  <c r="AK448" i="5"/>
  <c r="AL448" i="5"/>
  <c r="AK435" i="5"/>
  <c r="AL435" i="5"/>
  <c r="AK422" i="5"/>
  <c r="AL422" i="5"/>
  <c r="AK411" i="5"/>
  <c r="AL411" i="5"/>
  <c r="AK351" i="5"/>
  <c r="AL351" i="5"/>
  <c r="AK521" i="5"/>
  <c r="AL521" i="5"/>
  <c r="AL510" i="5"/>
  <c r="AK510" i="5"/>
  <c r="AL502" i="5"/>
  <c r="AK502" i="5"/>
  <c r="AK489" i="5"/>
  <c r="AL489" i="5"/>
  <c r="AL473" i="5"/>
  <c r="AK473" i="5"/>
  <c r="AK455" i="5"/>
  <c r="AL455" i="5"/>
  <c r="AK449" i="5"/>
  <c r="AL449" i="5"/>
  <c r="AK436" i="5"/>
  <c r="AL436" i="5"/>
  <c r="AK367" i="5"/>
  <c r="AL367" i="5"/>
  <c r="AK523" i="5"/>
  <c r="AL523" i="5"/>
  <c r="AL506" i="5"/>
  <c r="AK506" i="5"/>
  <c r="AK492" i="5"/>
  <c r="AL492" i="5"/>
  <c r="AK479" i="5"/>
  <c r="AL479" i="5"/>
  <c r="AK467" i="5"/>
  <c r="AL467" i="5"/>
  <c r="AL446" i="5"/>
  <c r="AK446" i="5"/>
  <c r="AK429" i="5"/>
  <c r="AL429" i="5"/>
  <c r="AL338" i="5"/>
  <c r="AK338" i="5"/>
  <c r="AK405" i="5"/>
  <c r="AL405" i="5"/>
  <c r="AK396" i="5"/>
  <c r="AL396" i="5"/>
  <c r="AK382" i="5"/>
  <c r="AL382" i="5"/>
  <c r="AK368" i="5"/>
  <c r="AL368" i="5"/>
  <c r="AL303" i="5"/>
  <c r="AK303" i="5"/>
  <c r="AK420" i="5"/>
  <c r="AL420" i="5"/>
  <c r="AL398" i="5"/>
  <c r="AK398" i="5"/>
  <c r="AK378" i="5"/>
  <c r="AL378" i="5"/>
  <c r="AK358" i="5"/>
  <c r="AL358" i="5"/>
  <c r="AK342" i="5"/>
  <c r="AL342" i="5"/>
  <c r="AK274" i="5"/>
  <c r="AL274" i="5"/>
  <c r="AK432" i="5"/>
  <c r="AL432" i="5"/>
  <c r="AK416" i="5"/>
  <c r="AL416" i="5"/>
  <c r="AK399" i="5"/>
  <c r="AL399" i="5"/>
  <c r="AK384" i="5"/>
  <c r="AL384" i="5"/>
  <c r="AK371" i="5"/>
  <c r="AL371" i="5"/>
  <c r="AK359" i="5"/>
  <c r="AL359" i="5"/>
  <c r="AK346" i="5"/>
  <c r="AL346" i="5"/>
  <c r="AK327" i="5"/>
  <c r="AL327" i="5"/>
  <c r="AK281" i="5"/>
  <c r="AL281" i="5"/>
  <c r="AL353" i="5"/>
  <c r="AK353" i="5"/>
  <c r="AK333" i="5"/>
  <c r="AL333" i="5"/>
  <c r="AK316" i="5"/>
  <c r="AL316" i="5"/>
  <c r="AL299" i="5"/>
  <c r="AK299" i="5"/>
  <c r="AL286" i="5"/>
  <c r="AK286" i="5"/>
  <c r="AL273" i="5"/>
  <c r="AK273" i="5"/>
  <c r="AL258" i="5"/>
  <c r="AK258" i="5"/>
  <c r="AK221" i="5"/>
  <c r="AL221" i="5"/>
  <c r="AL324" i="5"/>
  <c r="AK324" i="5"/>
  <c r="AL314" i="5"/>
  <c r="AK314" i="5"/>
  <c r="AL301" i="5"/>
  <c r="AK301" i="5"/>
  <c r="AL283" i="5"/>
  <c r="AK283" i="5"/>
  <c r="AL265" i="5"/>
  <c r="AK265" i="5"/>
  <c r="AK254" i="5"/>
  <c r="AL254" i="5"/>
  <c r="AK230" i="5"/>
  <c r="AL230" i="5"/>
  <c r="AK330" i="5"/>
  <c r="AL330" i="5"/>
  <c r="AL317" i="5"/>
  <c r="AK317" i="5"/>
  <c r="AL298" i="5"/>
  <c r="AK298" i="5"/>
  <c r="AK278" i="5"/>
  <c r="AL278" i="5"/>
  <c r="AK256" i="5"/>
  <c r="AL256" i="5"/>
  <c r="AK236" i="5"/>
  <c r="AL236" i="5"/>
  <c r="AL163" i="5"/>
  <c r="AK163" i="5"/>
  <c r="AK227" i="5"/>
  <c r="AL227" i="5"/>
  <c r="AL218" i="5"/>
  <c r="AK218" i="5"/>
  <c r="AL201" i="5"/>
  <c r="AK201" i="5"/>
  <c r="AK189" i="5"/>
  <c r="AL189" i="5"/>
  <c r="AL172" i="5"/>
  <c r="AK172" i="5"/>
  <c r="AL234" i="5"/>
  <c r="AK234" i="5"/>
  <c r="AK199" i="5"/>
  <c r="AL199" i="5"/>
  <c r="AK242" i="5"/>
  <c r="AL242" i="5"/>
  <c r="AK228" i="5"/>
  <c r="AL228" i="5"/>
  <c r="AP217" i="5"/>
  <c r="AK217" i="5"/>
  <c r="AL217" i="5"/>
  <c r="AK203" i="5"/>
  <c r="AL203" i="5"/>
  <c r="AL160" i="5"/>
  <c r="AK160" i="5"/>
  <c r="AK207" i="5"/>
  <c r="AL207" i="5"/>
  <c r="AK191" i="5"/>
  <c r="AL191" i="5"/>
  <c r="AK171" i="5"/>
  <c r="AL171" i="5"/>
  <c r="AP119" i="5"/>
  <c r="AL119" i="5"/>
  <c r="AK119" i="5"/>
  <c r="AK173" i="5"/>
  <c r="AL173" i="5"/>
  <c r="AL180" i="5"/>
  <c r="AK180" i="5"/>
  <c r="AK166" i="5"/>
  <c r="AL166" i="5"/>
  <c r="AK113" i="5"/>
  <c r="AL113" i="5"/>
  <c r="AK150" i="5"/>
  <c r="AL150" i="5"/>
  <c r="AK133" i="5"/>
  <c r="AL133" i="5"/>
  <c r="AL121" i="5"/>
  <c r="AK121" i="5"/>
  <c r="AL105" i="5"/>
  <c r="AK105" i="5"/>
  <c r="AP64" i="5"/>
  <c r="AL64" i="5"/>
  <c r="AK64" i="5"/>
  <c r="AK143" i="5"/>
  <c r="AL143" i="5"/>
  <c r="AK132" i="5"/>
  <c r="AL132" i="5"/>
  <c r="AK116" i="5"/>
  <c r="AL116" i="5"/>
  <c r="AK158" i="5"/>
  <c r="AL158" i="5"/>
  <c r="AK138" i="5"/>
  <c r="AL138" i="5"/>
  <c r="AK125" i="5"/>
  <c r="AL125" i="5"/>
  <c r="AK112" i="5"/>
  <c r="AL112" i="5"/>
  <c r="AK97" i="5"/>
  <c r="AL97" i="5"/>
  <c r="AK96" i="5"/>
  <c r="AL96" i="5"/>
  <c r="AL89" i="5"/>
  <c r="AK89" i="5"/>
  <c r="AL101" i="5"/>
  <c r="AK101" i="5"/>
  <c r="AK85" i="5"/>
  <c r="AL85" i="5"/>
  <c r="AK72" i="5"/>
  <c r="AL72" i="5"/>
  <c r="AL88" i="5"/>
  <c r="AK88" i="5"/>
  <c r="AL68" i="5"/>
  <c r="AK68" i="5"/>
  <c r="AL60" i="5"/>
  <c r="AK60" i="5"/>
  <c r="AK71" i="5"/>
  <c r="AL71" i="5"/>
  <c r="AK56" i="5"/>
  <c r="AL56" i="5"/>
  <c r="AK47" i="5"/>
  <c r="AL47" i="5"/>
  <c r="AK61" i="5"/>
  <c r="AL61" i="5"/>
  <c r="AK51" i="5"/>
  <c r="AL51" i="5"/>
  <c r="AL52" i="5"/>
  <c r="AK52" i="5"/>
  <c r="AK35" i="5"/>
  <c r="AL35" i="5"/>
  <c r="AK21" i="5"/>
  <c r="AL21" i="5"/>
  <c r="AK38" i="5"/>
  <c r="AL38" i="5"/>
  <c r="AK20" i="5"/>
  <c r="AL20" i="5"/>
  <c r="AK31" i="5"/>
  <c r="AL31" i="5"/>
  <c r="AK22" i="5"/>
  <c r="AL22" i="5"/>
  <c r="AI538" i="5"/>
  <c r="AP538" i="5"/>
  <c r="AH538" i="5"/>
  <c r="AI503" i="5"/>
  <c r="AH503" i="5"/>
  <c r="AP503" i="5"/>
  <c r="AH446" i="5"/>
  <c r="AP446" i="5"/>
  <c r="AI446" i="5"/>
  <c r="AH556" i="5"/>
  <c r="AI556" i="5"/>
  <c r="AP556" i="5"/>
  <c r="AH511" i="5"/>
  <c r="AP511" i="5"/>
  <c r="AI511" i="5"/>
  <c r="AP432" i="5"/>
  <c r="AI432" i="5"/>
  <c r="AH432" i="5"/>
  <c r="AI413" i="5"/>
  <c r="AH413" i="5"/>
  <c r="AP413" i="5"/>
  <c r="AH365" i="5"/>
  <c r="AI365" i="5"/>
  <c r="AP365" i="5"/>
  <c r="AI532" i="5"/>
  <c r="AH532" i="5"/>
  <c r="AP532" i="5"/>
  <c r="AI533" i="5"/>
  <c r="AP533" i="5"/>
  <c r="AH533" i="5"/>
  <c r="AI484" i="5"/>
  <c r="AP484" i="5"/>
  <c r="AH484" i="5"/>
  <c r="AI441" i="5"/>
  <c r="AH441" i="5"/>
  <c r="AP441" i="5"/>
  <c r="AI541" i="5"/>
  <c r="AH541" i="5"/>
  <c r="AP541" i="5"/>
  <c r="AI520" i="5"/>
  <c r="AH520" i="5"/>
  <c r="AP520" i="5"/>
  <c r="AI482" i="5"/>
  <c r="AP482" i="5"/>
  <c r="AH482" i="5"/>
  <c r="AI463" i="5"/>
  <c r="AH463" i="5"/>
  <c r="AP463" i="5"/>
  <c r="AH204" i="5"/>
  <c r="AI204" i="5"/>
  <c r="AP204" i="5"/>
  <c r="AH551" i="5"/>
  <c r="AP551" i="5"/>
  <c r="AI551" i="5"/>
  <c r="AI546" i="5"/>
  <c r="AH546" i="5"/>
  <c r="AP546" i="5"/>
  <c r="AH524" i="5"/>
  <c r="AP524" i="5"/>
  <c r="AI524" i="5"/>
  <c r="AI505" i="5"/>
  <c r="AH505" i="5"/>
  <c r="AP505" i="5"/>
  <c r="AI480" i="5"/>
  <c r="AH480" i="5"/>
  <c r="AP480" i="5"/>
  <c r="AI471" i="5"/>
  <c r="AH471" i="5"/>
  <c r="AP471" i="5"/>
  <c r="AI457" i="5"/>
  <c r="AP457" i="5"/>
  <c r="AH457" i="5"/>
  <c r="AI423" i="5"/>
  <c r="AP423" i="5"/>
  <c r="AH423" i="5"/>
  <c r="AH302" i="5"/>
  <c r="AP302" i="5"/>
  <c r="AI302" i="5"/>
  <c r="AI515" i="5"/>
  <c r="AH515" i="5"/>
  <c r="AP515" i="5"/>
  <c r="AI491" i="5"/>
  <c r="AH491" i="5"/>
  <c r="AP491" i="5"/>
  <c r="AI475" i="5"/>
  <c r="AH475" i="5"/>
  <c r="AP475" i="5"/>
  <c r="AI458" i="5"/>
  <c r="AH458" i="5"/>
  <c r="AP458" i="5"/>
  <c r="AP442" i="5"/>
  <c r="AI442" i="5"/>
  <c r="AH442" i="5"/>
  <c r="AP422" i="5"/>
  <c r="AI422" i="5"/>
  <c r="AH422" i="5"/>
  <c r="AH357" i="5"/>
  <c r="AP357" i="5"/>
  <c r="AI357" i="5"/>
  <c r="AI522" i="5"/>
  <c r="AH522" i="5"/>
  <c r="AP522" i="5"/>
  <c r="AP508" i="5"/>
  <c r="AI508" i="5"/>
  <c r="AH508" i="5"/>
  <c r="AI493" i="5"/>
  <c r="AH493" i="5"/>
  <c r="AP493" i="5"/>
  <c r="AI481" i="5"/>
  <c r="AP481" i="5"/>
  <c r="AH481" i="5"/>
  <c r="AP450" i="5"/>
  <c r="AI450" i="5"/>
  <c r="AH450" i="5"/>
  <c r="AI431" i="5"/>
  <c r="AH431" i="5"/>
  <c r="AP431" i="5"/>
  <c r="AI379" i="5"/>
  <c r="AH379" i="5"/>
  <c r="AP379" i="5"/>
  <c r="AI344" i="5"/>
  <c r="AH344" i="5"/>
  <c r="AP344" i="5"/>
  <c r="AH256" i="5"/>
  <c r="AI256" i="5"/>
  <c r="AP256" i="5"/>
  <c r="AI414" i="5"/>
  <c r="AH414" i="5"/>
  <c r="AP414" i="5"/>
  <c r="AI390" i="5"/>
  <c r="AH390" i="5"/>
  <c r="AP390" i="5"/>
  <c r="AI373" i="5"/>
  <c r="AP373" i="5"/>
  <c r="AH373" i="5"/>
  <c r="AP353" i="5"/>
  <c r="AI353" i="5"/>
  <c r="AH353" i="5"/>
  <c r="AP339" i="5"/>
  <c r="AI339" i="5"/>
  <c r="AH339" i="5"/>
  <c r="AI409" i="5"/>
  <c r="AH409" i="5"/>
  <c r="AP409" i="5"/>
  <c r="AI393" i="5"/>
  <c r="AH393" i="5"/>
  <c r="AP393" i="5"/>
  <c r="AI381" i="5"/>
  <c r="AP381" i="5"/>
  <c r="AH381" i="5"/>
  <c r="AI367" i="5"/>
  <c r="AH367" i="5"/>
  <c r="AP367" i="5"/>
  <c r="AI333" i="5"/>
  <c r="AH333" i="5"/>
  <c r="AP333" i="5"/>
  <c r="AI298" i="5"/>
  <c r="AH298" i="5"/>
  <c r="AP298" i="5"/>
  <c r="AH226" i="5"/>
  <c r="AI226" i="5"/>
  <c r="AP226" i="5"/>
  <c r="AI433" i="5"/>
  <c r="AH433" i="5"/>
  <c r="AP433" i="5"/>
  <c r="AI420" i="5"/>
  <c r="AP420" i="5"/>
  <c r="AH420" i="5"/>
  <c r="AI401" i="5"/>
  <c r="AH401" i="5"/>
  <c r="AP401" i="5"/>
  <c r="AI394" i="5"/>
  <c r="AP394" i="5"/>
  <c r="AH394" i="5"/>
  <c r="AI374" i="5"/>
  <c r="AH374" i="5"/>
  <c r="AP374" i="5"/>
  <c r="AI330" i="5"/>
  <c r="AP330" i="5"/>
  <c r="AH330" i="5"/>
  <c r="AH231" i="5"/>
  <c r="AI231" i="5"/>
  <c r="AP231" i="5"/>
  <c r="AH354" i="5"/>
  <c r="AI354" i="5"/>
  <c r="AP354" i="5"/>
  <c r="AI343" i="5"/>
  <c r="AH343" i="5"/>
  <c r="AI335" i="5"/>
  <c r="AH335" i="5"/>
  <c r="AP335" i="5"/>
  <c r="AH307" i="5"/>
  <c r="AP307" i="5"/>
  <c r="AI307" i="5"/>
  <c r="AI291" i="5"/>
  <c r="AH291" i="5"/>
  <c r="AP291" i="5"/>
  <c r="AH271" i="5"/>
  <c r="AI271" i="5"/>
  <c r="AP271" i="5"/>
  <c r="AI259" i="5"/>
  <c r="AH259" i="5"/>
  <c r="AP259" i="5"/>
  <c r="AH200" i="5"/>
  <c r="AI200" i="5"/>
  <c r="AP200" i="5"/>
  <c r="AI327" i="5"/>
  <c r="AH327" i="5"/>
  <c r="AP327" i="5"/>
  <c r="AH311" i="5"/>
  <c r="AP311" i="5"/>
  <c r="AI311" i="5"/>
  <c r="AI297" i="5"/>
  <c r="AH297" i="5"/>
  <c r="AP297" i="5"/>
  <c r="AI282" i="5"/>
  <c r="AH282" i="5"/>
  <c r="AP282" i="5"/>
  <c r="AH270" i="5"/>
  <c r="AI270" i="5"/>
  <c r="AP270" i="5"/>
  <c r="AH246" i="5"/>
  <c r="AI246" i="5"/>
  <c r="AP246" i="5"/>
  <c r="AI205" i="5"/>
  <c r="AP205" i="5"/>
  <c r="AH205" i="5"/>
  <c r="AI322" i="5"/>
  <c r="AP322" i="5"/>
  <c r="AH322" i="5"/>
  <c r="AH312" i="5"/>
  <c r="AP312" i="5"/>
  <c r="AI312" i="5"/>
  <c r="AI295" i="5"/>
  <c r="AH295" i="5"/>
  <c r="AP295" i="5"/>
  <c r="AH280" i="5"/>
  <c r="AI280" i="5"/>
  <c r="AP280" i="5"/>
  <c r="AH265" i="5"/>
  <c r="AP265" i="5"/>
  <c r="AI265" i="5"/>
  <c r="AH255" i="5"/>
  <c r="AP255" i="5"/>
  <c r="AI255" i="5"/>
  <c r="AH249" i="5"/>
  <c r="AI249" i="5"/>
  <c r="AP249" i="5"/>
  <c r="AH238" i="5"/>
  <c r="AI238" i="5"/>
  <c r="AP238" i="5"/>
  <c r="AH230" i="5"/>
  <c r="AI230" i="5"/>
  <c r="AP230" i="5"/>
  <c r="AI217" i="5"/>
  <c r="AH217" i="5"/>
  <c r="AP191" i="5"/>
  <c r="AI191" i="5"/>
  <c r="AH191" i="5"/>
  <c r="AH243" i="5"/>
  <c r="AI243" i="5"/>
  <c r="AP243" i="5"/>
  <c r="AI224" i="5"/>
  <c r="AH224" i="5"/>
  <c r="AP224" i="5"/>
  <c r="AH209" i="5"/>
  <c r="AI209" i="5"/>
  <c r="AP209" i="5"/>
  <c r="AH248" i="5"/>
  <c r="AI248" i="5"/>
  <c r="AP248" i="5"/>
  <c r="AI234" i="5"/>
  <c r="AP234" i="5"/>
  <c r="AH234" i="5"/>
  <c r="AI215" i="5"/>
  <c r="AP215" i="5"/>
  <c r="AH215" i="5"/>
  <c r="AH154" i="5"/>
  <c r="AI154" i="5"/>
  <c r="AP154" i="5"/>
  <c r="AH198" i="5"/>
  <c r="AI198" i="5"/>
  <c r="AP198" i="5"/>
  <c r="AH189" i="5"/>
  <c r="AI189" i="5"/>
  <c r="AP189" i="5"/>
  <c r="AH172" i="5"/>
  <c r="AI172" i="5"/>
  <c r="AP172" i="5"/>
  <c r="AI157" i="5"/>
  <c r="AH157" i="5"/>
  <c r="AP157" i="5"/>
  <c r="AI111" i="5"/>
  <c r="AH111" i="5"/>
  <c r="AP111" i="5"/>
  <c r="AI181" i="5"/>
  <c r="AH181" i="5"/>
  <c r="AP181" i="5"/>
  <c r="AI163" i="5"/>
  <c r="AH163" i="5"/>
  <c r="AP163" i="5"/>
  <c r="AH128" i="5"/>
  <c r="AI128" i="5"/>
  <c r="AI183" i="5"/>
  <c r="AH183" i="5"/>
  <c r="AP183" i="5"/>
  <c r="AH173" i="5"/>
  <c r="AI173" i="5"/>
  <c r="AP173" i="5"/>
  <c r="AH150" i="5"/>
  <c r="AP150" i="5"/>
  <c r="AI150" i="5"/>
  <c r="AI129" i="5"/>
  <c r="AH129" i="5"/>
  <c r="AP129" i="5"/>
  <c r="AI84" i="5"/>
  <c r="AH84" i="5"/>
  <c r="AP84" i="5"/>
  <c r="AH138" i="5"/>
  <c r="AP138" i="5"/>
  <c r="AI138" i="5"/>
  <c r="AI122" i="5"/>
  <c r="AH122" i="5"/>
  <c r="AP122" i="5"/>
  <c r="AP109" i="5"/>
  <c r="AH109" i="5"/>
  <c r="AI109" i="5"/>
  <c r="AH156" i="5"/>
  <c r="AI156" i="5"/>
  <c r="AP156" i="5"/>
  <c r="AI126" i="5"/>
  <c r="AH126" i="5"/>
  <c r="AP126" i="5"/>
  <c r="AH71" i="5"/>
  <c r="AI71" i="5"/>
  <c r="AP71" i="5"/>
  <c r="AH136" i="5"/>
  <c r="AI136" i="5"/>
  <c r="AP136" i="5"/>
  <c r="AI115" i="5"/>
  <c r="AP115" i="5"/>
  <c r="AH115" i="5"/>
  <c r="AI83" i="5"/>
  <c r="AH83" i="5"/>
  <c r="AP83" i="5"/>
  <c r="AH88" i="5"/>
  <c r="AI88" i="5"/>
  <c r="AP88" i="5"/>
  <c r="AH75" i="5"/>
  <c r="AI75" i="5"/>
  <c r="AP75" i="5"/>
  <c r="AI102" i="5"/>
  <c r="AH102" i="5"/>
  <c r="AP102" i="5"/>
  <c r="AH87" i="5"/>
  <c r="AI87" i="5"/>
  <c r="AP87" i="5"/>
  <c r="AH90" i="5"/>
  <c r="AI90" i="5"/>
  <c r="AP90" i="5"/>
  <c r="AI77" i="5"/>
  <c r="AH77" i="5"/>
  <c r="AP77" i="5"/>
  <c r="AP52" i="5"/>
  <c r="AH52" i="5"/>
  <c r="AI52" i="5"/>
  <c r="AP22" i="5"/>
  <c r="AI22" i="5"/>
  <c r="AH22" i="5"/>
  <c r="AI63" i="5"/>
  <c r="AH63" i="5"/>
  <c r="AP63" i="5"/>
  <c r="AI20" i="5"/>
  <c r="AH20" i="5"/>
  <c r="AP20" i="5"/>
  <c r="AH62" i="5"/>
  <c r="AI62" i="5"/>
  <c r="AP62" i="5"/>
  <c r="AH64" i="5"/>
  <c r="AI64" i="5"/>
  <c r="AI53" i="5"/>
  <c r="AH53" i="5"/>
  <c r="AP53" i="5"/>
  <c r="AH51" i="5"/>
  <c r="AI51" i="5"/>
  <c r="AP51" i="5"/>
  <c r="AH43" i="5"/>
  <c r="AI43" i="5"/>
  <c r="AP43" i="5"/>
  <c r="AI31" i="5"/>
  <c r="AH31" i="5"/>
  <c r="AP31" i="5"/>
  <c r="AI39" i="5"/>
  <c r="AH39" i="5"/>
  <c r="AP39" i="5"/>
  <c r="AP21" i="5"/>
  <c r="AI21" i="5"/>
  <c r="AH21" i="5"/>
  <c r="AH35" i="5"/>
  <c r="AI35" i="5"/>
  <c r="AP35" i="5"/>
  <c r="B51" i="5"/>
  <c r="AO537" i="5"/>
  <c r="AN537" i="5"/>
  <c r="AN438" i="5"/>
  <c r="AO438" i="5"/>
  <c r="AN547" i="5"/>
  <c r="AO547" i="5"/>
  <c r="AO533" i="5"/>
  <c r="AN533" i="5"/>
  <c r="AN481" i="5"/>
  <c r="AO481" i="5"/>
  <c r="AO550" i="5"/>
  <c r="AN550" i="5"/>
  <c r="AO538" i="5"/>
  <c r="AN538" i="5"/>
  <c r="AO437" i="5"/>
  <c r="AN437" i="5"/>
  <c r="AN557" i="5"/>
  <c r="AO557" i="5"/>
  <c r="AO536" i="5"/>
  <c r="AN536" i="5"/>
  <c r="AN521" i="5"/>
  <c r="AO521" i="5"/>
  <c r="AN456" i="5"/>
  <c r="AO456" i="5"/>
  <c r="AN328" i="5"/>
  <c r="AO328" i="5"/>
  <c r="AO555" i="5"/>
  <c r="AN555" i="5"/>
  <c r="AO530" i="5"/>
  <c r="AN530" i="5"/>
  <c r="AN518" i="5"/>
  <c r="AO518" i="5"/>
  <c r="AO505" i="5"/>
  <c r="AN505" i="5"/>
  <c r="AN499" i="5"/>
  <c r="AO499" i="5"/>
  <c r="AN492" i="5"/>
  <c r="AO492" i="5"/>
  <c r="AN486" i="5"/>
  <c r="AO486" i="5"/>
  <c r="AO473" i="5"/>
  <c r="AN473" i="5"/>
  <c r="AO455" i="5"/>
  <c r="AN455" i="5"/>
  <c r="AO444" i="5"/>
  <c r="AN444" i="5"/>
  <c r="AN432" i="5"/>
  <c r="AO432" i="5"/>
  <c r="AN387" i="5"/>
  <c r="AO387" i="5"/>
  <c r="AN308" i="5"/>
  <c r="AO308" i="5"/>
  <c r="AN512" i="5"/>
  <c r="AO512" i="5"/>
  <c r="AO498" i="5"/>
  <c r="AN498" i="5"/>
  <c r="AO474" i="5"/>
  <c r="AN474" i="5"/>
  <c r="AO465" i="5"/>
  <c r="AN465" i="5"/>
  <c r="AN446" i="5"/>
  <c r="AO446" i="5"/>
  <c r="AN426" i="5"/>
  <c r="AO426" i="5"/>
  <c r="AO394" i="5"/>
  <c r="AN394" i="5"/>
  <c r="AN270" i="5"/>
  <c r="AO270" i="5"/>
  <c r="AO525" i="5"/>
  <c r="AN525" i="5"/>
  <c r="AO496" i="5"/>
  <c r="AN496" i="5"/>
  <c r="AN472" i="5"/>
  <c r="AO472" i="5"/>
  <c r="AO458" i="5"/>
  <c r="AN458" i="5"/>
  <c r="AN422" i="5"/>
  <c r="AO422" i="5"/>
  <c r="AO354" i="5"/>
  <c r="AN354" i="5"/>
  <c r="AO406" i="5"/>
  <c r="AN406" i="5"/>
  <c r="AN388" i="5"/>
  <c r="AO388" i="5"/>
  <c r="AN371" i="5"/>
  <c r="AO371" i="5"/>
  <c r="AO349" i="5"/>
  <c r="AN349" i="5"/>
  <c r="AO340" i="5"/>
  <c r="AN340" i="5"/>
  <c r="AN289" i="5"/>
  <c r="AO289" i="5"/>
  <c r="AO267" i="5"/>
  <c r="AN267" i="5"/>
  <c r="AN419" i="5"/>
  <c r="AO419" i="5"/>
  <c r="AN408" i="5"/>
  <c r="AO408" i="5"/>
  <c r="AO390" i="5"/>
  <c r="AN390" i="5"/>
  <c r="AO380" i="5"/>
  <c r="AN380" i="5"/>
  <c r="AO365" i="5"/>
  <c r="AN365" i="5"/>
  <c r="AN356" i="5"/>
  <c r="AO356" i="5"/>
  <c r="AN304" i="5"/>
  <c r="AO304" i="5"/>
  <c r="AO252" i="5"/>
  <c r="AN252" i="5"/>
  <c r="AO435" i="5"/>
  <c r="AN435" i="5"/>
  <c r="AN420" i="5"/>
  <c r="AO420" i="5"/>
  <c r="AO409" i="5"/>
  <c r="AN409" i="5"/>
  <c r="AN383" i="5"/>
  <c r="AO383" i="5"/>
  <c r="AO367" i="5"/>
  <c r="AN367" i="5"/>
  <c r="AO335" i="5"/>
  <c r="AN335" i="5"/>
  <c r="AO258" i="5"/>
  <c r="AN258" i="5"/>
  <c r="AO358" i="5"/>
  <c r="AN358" i="5"/>
  <c r="AN344" i="5"/>
  <c r="AO344" i="5"/>
  <c r="AN332" i="5"/>
  <c r="AO332" i="5"/>
  <c r="AO322" i="5"/>
  <c r="AN322" i="5"/>
  <c r="AO312" i="5"/>
  <c r="AN312" i="5"/>
  <c r="AN302" i="5"/>
  <c r="AO302" i="5"/>
  <c r="AO283" i="5"/>
  <c r="AN283" i="5"/>
  <c r="AO263" i="5"/>
  <c r="AN263" i="5"/>
  <c r="AO249" i="5"/>
  <c r="AN249" i="5"/>
  <c r="AN227" i="5"/>
  <c r="AO227" i="5"/>
  <c r="AO326" i="5"/>
  <c r="AN326" i="5"/>
  <c r="AO298" i="5"/>
  <c r="AN298" i="5"/>
  <c r="AN278" i="5"/>
  <c r="AO278" i="5"/>
  <c r="AO256" i="5"/>
  <c r="AN256" i="5"/>
  <c r="AN157" i="5"/>
  <c r="AO157" i="5"/>
  <c r="AO313" i="5"/>
  <c r="AN313" i="5"/>
  <c r="AO296" i="5"/>
  <c r="AN296" i="5"/>
  <c r="AN282" i="5"/>
  <c r="AO282" i="5"/>
  <c r="AO274" i="5"/>
  <c r="AN274" i="5"/>
  <c r="AO261" i="5"/>
  <c r="AN261" i="5"/>
  <c r="AO220" i="5"/>
  <c r="AN220" i="5"/>
  <c r="AN240" i="5"/>
  <c r="AO240" i="5"/>
  <c r="AN231" i="5"/>
  <c r="AO231" i="5"/>
  <c r="AN199" i="5"/>
  <c r="AO199" i="5"/>
  <c r="AO161" i="5"/>
  <c r="AN161" i="5"/>
  <c r="AO235" i="5"/>
  <c r="AN235" i="5"/>
  <c r="AN219" i="5"/>
  <c r="AO219" i="5"/>
  <c r="AO210" i="5"/>
  <c r="AN210" i="5"/>
  <c r="AO194" i="5"/>
  <c r="AN194" i="5"/>
  <c r="AN236" i="5"/>
  <c r="AO236" i="5"/>
  <c r="AO221" i="5"/>
  <c r="AN221" i="5"/>
  <c r="AN208" i="5"/>
  <c r="AO208" i="5"/>
  <c r="AN171" i="5"/>
  <c r="AO171" i="5"/>
  <c r="AN118" i="5"/>
  <c r="AO118" i="5"/>
  <c r="AO197" i="5"/>
  <c r="AN197" i="5"/>
  <c r="AO168" i="5"/>
  <c r="AN168" i="5"/>
  <c r="AO152" i="5"/>
  <c r="AN152" i="5"/>
  <c r="AN115" i="5"/>
  <c r="AO115" i="5"/>
  <c r="AN172" i="5"/>
  <c r="AO172" i="5"/>
  <c r="AO159" i="5"/>
  <c r="AN159" i="5"/>
  <c r="AN116" i="5"/>
  <c r="AO116" i="5"/>
  <c r="AO169" i="5"/>
  <c r="AN169" i="5"/>
  <c r="AN132" i="5"/>
  <c r="AO132" i="5"/>
  <c r="AO145" i="5"/>
  <c r="AN145" i="5"/>
  <c r="AN127" i="5"/>
  <c r="AO127" i="5"/>
  <c r="AN107" i="5"/>
  <c r="AO107" i="5"/>
  <c r="AO147" i="5"/>
  <c r="AN147" i="5"/>
  <c r="AO133" i="5"/>
  <c r="AN133" i="5"/>
  <c r="AN123" i="5"/>
  <c r="AO123" i="5"/>
  <c r="AN111" i="5"/>
  <c r="AO111" i="5"/>
  <c r="AN81" i="5"/>
  <c r="AO81" i="5"/>
  <c r="AO131" i="5"/>
  <c r="AN131" i="5"/>
  <c r="AN110" i="5"/>
  <c r="AO110" i="5"/>
  <c r="AN103" i="5"/>
  <c r="AO103" i="5"/>
  <c r="AN105" i="5"/>
  <c r="AO105" i="5"/>
  <c r="AO97" i="5"/>
  <c r="AN97" i="5"/>
  <c r="AO91" i="5"/>
  <c r="AN91" i="5"/>
  <c r="AN83" i="5"/>
  <c r="AO83" i="5"/>
  <c r="AO80" i="5"/>
  <c r="AN80" i="5"/>
  <c r="AN65" i="5"/>
  <c r="AO65" i="5"/>
  <c r="AN23" i="5"/>
  <c r="AO23" i="5"/>
  <c r="AN53" i="5"/>
  <c r="AO53" i="5"/>
  <c r="AO70" i="5"/>
  <c r="AN70" i="5"/>
  <c r="AO61" i="5"/>
  <c r="AN61" i="5"/>
  <c r="AN24" i="5"/>
  <c r="AO24" i="5"/>
  <c r="AN39" i="5"/>
  <c r="AO39" i="5"/>
  <c r="AO68" i="5"/>
  <c r="AN68" i="5"/>
  <c r="AO56" i="5"/>
  <c r="AN56" i="5"/>
  <c r="AO50" i="5"/>
  <c r="AN50" i="5"/>
  <c r="AO38" i="5"/>
  <c r="AN38" i="5"/>
  <c r="AN43" i="5"/>
  <c r="AO43" i="5"/>
  <c r="AO26" i="5"/>
  <c r="AN26" i="5"/>
  <c r="AO40" i="5"/>
  <c r="AN40" i="5"/>
  <c r="AP528" i="5"/>
  <c r="AK531" i="5"/>
  <c r="AL531" i="5"/>
  <c r="AL560" i="5"/>
  <c r="AK560" i="5"/>
  <c r="AL559" i="5"/>
  <c r="AK559" i="5"/>
  <c r="AL261" i="5"/>
  <c r="AK261" i="5"/>
  <c r="AK491" i="5"/>
  <c r="AL491" i="5"/>
  <c r="AL424" i="5"/>
  <c r="AK424" i="5"/>
  <c r="AL266" i="5"/>
  <c r="AK266" i="5"/>
  <c r="AK481" i="5"/>
  <c r="AL481" i="5"/>
  <c r="AK373" i="5"/>
  <c r="AL373" i="5"/>
  <c r="AK495" i="5"/>
  <c r="AL495" i="5"/>
  <c r="AK430" i="5"/>
  <c r="AL430" i="5"/>
  <c r="AK397" i="5"/>
  <c r="AL397" i="5"/>
  <c r="AK400" i="5"/>
  <c r="AL400" i="5"/>
  <c r="AL318" i="5"/>
  <c r="AK318" i="5"/>
  <c r="AL408" i="5"/>
  <c r="AK408" i="5"/>
  <c r="AK350" i="5"/>
  <c r="AL350" i="5"/>
  <c r="AK355" i="5"/>
  <c r="AL355" i="5"/>
  <c r="AK289" i="5"/>
  <c r="AL289" i="5"/>
  <c r="AK332" i="5"/>
  <c r="AL332" i="5"/>
  <c r="AL287" i="5"/>
  <c r="AK287" i="5"/>
  <c r="AK331" i="5"/>
  <c r="AL331" i="5"/>
  <c r="AK284" i="5"/>
  <c r="AL284" i="5"/>
  <c r="AK229" i="5"/>
  <c r="AL229" i="5"/>
  <c r="AK175" i="5"/>
  <c r="AL175" i="5"/>
  <c r="AL244" i="5"/>
  <c r="AK244" i="5"/>
  <c r="AK162" i="5"/>
  <c r="AL162" i="5"/>
  <c r="AK137" i="5"/>
  <c r="AL137" i="5"/>
  <c r="AL168" i="5"/>
  <c r="AK168" i="5"/>
  <c r="AK123" i="5"/>
  <c r="AL123" i="5"/>
  <c r="AK145" i="5"/>
  <c r="AL145" i="5"/>
  <c r="AL146" i="5"/>
  <c r="AK146" i="5"/>
  <c r="AK98" i="5"/>
  <c r="AL98" i="5"/>
  <c r="AK93" i="5"/>
  <c r="AL93" i="5"/>
  <c r="AL76" i="5"/>
  <c r="AK76" i="5"/>
  <c r="AK66" i="5"/>
  <c r="AL66" i="5"/>
  <c r="AL24" i="5"/>
  <c r="AK24" i="5"/>
  <c r="AL37" i="5"/>
  <c r="AK37" i="5"/>
  <c r="AI544" i="5"/>
  <c r="AP544" i="5"/>
  <c r="AH544" i="5"/>
  <c r="AI454" i="5"/>
  <c r="AH454" i="5"/>
  <c r="AP454" i="5"/>
  <c r="AH536" i="5"/>
  <c r="AP536" i="5"/>
  <c r="AI536" i="5"/>
  <c r="AP444" i="5"/>
  <c r="AI444" i="5"/>
  <c r="AH444" i="5"/>
  <c r="AI492" i="5"/>
  <c r="AP492" i="5"/>
  <c r="AH492" i="5"/>
  <c r="AI525" i="5"/>
  <c r="AH525" i="5"/>
  <c r="AP525" i="5"/>
  <c r="AI483" i="5"/>
  <c r="AP483" i="5"/>
  <c r="AH483" i="5"/>
  <c r="AL545" i="5"/>
  <c r="AK545" i="5"/>
  <c r="AL557" i="5"/>
  <c r="AK557" i="5"/>
  <c r="AK478" i="5"/>
  <c r="AL478" i="5"/>
  <c r="AL554" i="5"/>
  <c r="AK554" i="5"/>
  <c r="AL539" i="5"/>
  <c r="AK539" i="5"/>
  <c r="AK522" i="5"/>
  <c r="AL522" i="5"/>
  <c r="AK369" i="5"/>
  <c r="AL369" i="5"/>
  <c r="AL549" i="5"/>
  <c r="AK549" i="5"/>
  <c r="AK452" i="5"/>
  <c r="AL452" i="5"/>
  <c r="AL285" i="5"/>
  <c r="AK285" i="5"/>
  <c r="AL552" i="5"/>
  <c r="AK552" i="5"/>
  <c r="AL540" i="5"/>
  <c r="AK540" i="5"/>
  <c r="AL533" i="5"/>
  <c r="AK533" i="5"/>
  <c r="AL501" i="5"/>
  <c r="AK501" i="5"/>
  <c r="AL485" i="5"/>
  <c r="AK485" i="5"/>
  <c r="AL460" i="5"/>
  <c r="AK460" i="5"/>
  <c r="AK445" i="5"/>
  <c r="AL445" i="5"/>
  <c r="AK433" i="5"/>
  <c r="AL433" i="5"/>
  <c r="AL421" i="5"/>
  <c r="AK421" i="5"/>
  <c r="AK402" i="5"/>
  <c r="AL402" i="5"/>
  <c r="AK339" i="5"/>
  <c r="AL339" i="5"/>
  <c r="AL520" i="5"/>
  <c r="AK520" i="5"/>
  <c r="AL509" i="5"/>
  <c r="AK509" i="5"/>
  <c r="AK499" i="5"/>
  <c r="AL499" i="5"/>
  <c r="AK488" i="5"/>
  <c r="AL488" i="5"/>
  <c r="AK469" i="5"/>
  <c r="AL469" i="5"/>
  <c r="AK454" i="5"/>
  <c r="AL454" i="5"/>
  <c r="AK443" i="5"/>
  <c r="AL443" i="5"/>
  <c r="AK431" i="5"/>
  <c r="AL431" i="5"/>
  <c r="AK361" i="5"/>
  <c r="AL361" i="5"/>
  <c r="AK519" i="5"/>
  <c r="AL519" i="5"/>
  <c r="AK505" i="5"/>
  <c r="AL505" i="5"/>
  <c r="AK484" i="5"/>
  <c r="AL484" i="5"/>
  <c r="AK477" i="5"/>
  <c r="AL477" i="5"/>
  <c r="AK465" i="5"/>
  <c r="AL465" i="5"/>
  <c r="AK444" i="5"/>
  <c r="AL444" i="5"/>
  <c r="AL428" i="5"/>
  <c r="AK428" i="5"/>
  <c r="AL410" i="5"/>
  <c r="AK410" i="5"/>
  <c r="AL403" i="5"/>
  <c r="AK403" i="5"/>
  <c r="AK391" i="5"/>
  <c r="AL391" i="5"/>
  <c r="AL381" i="5"/>
  <c r="AK381" i="5"/>
  <c r="AK362" i="5"/>
  <c r="AL362" i="5"/>
  <c r="AL300" i="5"/>
  <c r="AK300" i="5"/>
  <c r="AK415" i="5"/>
  <c r="AL415" i="5"/>
  <c r="AK395" i="5"/>
  <c r="AL395" i="5"/>
  <c r="AK374" i="5"/>
  <c r="AL374" i="5"/>
  <c r="AK354" i="5"/>
  <c r="AL354" i="5"/>
  <c r="AL341" i="5"/>
  <c r="AK341" i="5"/>
  <c r="AK271" i="5"/>
  <c r="AL271" i="5"/>
  <c r="AK427" i="5"/>
  <c r="AL427" i="5"/>
  <c r="AL413" i="5"/>
  <c r="AK413" i="5"/>
  <c r="AK392" i="5"/>
  <c r="AL392" i="5"/>
  <c r="AK380" i="5"/>
  <c r="AL380" i="5"/>
  <c r="AK370" i="5"/>
  <c r="AL370" i="5"/>
  <c r="AL357" i="5"/>
  <c r="AK357" i="5"/>
  <c r="AK345" i="5"/>
  <c r="AL345" i="5"/>
  <c r="AK313" i="5"/>
  <c r="AL313" i="5"/>
  <c r="AK246" i="5"/>
  <c r="AL246" i="5"/>
  <c r="AK347" i="5"/>
  <c r="AL347" i="5"/>
  <c r="AL328" i="5"/>
  <c r="AK328" i="5"/>
  <c r="AL311" i="5"/>
  <c r="AK311" i="5"/>
  <c r="AL297" i="5"/>
  <c r="AK297" i="5"/>
  <c r="AL282" i="5"/>
  <c r="AK282" i="5"/>
  <c r="AK270" i="5"/>
  <c r="AL270" i="5"/>
  <c r="AL252" i="5"/>
  <c r="AK252" i="5"/>
  <c r="AL213" i="5"/>
  <c r="AK213" i="5"/>
  <c r="AK322" i="5"/>
  <c r="AL322" i="5"/>
  <c r="AL312" i="5"/>
  <c r="AK312" i="5"/>
  <c r="AL295" i="5"/>
  <c r="AK295" i="5"/>
  <c r="AK280" i="5"/>
  <c r="AL280" i="5"/>
  <c r="AK263" i="5"/>
  <c r="AL263" i="5"/>
  <c r="AL251" i="5"/>
  <c r="AK251" i="5"/>
  <c r="AK225" i="5"/>
  <c r="AL225" i="5"/>
  <c r="AK329" i="5"/>
  <c r="AL329" i="5"/>
  <c r="AL310" i="5"/>
  <c r="AK310" i="5"/>
  <c r="AL294" i="5"/>
  <c r="AK294" i="5"/>
  <c r="AK272" i="5"/>
  <c r="AL272" i="5"/>
  <c r="AK253" i="5"/>
  <c r="AL253" i="5"/>
  <c r="AK233" i="5"/>
  <c r="AL233" i="5"/>
  <c r="AP241" i="5"/>
  <c r="AK241" i="5"/>
  <c r="AL241" i="5"/>
  <c r="AK224" i="5"/>
  <c r="AL224" i="5"/>
  <c r="AK216" i="5"/>
  <c r="AL216" i="5"/>
  <c r="AK198" i="5"/>
  <c r="AL198" i="5"/>
  <c r="AK187" i="5"/>
  <c r="AL187" i="5"/>
  <c r="AK169" i="5"/>
  <c r="AL169" i="5"/>
  <c r="AK231" i="5"/>
  <c r="AL231" i="5"/>
  <c r="AL197" i="5"/>
  <c r="AK197" i="5"/>
  <c r="AK240" i="5"/>
  <c r="AL240" i="5"/>
  <c r="AK226" i="5"/>
  <c r="AL226" i="5"/>
  <c r="AK214" i="5"/>
  <c r="AL214" i="5"/>
  <c r="AL195" i="5"/>
  <c r="AK195" i="5"/>
  <c r="AL148" i="5"/>
  <c r="AK148" i="5"/>
  <c r="AL205" i="5"/>
  <c r="AK205" i="5"/>
  <c r="AL188" i="5"/>
  <c r="AK188" i="5"/>
  <c r="AL170" i="5"/>
  <c r="AK170" i="5"/>
  <c r="AK183" i="5"/>
  <c r="AL183" i="5"/>
  <c r="AL156" i="5"/>
  <c r="AK156" i="5"/>
  <c r="AL176" i="5"/>
  <c r="AK176" i="5"/>
  <c r="AL164" i="5"/>
  <c r="AK164" i="5"/>
  <c r="AK155" i="5"/>
  <c r="AL155" i="5"/>
  <c r="AK147" i="5"/>
  <c r="AL147" i="5"/>
  <c r="AK131" i="5"/>
  <c r="AL131" i="5"/>
  <c r="AK114" i="5"/>
  <c r="AL114" i="5"/>
  <c r="AK102" i="5"/>
  <c r="AL102" i="5"/>
  <c r="AK157" i="5"/>
  <c r="AL157" i="5"/>
  <c r="AL141" i="5"/>
  <c r="AK141" i="5"/>
  <c r="AP130" i="5"/>
  <c r="AL130" i="5"/>
  <c r="AK130" i="5"/>
  <c r="AK115" i="5"/>
  <c r="AL115" i="5"/>
  <c r="AL152" i="5"/>
  <c r="AK152" i="5"/>
  <c r="AK135" i="5"/>
  <c r="AL135" i="5"/>
  <c r="AK120" i="5"/>
  <c r="AL120" i="5"/>
  <c r="AK111" i="5"/>
  <c r="AL111" i="5"/>
  <c r="AK107" i="5"/>
  <c r="AL107" i="5"/>
  <c r="AL95" i="5"/>
  <c r="AK95" i="5"/>
  <c r="AK84" i="5"/>
  <c r="AL84" i="5"/>
  <c r="AK99" i="5"/>
  <c r="AL99" i="5"/>
  <c r="AK81" i="5"/>
  <c r="AL81" i="5"/>
  <c r="AK70" i="5"/>
  <c r="AL70" i="5"/>
  <c r="AK83" i="5"/>
  <c r="AL83" i="5"/>
  <c r="AK58" i="5"/>
  <c r="AL58" i="5"/>
  <c r="AK40" i="5"/>
  <c r="AL40" i="5"/>
  <c r="AL65" i="5"/>
  <c r="AK65" i="5"/>
  <c r="AK54" i="5"/>
  <c r="AL54" i="5"/>
  <c r="AL36" i="5"/>
  <c r="AK36" i="5"/>
  <c r="AK59" i="5"/>
  <c r="AL59" i="5"/>
  <c r="AK34" i="5"/>
  <c r="AL34" i="5"/>
  <c r="AK45" i="5"/>
  <c r="AL45" i="5"/>
  <c r="AL32" i="5"/>
  <c r="AK32" i="5"/>
  <c r="AK46" i="5"/>
  <c r="AL46" i="5"/>
  <c r="AK33" i="5"/>
  <c r="AL33" i="5"/>
  <c r="AK48" i="5"/>
  <c r="AL48" i="5"/>
  <c r="AK26" i="5"/>
  <c r="AL26" i="5"/>
  <c r="T28" i="5"/>
  <c r="T29" i="5"/>
  <c r="T38" i="5"/>
  <c r="T44" i="5"/>
  <c r="T46" i="5"/>
  <c r="T21" i="5"/>
  <c r="T24" i="5"/>
  <c r="T26" i="5"/>
  <c r="T27" i="5"/>
  <c r="T31" i="5"/>
  <c r="T32" i="5"/>
  <c r="T39" i="5"/>
  <c r="T42" i="5"/>
  <c r="T45" i="5"/>
  <c r="T22" i="5"/>
  <c r="T34" i="5"/>
  <c r="T36" i="5"/>
  <c r="T40" i="5"/>
  <c r="T43" i="5"/>
  <c r="T47" i="5"/>
  <c r="T48" i="5"/>
  <c r="T49" i="5"/>
  <c r="T41" i="5"/>
  <c r="T52" i="5"/>
  <c r="T53" i="5"/>
  <c r="T54" i="5"/>
  <c r="T64" i="5"/>
  <c r="T70" i="5"/>
  <c r="T20" i="5"/>
  <c r="T23" i="5"/>
  <c r="T30" i="5"/>
  <c r="T33" i="5"/>
  <c r="T50" i="5"/>
  <c r="T51" i="5"/>
  <c r="T56" i="5"/>
  <c r="T59" i="5"/>
  <c r="T62" i="5"/>
  <c r="T65" i="5"/>
  <c r="T67" i="5"/>
  <c r="T35" i="5"/>
  <c r="T55" i="5"/>
  <c r="T58" i="5"/>
  <c r="T63" i="5"/>
  <c r="T66" i="5"/>
  <c r="T68" i="5"/>
  <c r="T71" i="5"/>
  <c r="T76" i="5"/>
  <c r="T80" i="5"/>
  <c r="T74" i="5"/>
  <c r="T77" i="5"/>
  <c r="T57" i="5"/>
  <c r="T61" i="5"/>
  <c r="T73" i="5"/>
  <c r="T78" i="5"/>
  <c r="T89" i="5"/>
  <c r="T92" i="5"/>
  <c r="T25" i="5"/>
  <c r="T81" i="5"/>
  <c r="T82" i="5"/>
  <c r="T94" i="5"/>
  <c r="T96" i="5"/>
  <c r="T97" i="5"/>
  <c r="T98" i="5"/>
  <c r="T69" i="5"/>
  <c r="T95" i="5"/>
  <c r="T102" i="5"/>
  <c r="T105" i="5"/>
  <c r="T107" i="5"/>
  <c r="T60" i="5"/>
  <c r="T72" i="5"/>
  <c r="T83" i="5"/>
  <c r="T85" i="5"/>
  <c r="T88" i="5"/>
  <c r="T90" i="5"/>
  <c r="T91" i="5"/>
  <c r="T101" i="5"/>
  <c r="T108" i="5"/>
  <c r="T110" i="5"/>
  <c r="T37" i="5"/>
  <c r="T87" i="5"/>
  <c r="T93" i="5"/>
  <c r="T113" i="5"/>
  <c r="T121" i="5"/>
  <c r="T126" i="5"/>
  <c r="T127" i="5"/>
  <c r="T132" i="5"/>
  <c r="T136" i="5"/>
  <c r="T139" i="5"/>
  <c r="T141" i="5"/>
  <c r="T147" i="5"/>
  <c r="T155" i="5"/>
  <c r="T84" i="5"/>
  <c r="T99" i="5"/>
  <c r="T103" i="5"/>
  <c r="T106" i="5"/>
  <c r="T109" i="5"/>
  <c r="T112" i="5"/>
  <c r="T116" i="5"/>
  <c r="T117" i="5"/>
  <c r="T123" i="5"/>
  <c r="T124" i="5"/>
  <c r="T129" i="5"/>
  <c r="T131" i="5"/>
  <c r="T137" i="5"/>
  <c r="T142" i="5"/>
  <c r="T148" i="5"/>
  <c r="T151" i="5"/>
  <c r="T156" i="5"/>
  <c r="T75" i="5"/>
  <c r="T104" i="5"/>
  <c r="T114" i="5"/>
  <c r="T115" i="5"/>
  <c r="T119" i="5"/>
  <c r="T122" i="5"/>
  <c r="T130" i="5"/>
  <c r="T138" i="5"/>
  <c r="T143" i="5"/>
  <c r="T145" i="5"/>
  <c r="T146" i="5"/>
  <c r="T152" i="5"/>
  <c r="T125" i="5"/>
  <c r="T128" i="5"/>
  <c r="T134" i="5"/>
  <c r="T149" i="5"/>
  <c r="T165" i="5"/>
  <c r="T167" i="5"/>
  <c r="T171" i="5"/>
  <c r="T173" i="5"/>
  <c r="T177" i="5"/>
  <c r="T178" i="5"/>
  <c r="T181" i="5"/>
  <c r="T187" i="5"/>
  <c r="T86" i="5"/>
  <c r="T111" i="5"/>
  <c r="T118" i="5"/>
  <c r="T133" i="5"/>
  <c r="T140" i="5"/>
  <c r="T163" i="5"/>
  <c r="T169" i="5"/>
  <c r="T170" i="5"/>
  <c r="T182" i="5"/>
  <c r="T184" i="5"/>
  <c r="T79" i="5"/>
  <c r="T100" i="5"/>
  <c r="T154" i="5"/>
  <c r="T158" i="5"/>
  <c r="T161" i="5"/>
  <c r="T172" i="5"/>
  <c r="T175" i="5"/>
  <c r="T179" i="5"/>
  <c r="T183" i="5"/>
  <c r="T185" i="5"/>
  <c r="T186" i="5"/>
  <c r="T189" i="5"/>
  <c r="T190" i="5"/>
  <c r="T194" i="5"/>
  <c r="T197" i="5"/>
  <c r="T198" i="5"/>
  <c r="T201" i="5"/>
  <c r="T204" i="5"/>
  <c r="T206" i="5"/>
  <c r="T164" i="5"/>
  <c r="T188" i="5"/>
  <c r="T196" i="5"/>
  <c r="T200" i="5"/>
  <c r="T202" i="5"/>
  <c r="T203" i="5"/>
  <c r="T205" i="5"/>
  <c r="T208" i="5"/>
  <c r="T209" i="5"/>
  <c r="T211" i="5"/>
  <c r="T215" i="5"/>
  <c r="T218" i="5"/>
  <c r="T220" i="5"/>
  <c r="T223" i="5"/>
  <c r="T224" i="5"/>
  <c r="T227" i="5"/>
  <c r="T234" i="5"/>
  <c r="T239" i="5"/>
  <c r="T245" i="5"/>
  <c r="T120" i="5"/>
  <c r="T144" i="5"/>
  <c r="T150" i="5"/>
  <c r="T159" i="5"/>
  <c r="T166" i="5"/>
  <c r="T193" i="5"/>
  <c r="T199" i="5"/>
  <c r="T212" i="5"/>
  <c r="T216" i="5"/>
  <c r="T217" i="5"/>
  <c r="T222" i="5"/>
  <c r="T229" i="5"/>
  <c r="T232" i="5"/>
  <c r="T238" i="5"/>
  <c r="T242" i="5"/>
  <c r="T243" i="5"/>
  <c r="T157" i="5"/>
  <c r="T168" i="5"/>
  <c r="T174" i="5"/>
  <c r="T180" i="5"/>
  <c r="T191" i="5"/>
  <c r="T192" i="5"/>
  <c r="T207" i="5"/>
  <c r="T210" i="5"/>
  <c r="T213" i="5"/>
  <c r="T219" i="5"/>
  <c r="T221" i="5"/>
  <c r="T225" i="5"/>
  <c r="T230" i="5"/>
  <c r="T233" i="5"/>
  <c r="T235" i="5"/>
  <c r="T236" i="5"/>
  <c r="T240" i="5"/>
  <c r="T153" i="5"/>
  <c r="T176" i="5"/>
  <c r="T241" i="5"/>
  <c r="T248" i="5"/>
  <c r="T249" i="5"/>
  <c r="T252" i="5"/>
  <c r="T254" i="5"/>
  <c r="T255" i="5"/>
  <c r="T257" i="5"/>
  <c r="T260" i="5"/>
  <c r="T263" i="5"/>
  <c r="T265" i="5"/>
  <c r="T270" i="5"/>
  <c r="T273" i="5"/>
  <c r="T274" i="5"/>
  <c r="T277" i="5"/>
  <c r="T278" i="5"/>
  <c r="T279" i="5"/>
  <c r="T282" i="5"/>
  <c r="T289" i="5"/>
  <c r="T295" i="5"/>
  <c r="T301" i="5"/>
  <c r="T306" i="5"/>
  <c r="T308" i="5"/>
  <c r="T314" i="5"/>
  <c r="T318" i="5"/>
  <c r="T322" i="5"/>
  <c r="T327" i="5"/>
  <c r="T332" i="5"/>
  <c r="T334" i="5"/>
  <c r="T135" i="5"/>
  <c r="T237" i="5"/>
  <c r="T244" i="5"/>
  <c r="T250" i="5"/>
  <c r="T251" i="5"/>
  <c r="T258" i="5"/>
  <c r="T266" i="5"/>
  <c r="T276" i="5"/>
  <c r="T284" i="5"/>
  <c r="T288" i="5"/>
  <c r="T291" i="5"/>
  <c r="T292" i="5"/>
  <c r="T299" i="5"/>
  <c r="T302" i="5"/>
  <c r="T311" i="5"/>
  <c r="T313" i="5"/>
  <c r="T316" i="5"/>
  <c r="T323" i="5"/>
  <c r="T325" i="5"/>
  <c r="T328" i="5"/>
  <c r="T331" i="5"/>
  <c r="T160" i="5"/>
  <c r="T226" i="5"/>
  <c r="T231" i="5"/>
  <c r="T246" i="5"/>
  <c r="T253" i="5"/>
  <c r="T256" i="5"/>
  <c r="T259" i="5"/>
  <c r="T261" i="5"/>
  <c r="T264" i="5"/>
  <c r="T268" i="5"/>
  <c r="T269" i="5"/>
  <c r="T271" i="5"/>
  <c r="T281" i="5"/>
  <c r="T285" i="5"/>
  <c r="T290" i="5"/>
  <c r="T293" i="5"/>
  <c r="T296" i="5"/>
  <c r="T298" i="5"/>
  <c r="T300" i="5"/>
  <c r="T303" i="5"/>
  <c r="T305" i="5"/>
  <c r="T307" i="5"/>
  <c r="T310" i="5"/>
  <c r="T320" i="5"/>
  <c r="T321" i="5"/>
  <c r="T326" i="5"/>
  <c r="T330" i="5"/>
  <c r="T335" i="5"/>
  <c r="T343" i="5"/>
  <c r="T349" i="5"/>
  <c r="T354" i="5"/>
  <c r="T356" i="5"/>
  <c r="T262" i="5"/>
  <c r="T267" i="5"/>
  <c r="T280" i="5"/>
  <c r="T283" i="5"/>
  <c r="T286" i="5"/>
  <c r="T309" i="5"/>
  <c r="T312" i="5"/>
  <c r="T315" i="5"/>
  <c r="T329" i="5"/>
  <c r="T337" i="5"/>
  <c r="T342" i="5"/>
  <c r="T345" i="5"/>
  <c r="T350" i="5"/>
  <c r="T359" i="5"/>
  <c r="T362" i="5"/>
  <c r="T364" i="5"/>
  <c r="T366" i="5"/>
  <c r="T367" i="5"/>
  <c r="T378" i="5"/>
  <c r="T381" i="5"/>
  <c r="T387" i="5"/>
  <c r="T390" i="5"/>
  <c r="T393" i="5"/>
  <c r="T400" i="5"/>
  <c r="T403" i="5"/>
  <c r="T405" i="5"/>
  <c r="T410" i="5"/>
  <c r="T415" i="5"/>
  <c r="T420" i="5"/>
  <c r="T421" i="5"/>
  <c r="T424" i="5"/>
  <c r="T429" i="5"/>
  <c r="T433" i="5"/>
  <c r="T436" i="5"/>
  <c r="T437" i="5"/>
  <c r="T214" i="5"/>
  <c r="T247" i="5"/>
  <c r="T297" i="5"/>
  <c r="T317" i="5"/>
  <c r="T341" i="5"/>
  <c r="T369" i="5"/>
  <c r="T371" i="5"/>
  <c r="T372" i="5"/>
  <c r="T375" i="5"/>
  <c r="T376" i="5"/>
  <c r="T380" i="5"/>
  <c r="T385" i="5"/>
  <c r="T386" i="5"/>
  <c r="T389" i="5"/>
  <c r="T391" i="5"/>
  <c r="T396" i="5"/>
  <c r="T407" i="5"/>
  <c r="T409" i="5"/>
  <c r="T418" i="5"/>
  <c r="T162" i="5"/>
  <c r="T195" i="5"/>
  <c r="T228" i="5"/>
  <c r="T272" i="5"/>
  <c r="T275" i="5"/>
  <c r="T294" i="5"/>
  <c r="T319" i="5"/>
  <c r="T336" i="5"/>
  <c r="T340" i="5"/>
  <c r="T348" i="5"/>
  <c r="T353" i="5"/>
  <c r="T355" i="5"/>
  <c r="T361" i="5"/>
  <c r="T363" i="5"/>
  <c r="T365" i="5"/>
  <c r="T373" i="5"/>
  <c r="T379" i="5"/>
  <c r="T382" i="5"/>
  <c r="T383" i="5"/>
  <c r="T388" i="5"/>
  <c r="T392" i="5"/>
  <c r="T399" i="5"/>
  <c r="T402" i="5"/>
  <c r="T404" i="5"/>
  <c r="T408" i="5"/>
  <c r="T411" i="5"/>
  <c r="T414" i="5"/>
  <c r="T417" i="5"/>
  <c r="T287" i="5"/>
  <c r="T324" i="5"/>
  <c r="T357" i="5"/>
  <c r="T370" i="5"/>
  <c r="T384" i="5"/>
  <c r="T428" i="5"/>
  <c r="T430" i="5"/>
  <c r="T432" i="5"/>
  <c r="T441" i="5"/>
  <c r="T443" i="5"/>
  <c r="T447" i="5"/>
  <c r="T448" i="5"/>
  <c r="T451" i="5"/>
  <c r="T458" i="5"/>
  <c r="T460" i="5"/>
  <c r="T466" i="5"/>
  <c r="T472" i="5"/>
  <c r="T478" i="5"/>
  <c r="T481" i="5"/>
  <c r="T491" i="5"/>
  <c r="T494" i="5"/>
  <c r="T499" i="5"/>
  <c r="T505" i="5"/>
  <c r="T507" i="5"/>
  <c r="T508" i="5"/>
  <c r="T513" i="5"/>
  <c r="T515" i="5"/>
  <c r="T516" i="5"/>
  <c r="T525" i="5"/>
  <c r="T532" i="5"/>
  <c r="T533" i="5"/>
  <c r="T537" i="5"/>
  <c r="T339" i="5"/>
  <c r="T347" i="5"/>
  <c r="T351" i="5"/>
  <c r="T427" i="5"/>
  <c r="T431" i="5"/>
  <c r="T438" i="5"/>
  <c r="T442" i="5"/>
  <c r="T453" i="5"/>
  <c r="T454" i="5"/>
  <c r="T456" i="5"/>
  <c r="T459" i="5"/>
  <c r="T462" i="5"/>
  <c r="T464" i="5"/>
  <c r="T468" i="5"/>
  <c r="T471" i="5"/>
  <c r="T474" i="5"/>
  <c r="T475" i="5"/>
  <c r="T480" i="5"/>
  <c r="T483" i="5"/>
  <c r="T485" i="5"/>
  <c r="T496" i="5"/>
  <c r="T498" i="5"/>
  <c r="T500" i="5"/>
  <c r="T501" i="5"/>
  <c r="T503" i="5"/>
  <c r="T504" i="5"/>
  <c r="T511" i="5"/>
  <c r="T512" i="5"/>
  <c r="T517" i="5"/>
  <c r="T519" i="5"/>
  <c r="T521" i="5"/>
  <c r="T522" i="5"/>
  <c r="T333" i="5"/>
  <c r="T358" i="5"/>
  <c r="T360" i="5"/>
  <c r="T368" i="5"/>
  <c r="T374" i="5"/>
  <c r="T377" i="5"/>
  <c r="T395" i="5"/>
  <c r="T398" i="5"/>
  <c r="T401" i="5"/>
  <c r="T413" i="5"/>
  <c r="T416" i="5"/>
  <c r="T422" i="5"/>
  <c r="T425" i="5"/>
  <c r="T434" i="5"/>
  <c r="T435" i="5"/>
  <c r="T439" i="5"/>
  <c r="T446" i="5"/>
  <c r="T452" i="5"/>
  <c r="T455" i="5"/>
  <c r="T457" i="5"/>
  <c r="T461" i="5"/>
  <c r="T463" i="5"/>
  <c r="T467" i="5"/>
  <c r="T470" i="5"/>
  <c r="T473" i="5"/>
  <c r="T477" i="5"/>
  <c r="T482" i="5"/>
  <c r="T486" i="5"/>
  <c r="T487" i="5"/>
  <c r="T489" i="5"/>
  <c r="T492" i="5"/>
  <c r="T493" i="5"/>
  <c r="T495" i="5"/>
  <c r="T506" i="5"/>
  <c r="T510" i="5"/>
  <c r="T526" i="5"/>
  <c r="T531" i="5"/>
  <c r="T538" i="5"/>
  <c r="T556" i="5"/>
  <c r="T557" i="5"/>
  <c r="T560" i="5"/>
  <c r="T304" i="5"/>
  <c r="T338" i="5"/>
  <c r="T344" i="5"/>
  <c r="T346" i="5"/>
  <c r="T352" i="5"/>
  <c r="T444" i="5"/>
  <c r="T465" i="5"/>
  <c r="T484" i="5"/>
  <c r="T529" i="5"/>
  <c r="T534" i="5"/>
  <c r="T536" i="5"/>
  <c r="T539" i="5"/>
  <c r="T540" i="5"/>
  <c r="T542" i="5"/>
  <c r="T545" i="5"/>
  <c r="T546" i="5"/>
  <c r="T548" i="5"/>
  <c r="T550" i="5"/>
  <c r="T554" i="5"/>
  <c r="T541" i="5"/>
  <c r="T544" i="5"/>
  <c r="T394" i="5"/>
  <c r="T406" i="5"/>
  <c r="T412" i="5"/>
  <c r="T426" i="5"/>
  <c r="T450" i="5"/>
  <c r="T490" i="5"/>
  <c r="T497" i="5"/>
  <c r="T514" i="5"/>
  <c r="T518" i="5"/>
  <c r="T524" i="5"/>
  <c r="T527" i="5"/>
  <c r="T543" i="5"/>
  <c r="T551" i="5"/>
  <c r="T552" i="5"/>
  <c r="T553" i="5"/>
  <c r="T555" i="5"/>
  <c r="T419" i="5"/>
  <c r="T440" i="5"/>
  <c r="T449" i="5"/>
  <c r="T528" i="5"/>
  <c r="T530" i="5"/>
  <c r="T535" i="5"/>
  <c r="T547" i="5"/>
  <c r="T549" i="5"/>
  <c r="T558" i="5"/>
  <c r="T559" i="5"/>
  <c r="T397" i="5"/>
  <c r="T423" i="5"/>
  <c r="T445" i="5"/>
  <c r="T469" i="5"/>
  <c r="T476" i="5"/>
  <c r="T479" i="5"/>
  <c r="T488" i="5"/>
  <c r="T502" i="5"/>
  <c r="T509" i="5"/>
  <c r="T520" i="5"/>
  <c r="T523" i="5"/>
  <c r="T19" i="5"/>
  <c r="AP486" i="5"/>
  <c r="AI534" i="5"/>
  <c r="AP534" i="5"/>
  <c r="AH534" i="5"/>
  <c r="AI500" i="5"/>
  <c r="AH500" i="5"/>
  <c r="AP500" i="5"/>
  <c r="AP440" i="5"/>
  <c r="AI440" i="5"/>
  <c r="AH440" i="5"/>
  <c r="AI537" i="5"/>
  <c r="AH537" i="5"/>
  <c r="AP537" i="5"/>
  <c r="AH467" i="5"/>
  <c r="AP467" i="5"/>
  <c r="AI467" i="5"/>
  <c r="AH430" i="5"/>
  <c r="AP430" i="5"/>
  <c r="AI430" i="5"/>
  <c r="AI395" i="5"/>
  <c r="AH395" i="5"/>
  <c r="AP395" i="5"/>
  <c r="AI358" i="5"/>
  <c r="AH358" i="5"/>
  <c r="AP358" i="5"/>
  <c r="AH555" i="5"/>
  <c r="AP555" i="5"/>
  <c r="AI555" i="5"/>
  <c r="AI526" i="5"/>
  <c r="AP526" i="5"/>
  <c r="AH526" i="5"/>
  <c r="AI465" i="5"/>
  <c r="AH465" i="5"/>
  <c r="AP465" i="5"/>
  <c r="AH554" i="5"/>
  <c r="AP554" i="5"/>
  <c r="AI554" i="5"/>
  <c r="AP539" i="5"/>
  <c r="AI539" i="5"/>
  <c r="AH539" i="5"/>
  <c r="AI509" i="5"/>
  <c r="AH509" i="5"/>
  <c r="AP509" i="5"/>
  <c r="AI479" i="5"/>
  <c r="AH479" i="5"/>
  <c r="AP479" i="5"/>
  <c r="AP416" i="5"/>
  <c r="AI416" i="5"/>
  <c r="AH416" i="5"/>
  <c r="AH559" i="5"/>
  <c r="AP559" i="5"/>
  <c r="AI559" i="5"/>
  <c r="AH550" i="5"/>
  <c r="AP550" i="5"/>
  <c r="AI550" i="5"/>
  <c r="AH543" i="5"/>
  <c r="AP543" i="5"/>
  <c r="AI543" i="5"/>
  <c r="AP514" i="5"/>
  <c r="AI514" i="5"/>
  <c r="AH514" i="5"/>
  <c r="AI504" i="5"/>
  <c r="AP504" i="5"/>
  <c r="AH504" i="5"/>
  <c r="AI478" i="5"/>
  <c r="AP478" i="5"/>
  <c r="AH478" i="5"/>
  <c r="AI468" i="5"/>
  <c r="AP468" i="5"/>
  <c r="AH468" i="5"/>
  <c r="AI453" i="5"/>
  <c r="AH453" i="5"/>
  <c r="AP453" i="5"/>
  <c r="AP399" i="5"/>
  <c r="AI399" i="5"/>
  <c r="AH399" i="5"/>
  <c r="AI272" i="5"/>
  <c r="AH272" i="5"/>
  <c r="AP272" i="5"/>
  <c r="AI501" i="5"/>
  <c r="AH501" i="5"/>
  <c r="AP501" i="5"/>
  <c r="AI490" i="5"/>
  <c r="AP490" i="5"/>
  <c r="AH490" i="5"/>
  <c r="AI472" i="5"/>
  <c r="AH472" i="5"/>
  <c r="AP472" i="5"/>
  <c r="AI456" i="5"/>
  <c r="AH456" i="5"/>
  <c r="AP456" i="5"/>
  <c r="AI435" i="5"/>
  <c r="AP435" i="5"/>
  <c r="AH435" i="5"/>
  <c r="AI408" i="5"/>
  <c r="AH408" i="5"/>
  <c r="AP408" i="5"/>
  <c r="AH331" i="5"/>
  <c r="AP331" i="5"/>
  <c r="AI331" i="5"/>
  <c r="AI518" i="5"/>
  <c r="AP518" i="5"/>
  <c r="AH518" i="5"/>
  <c r="AI502" i="5"/>
  <c r="AP502" i="5"/>
  <c r="AH502" i="5"/>
  <c r="AI489" i="5"/>
  <c r="AP489" i="5"/>
  <c r="AH489" i="5"/>
  <c r="AI469" i="5"/>
  <c r="AH469" i="5"/>
  <c r="AP469" i="5"/>
  <c r="AI445" i="5"/>
  <c r="AH445" i="5"/>
  <c r="AP445" i="5"/>
  <c r="AI427" i="5"/>
  <c r="AP427" i="5"/>
  <c r="AH427" i="5"/>
  <c r="AI371" i="5"/>
  <c r="AH371" i="5"/>
  <c r="AP371" i="5"/>
  <c r="AI334" i="5"/>
  <c r="AH334" i="5"/>
  <c r="AP334" i="5"/>
  <c r="AH168" i="5"/>
  <c r="AI168" i="5"/>
  <c r="AP168" i="5"/>
  <c r="AI411" i="5"/>
  <c r="AP411" i="5"/>
  <c r="AH411" i="5"/>
  <c r="AI385" i="5"/>
  <c r="AP385" i="5"/>
  <c r="AH385" i="5"/>
  <c r="AI369" i="5"/>
  <c r="AH369" i="5"/>
  <c r="AP369" i="5"/>
  <c r="AI352" i="5"/>
  <c r="AH352" i="5"/>
  <c r="AP352" i="5"/>
  <c r="AP317" i="5"/>
  <c r="AI317" i="5"/>
  <c r="AH317" i="5"/>
  <c r="AI407" i="5"/>
  <c r="AP407" i="5"/>
  <c r="AH407" i="5"/>
  <c r="AI391" i="5"/>
  <c r="AH391" i="5"/>
  <c r="AP391" i="5"/>
  <c r="AH376" i="5"/>
  <c r="AP376" i="5"/>
  <c r="AI376" i="5"/>
  <c r="AI362" i="5"/>
  <c r="AH362" i="5"/>
  <c r="AP362" i="5"/>
  <c r="AP329" i="5"/>
  <c r="AI329" i="5"/>
  <c r="AH329" i="5"/>
  <c r="AI268" i="5"/>
  <c r="AH268" i="5"/>
  <c r="AP268" i="5"/>
  <c r="AH180" i="5"/>
  <c r="AI180" i="5"/>
  <c r="AP180" i="5"/>
  <c r="AI429" i="5"/>
  <c r="AH429" i="5"/>
  <c r="AP429" i="5"/>
  <c r="AI415" i="5"/>
  <c r="AP415" i="5"/>
  <c r="AH415" i="5"/>
  <c r="AI400" i="5"/>
  <c r="AP400" i="5"/>
  <c r="AH400" i="5"/>
  <c r="AI388" i="5"/>
  <c r="AP388" i="5"/>
  <c r="AH388" i="5"/>
  <c r="AI366" i="5"/>
  <c r="AH366" i="5"/>
  <c r="AP366" i="5"/>
  <c r="AP310" i="5"/>
  <c r="AI310" i="5"/>
  <c r="AH310" i="5"/>
  <c r="AH174" i="5"/>
  <c r="AI174" i="5"/>
  <c r="AP174" i="5"/>
  <c r="AP349" i="5"/>
  <c r="AH349" i="5"/>
  <c r="AI349" i="5"/>
  <c r="AI342" i="5"/>
  <c r="AH342" i="5"/>
  <c r="AP342" i="5"/>
  <c r="AI323" i="5"/>
  <c r="AH323" i="5"/>
  <c r="AP323" i="5"/>
  <c r="AI303" i="5"/>
  <c r="AH303" i="5"/>
  <c r="AP303" i="5"/>
  <c r="AH288" i="5"/>
  <c r="AP288" i="5"/>
  <c r="AI288" i="5"/>
  <c r="AH269" i="5"/>
  <c r="AI269" i="5"/>
  <c r="AP269" i="5"/>
  <c r="AI253" i="5"/>
  <c r="AH253" i="5"/>
  <c r="AP253" i="5"/>
  <c r="AH196" i="5"/>
  <c r="AI196" i="5"/>
  <c r="AP196" i="5"/>
  <c r="AH325" i="5"/>
  <c r="AI325" i="5"/>
  <c r="AP325" i="5"/>
  <c r="AI308" i="5"/>
  <c r="AH308" i="5"/>
  <c r="AP308" i="5"/>
  <c r="AP292" i="5"/>
  <c r="AI292" i="5"/>
  <c r="AH292" i="5"/>
  <c r="AH279" i="5"/>
  <c r="AI279" i="5"/>
  <c r="AI266" i="5"/>
  <c r="AH266" i="5"/>
  <c r="AP266" i="5"/>
  <c r="AH241" i="5"/>
  <c r="AI241" i="5"/>
  <c r="AP203" i="5"/>
  <c r="AH203" i="5"/>
  <c r="AI203" i="5"/>
  <c r="AI320" i="5"/>
  <c r="AH320" i="5"/>
  <c r="AP320" i="5"/>
  <c r="AH309" i="5"/>
  <c r="AP309" i="5"/>
  <c r="AI309" i="5"/>
  <c r="AH293" i="5"/>
  <c r="AP293" i="5"/>
  <c r="AI293" i="5"/>
  <c r="AI277" i="5"/>
  <c r="AH277" i="5"/>
  <c r="AP277" i="5"/>
  <c r="AH263" i="5"/>
  <c r="AP263" i="5"/>
  <c r="AI263" i="5"/>
  <c r="AI254" i="5"/>
  <c r="AH254" i="5"/>
  <c r="AP254" i="5"/>
  <c r="AI228" i="5"/>
  <c r="AH228" i="5"/>
  <c r="AP228" i="5"/>
  <c r="AI236" i="5"/>
  <c r="AH236" i="5"/>
  <c r="AP236" i="5"/>
  <c r="AI225" i="5"/>
  <c r="AH225" i="5"/>
  <c r="AP225" i="5"/>
  <c r="AH213" i="5"/>
  <c r="AP213" i="5"/>
  <c r="AI213" i="5"/>
  <c r="AH188" i="5"/>
  <c r="AI188" i="5"/>
  <c r="AP188" i="5"/>
  <c r="AH242" i="5"/>
  <c r="AI242" i="5"/>
  <c r="AP242" i="5"/>
  <c r="AH220" i="5"/>
  <c r="AI220" i="5"/>
  <c r="AP220" i="5"/>
  <c r="AI207" i="5"/>
  <c r="AH207" i="5"/>
  <c r="AP207" i="5"/>
  <c r="AH247" i="5"/>
  <c r="AI247" i="5"/>
  <c r="AP247" i="5"/>
  <c r="AI227" i="5"/>
  <c r="AH227" i="5"/>
  <c r="AP227" i="5"/>
  <c r="AH208" i="5"/>
  <c r="AI208" i="5"/>
  <c r="AP208" i="5"/>
  <c r="AI206" i="5"/>
  <c r="AH206" i="5"/>
  <c r="AP206" i="5"/>
  <c r="AI197" i="5"/>
  <c r="AH197" i="5"/>
  <c r="AP197" i="5"/>
  <c r="AH186" i="5"/>
  <c r="AI186" i="5"/>
  <c r="AP186" i="5"/>
  <c r="AH167" i="5"/>
  <c r="AI167" i="5"/>
  <c r="AP167" i="5"/>
  <c r="AI155" i="5"/>
  <c r="AH155" i="5"/>
  <c r="AP155" i="5"/>
  <c r="AI95" i="5"/>
  <c r="AH95" i="5"/>
  <c r="AP95" i="5"/>
  <c r="AH170" i="5"/>
  <c r="AI170" i="5"/>
  <c r="AP170" i="5"/>
  <c r="AH161" i="5"/>
  <c r="AI161" i="5"/>
  <c r="AP161" i="5"/>
  <c r="AH125" i="5"/>
  <c r="AI125" i="5"/>
  <c r="AP125" i="5"/>
  <c r="AI179" i="5"/>
  <c r="AH179" i="5"/>
  <c r="AP179" i="5"/>
  <c r="AI171" i="5"/>
  <c r="AH171" i="5"/>
  <c r="AP171" i="5"/>
  <c r="AI147" i="5"/>
  <c r="AH147" i="5"/>
  <c r="AP147" i="5"/>
  <c r="AI123" i="5"/>
  <c r="AH123" i="5"/>
  <c r="AP123" i="5"/>
  <c r="AH152" i="5"/>
  <c r="AI152" i="5"/>
  <c r="AP152" i="5"/>
  <c r="AH137" i="5"/>
  <c r="AI137" i="5"/>
  <c r="AP137" i="5"/>
  <c r="AI120" i="5"/>
  <c r="AH120" i="5"/>
  <c r="AP120" i="5"/>
  <c r="AI106" i="5"/>
  <c r="AH106" i="5"/>
  <c r="AP106" i="5"/>
  <c r="AI151" i="5"/>
  <c r="AH151" i="5"/>
  <c r="AP151" i="5"/>
  <c r="AH124" i="5"/>
  <c r="AI124" i="5"/>
  <c r="AP124" i="5"/>
  <c r="AI145" i="5"/>
  <c r="AP145" i="5"/>
  <c r="AH145" i="5"/>
  <c r="AH132" i="5"/>
  <c r="AP132" i="5"/>
  <c r="AI132" i="5"/>
  <c r="AH114" i="5"/>
  <c r="AI114" i="5"/>
  <c r="AP114" i="5"/>
  <c r="AI108" i="5"/>
  <c r="AH108" i="5"/>
  <c r="AP108" i="5"/>
  <c r="AI85" i="5"/>
  <c r="AH85" i="5"/>
  <c r="AP85" i="5"/>
  <c r="AH107" i="5"/>
  <c r="AI107" i="5"/>
  <c r="AP107" i="5"/>
  <c r="AI98" i="5"/>
  <c r="AH98" i="5"/>
  <c r="AP98" i="5"/>
  <c r="AH74" i="5"/>
  <c r="AI74" i="5"/>
  <c r="AP74" i="5"/>
  <c r="AH86" i="5"/>
  <c r="AP86" i="5"/>
  <c r="AI86" i="5"/>
  <c r="AI76" i="5"/>
  <c r="AP76" i="5"/>
  <c r="AH76" i="5"/>
  <c r="AH73" i="5"/>
  <c r="AI73" i="5"/>
  <c r="AP73" i="5"/>
  <c r="AH80" i="5"/>
  <c r="AP80" i="5"/>
  <c r="AI80" i="5"/>
  <c r="AI59" i="5"/>
  <c r="AH59" i="5"/>
  <c r="AP59" i="5"/>
  <c r="AH68" i="5"/>
  <c r="AI68" i="5"/>
  <c r="AP68" i="5"/>
  <c r="AH60" i="5"/>
  <c r="AI60" i="5"/>
  <c r="AP60" i="5"/>
  <c r="AH61" i="5"/>
  <c r="AI61" i="5"/>
  <c r="AP61" i="5"/>
  <c r="AH50" i="5"/>
  <c r="AI50" i="5"/>
  <c r="AP50" i="5"/>
  <c r="AI49" i="5"/>
  <c r="AH49" i="5"/>
  <c r="AP49" i="5"/>
  <c r="AH40" i="5"/>
  <c r="AI40" i="5"/>
  <c r="AP40" i="5"/>
  <c r="AP27" i="5"/>
  <c r="AI27" i="5"/>
  <c r="AH27" i="5"/>
  <c r="AI32" i="5"/>
  <c r="AP32" i="5"/>
  <c r="AH32" i="5"/>
  <c r="AI46" i="5"/>
  <c r="AP46" i="5"/>
  <c r="AH46" i="5"/>
  <c r="AI33" i="5"/>
  <c r="AH33" i="5"/>
  <c r="AP33" i="5"/>
  <c r="AO483" i="5"/>
  <c r="AN483" i="5"/>
  <c r="AN372" i="5"/>
  <c r="AO372" i="5"/>
  <c r="AO542" i="5"/>
  <c r="AN542" i="5"/>
  <c r="AO528" i="5"/>
  <c r="AN528" i="5"/>
  <c r="AN424" i="5"/>
  <c r="AO424" i="5"/>
  <c r="AN549" i="5"/>
  <c r="AO549" i="5"/>
  <c r="AO524" i="5"/>
  <c r="AN524" i="5"/>
  <c r="AN433" i="5"/>
  <c r="AO433" i="5"/>
  <c r="AO553" i="5"/>
  <c r="AN553" i="5"/>
  <c r="AN534" i="5"/>
  <c r="AO534" i="5"/>
  <c r="AO517" i="5"/>
  <c r="AN517" i="5"/>
  <c r="AN449" i="5"/>
  <c r="AO449" i="5"/>
  <c r="AN297" i="5"/>
  <c r="AO297" i="5"/>
  <c r="AO554" i="5"/>
  <c r="AN554" i="5"/>
  <c r="AO523" i="5"/>
  <c r="AN523" i="5"/>
  <c r="AN510" i="5"/>
  <c r="AO510" i="5"/>
  <c r="AN503" i="5"/>
  <c r="AO503" i="5"/>
  <c r="AN495" i="5"/>
  <c r="AO495" i="5"/>
  <c r="AO489" i="5"/>
  <c r="AN489" i="5"/>
  <c r="AO482" i="5"/>
  <c r="AN482" i="5"/>
  <c r="AO469" i="5"/>
  <c r="AN469" i="5"/>
  <c r="AO454" i="5"/>
  <c r="AN454" i="5"/>
  <c r="AO443" i="5"/>
  <c r="AN443" i="5"/>
  <c r="AN430" i="5"/>
  <c r="AO430" i="5"/>
  <c r="AO381" i="5"/>
  <c r="AN381" i="5"/>
  <c r="AN519" i="5"/>
  <c r="AO519" i="5"/>
  <c r="AN511" i="5"/>
  <c r="AO511" i="5"/>
  <c r="AN484" i="5"/>
  <c r="AO484" i="5"/>
  <c r="AN470" i="5"/>
  <c r="AO470" i="5"/>
  <c r="AO462" i="5"/>
  <c r="AN462" i="5"/>
  <c r="AN439" i="5"/>
  <c r="AO439" i="5"/>
  <c r="AN412" i="5"/>
  <c r="AO412" i="5"/>
  <c r="AO391" i="5"/>
  <c r="AN391" i="5"/>
  <c r="AO532" i="5"/>
  <c r="AN532" i="5"/>
  <c r="AN515" i="5"/>
  <c r="AO515" i="5"/>
  <c r="AO490" i="5"/>
  <c r="AN490" i="5"/>
  <c r="AO471" i="5"/>
  <c r="AN471" i="5"/>
  <c r="AO457" i="5"/>
  <c r="AN457" i="5"/>
  <c r="AN401" i="5"/>
  <c r="AO401" i="5"/>
  <c r="AO311" i="5"/>
  <c r="AN311" i="5"/>
  <c r="AO400" i="5"/>
  <c r="AN400" i="5"/>
  <c r="AN379" i="5"/>
  <c r="AO379" i="5"/>
  <c r="AO366" i="5"/>
  <c r="AN366" i="5"/>
  <c r="AN348" i="5"/>
  <c r="AO348" i="5"/>
  <c r="AN336" i="5"/>
  <c r="AO336" i="5"/>
  <c r="AO286" i="5"/>
  <c r="AN286" i="5"/>
  <c r="AN254" i="5"/>
  <c r="AO254" i="5"/>
  <c r="AN418" i="5"/>
  <c r="AO418" i="5"/>
  <c r="AO402" i="5"/>
  <c r="AN402" i="5"/>
  <c r="AN389" i="5"/>
  <c r="AO389" i="5"/>
  <c r="AN377" i="5"/>
  <c r="AO377" i="5"/>
  <c r="AO363" i="5"/>
  <c r="AN363" i="5"/>
  <c r="AN350" i="5"/>
  <c r="AO350" i="5"/>
  <c r="AN293" i="5"/>
  <c r="AO293" i="5"/>
  <c r="AN250" i="5"/>
  <c r="AO250" i="5"/>
  <c r="AO431" i="5"/>
  <c r="AN431" i="5"/>
  <c r="AO414" i="5"/>
  <c r="AN414" i="5"/>
  <c r="AO404" i="5"/>
  <c r="AN404" i="5"/>
  <c r="AN376" i="5"/>
  <c r="AO376" i="5"/>
  <c r="AO360" i="5"/>
  <c r="AN360" i="5"/>
  <c r="AN319" i="5"/>
  <c r="AO319" i="5"/>
  <c r="AO224" i="5"/>
  <c r="AN224" i="5"/>
  <c r="AO357" i="5"/>
  <c r="AN357" i="5"/>
  <c r="AN343" i="5"/>
  <c r="AO343" i="5"/>
  <c r="AN330" i="5"/>
  <c r="AO330" i="5"/>
  <c r="AN320" i="5"/>
  <c r="AO320" i="5"/>
  <c r="AN310" i="5"/>
  <c r="AO310" i="5"/>
  <c r="AO301" i="5"/>
  <c r="AN301" i="5"/>
  <c r="AO275" i="5"/>
  <c r="AN275" i="5"/>
  <c r="AN257" i="5"/>
  <c r="AO257" i="5"/>
  <c r="AO248" i="5"/>
  <c r="AN248" i="5"/>
  <c r="AO192" i="5"/>
  <c r="AN192" i="5"/>
  <c r="AN321" i="5"/>
  <c r="AO321" i="5"/>
  <c r="AO294" i="5"/>
  <c r="AN294" i="5"/>
  <c r="AN272" i="5"/>
  <c r="AO272" i="5"/>
  <c r="AO253" i="5"/>
  <c r="AN253" i="5"/>
  <c r="AN327" i="5"/>
  <c r="AO327" i="5"/>
  <c r="AO307" i="5"/>
  <c r="AN307" i="5"/>
  <c r="AN291" i="5"/>
  <c r="AO291" i="5"/>
  <c r="AO281" i="5"/>
  <c r="AN281" i="5"/>
  <c r="AO271" i="5"/>
  <c r="AN271" i="5"/>
  <c r="AO259" i="5"/>
  <c r="AN259" i="5"/>
  <c r="AO193" i="5"/>
  <c r="AN193" i="5"/>
  <c r="AO239" i="5"/>
  <c r="AN239" i="5"/>
  <c r="AN215" i="5"/>
  <c r="AO215" i="5"/>
  <c r="AN186" i="5"/>
  <c r="AO186" i="5"/>
  <c r="AO244" i="5"/>
  <c r="AN244" i="5"/>
  <c r="AO228" i="5"/>
  <c r="AN228" i="5"/>
  <c r="AO217" i="5"/>
  <c r="AN217" i="5"/>
  <c r="AN204" i="5"/>
  <c r="AO204" i="5"/>
  <c r="AN182" i="5"/>
  <c r="AO182" i="5"/>
  <c r="AO233" i="5"/>
  <c r="AN233" i="5"/>
  <c r="AO216" i="5"/>
  <c r="AN216" i="5"/>
  <c r="AN205" i="5"/>
  <c r="AO205" i="5"/>
  <c r="AN165" i="5"/>
  <c r="AO165" i="5"/>
  <c r="AO203" i="5"/>
  <c r="AN203" i="5"/>
  <c r="AO187" i="5"/>
  <c r="AN187" i="5"/>
  <c r="AO162" i="5"/>
  <c r="AN162" i="5"/>
  <c r="AN143" i="5"/>
  <c r="AO143" i="5"/>
  <c r="AO185" i="5"/>
  <c r="AN185" i="5"/>
  <c r="AN170" i="5"/>
  <c r="AO170" i="5"/>
  <c r="AO153" i="5"/>
  <c r="AN153" i="5"/>
  <c r="AN181" i="5"/>
  <c r="AO181" i="5"/>
  <c r="AN167" i="5"/>
  <c r="AO167" i="5"/>
  <c r="AO104" i="5"/>
  <c r="AN104" i="5"/>
  <c r="AO142" i="5"/>
  <c r="AN142" i="5"/>
  <c r="AN124" i="5"/>
  <c r="AO124" i="5"/>
  <c r="AO155" i="5"/>
  <c r="AN155" i="5"/>
  <c r="AO146" i="5"/>
  <c r="AN146" i="5"/>
  <c r="AO128" i="5"/>
  <c r="AN128" i="5"/>
  <c r="AO120" i="5"/>
  <c r="AN120" i="5"/>
  <c r="AN106" i="5"/>
  <c r="AO106" i="5"/>
  <c r="AN151" i="5"/>
  <c r="AO151" i="5"/>
  <c r="AO129" i="5"/>
  <c r="AN129" i="5"/>
  <c r="AO99" i="5"/>
  <c r="AN99" i="5"/>
  <c r="AN87" i="5"/>
  <c r="AO87" i="5"/>
  <c r="AN102" i="5"/>
  <c r="AO102" i="5"/>
  <c r="AN96" i="5"/>
  <c r="AO96" i="5"/>
  <c r="AO90" i="5"/>
  <c r="AN90" i="5"/>
  <c r="AO93" i="5"/>
  <c r="AN93" i="5"/>
  <c r="AN77" i="5"/>
  <c r="AO77" i="5"/>
  <c r="AN62" i="5"/>
  <c r="AO62" i="5"/>
  <c r="AO79" i="5"/>
  <c r="AN79" i="5"/>
  <c r="AN49" i="5"/>
  <c r="AO49" i="5"/>
  <c r="AO57" i="5"/>
  <c r="AN57" i="5"/>
  <c r="AO58" i="5"/>
  <c r="AN58" i="5"/>
  <c r="AO63" i="5"/>
  <c r="AN63" i="5"/>
  <c r="AN28" i="5"/>
  <c r="AO28" i="5"/>
  <c r="AO67" i="5"/>
  <c r="AN67" i="5"/>
  <c r="AO42" i="5"/>
  <c r="AN42" i="5"/>
  <c r="AO46" i="5"/>
  <c r="AN46" i="5"/>
  <c r="AN33" i="5"/>
  <c r="AO33" i="5"/>
  <c r="AO37" i="5"/>
  <c r="AN37" i="5"/>
  <c r="AN25" i="5"/>
  <c r="AO25" i="5"/>
  <c r="AO36" i="5"/>
  <c r="AN36" i="5"/>
  <c r="AP343" i="5"/>
  <c r="AK529" i="5"/>
  <c r="AL529" i="5"/>
  <c r="AK498" i="5"/>
  <c r="AL498" i="5"/>
  <c r="AK530" i="5"/>
  <c r="AL530" i="5"/>
  <c r="AK404" i="5"/>
  <c r="AL404" i="5"/>
  <c r="AK536" i="5"/>
  <c r="AL536" i="5"/>
  <c r="AL456" i="5"/>
  <c r="AK456" i="5"/>
  <c r="AL414" i="5"/>
  <c r="AK414" i="5"/>
  <c r="AK503" i="5"/>
  <c r="AL503" i="5"/>
  <c r="AK463" i="5"/>
  <c r="AL463" i="5"/>
  <c r="AL537" i="5"/>
  <c r="AK537" i="5"/>
  <c r="AL480" i="5"/>
  <c r="AK480" i="5"/>
  <c r="AK352" i="5"/>
  <c r="AL352" i="5"/>
  <c r="AL386" i="5"/>
  <c r="AK386" i="5"/>
  <c r="AL259" i="5"/>
  <c r="AK259" i="5"/>
  <c r="AK364" i="5"/>
  <c r="AL364" i="5"/>
  <c r="AK419" i="5"/>
  <c r="AL419" i="5"/>
  <c r="AK377" i="5"/>
  <c r="AL377" i="5"/>
  <c r="AL296" i="5"/>
  <c r="AK296" i="5"/>
  <c r="AL319" i="5"/>
  <c r="AK319" i="5"/>
  <c r="AK260" i="5"/>
  <c r="AL260" i="5"/>
  <c r="AL306" i="5"/>
  <c r="AK306" i="5"/>
  <c r="AK255" i="5"/>
  <c r="AL255" i="5"/>
  <c r="AL302" i="5"/>
  <c r="AK302" i="5"/>
  <c r="AK243" i="5"/>
  <c r="AL243" i="5"/>
  <c r="AK206" i="5"/>
  <c r="AL206" i="5"/>
  <c r="AK237" i="5"/>
  <c r="AL237" i="5"/>
  <c r="AK219" i="5"/>
  <c r="AL219" i="5"/>
  <c r="AK124" i="5"/>
  <c r="AL124" i="5"/>
  <c r="AL178" i="5"/>
  <c r="AK178" i="5"/>
  <c r="AL139" i="5"/>
  <c r="AK139" i="5"/>
  <c r="AL108" i="5"/>
  <c r="AK108" i="5"/>
  <c r="AK122" i="5"/>
  <c r="AL122" i="5"/>
  <c r="AL126" i="5"/>
  <c r="AK126" i="5"/>
  <c r="AK90" i="5"/>
  <c r="AL90" i="5"/>
  <c r="AK82" i="5"/>
  <c r="AL82" i="5"/>
  <c r="AK75" i="5"/>
  <c r="AL75" i="5"/>
  <c r="AK49" i="5"/>
  <c r="AL49" i="5"/>
  <c r="AK39" i="5"/>
  <c r="AL39" i="5"/>
  <c r="AK29" i="5"/>
  <c r="AL29" i="5"/>
  <c r="AI449" i="5"/>
  <c r="AH449" i="5"/>
  <c r="AP449" i="5"/>
  <c r="AI523" i="5"/>
  <c r="AH523" i="5"/>
  <c r="AP523" i="5"/>
  <c r="AI545" i="5"/>
  <c r="AP545" i="5"/>
  <c r="AH545" i="5"/>
  <c r="AI542" i="5"/>
  <c r="AH542" i="5"/>
  <c r="AP542" i="5"/>
  <c r="AI473" i="5"/>
  <c r="AH473" i="5"/>
  <c r="AP473" i="5"/>
  <c r="AI548" i="5"/>
  <c r="AH548" i="5"/>
  <c r="AP548" i="5"/>
  <c r="AI425" i="5"/>
  <c r="AP425" i="5"/>
  <c r="AH425" i="5"/>
  <c r="B25" i="5"/>
  <c r="AK507" i="5"/>
  <c r="AL507" i="5"/>
  <c r="AK515" i="5"/>
  <c r="AL515" i="5"/>
  <c r="AK447" i="5"/>
  <c r="AL447" i="5"/>
  <c r="AL543" i="5"/>
  <c r="AK543" i="5"/>
  <c r="AK497" i="5"/>
  <c r="AL497" i="5"/>
  <c r="AL555" i="5"/>
  <c r="AK555" i="5"/>
  <c r="AK504" i="5"/>
  <c r="AL504" i="5"/>
  <c r="AL475" i="5"/>
  <c r="AK475" i="5"/>
  <c r="AK383" i="5"/>
  <c r="AL383" i="5"/>
  <c r="AL551" i="5"/>
  <c r="AK551" i="5"/>
  <c r="AK535" i="5"/>
  <c r="AL535" i="5"/>
  <c r="AK516" i="5"/>
  <c r="AL516" i="5"/>
  <c r="AL556" i="5"/>
  <c r="AK556" i="5"/>
  <c r="AK532" i="5"/>
  <c r="AL532" i="5"/>
  <c r="AK423" i="5"/>
  <c r="AL423" i="5"/>
  <c r="AP279" i="5"/>
  <c r="AL279" i="5"/>
  <c r="AK279" i="5"/>
  <c r="AL547" i="5"/>
  <c r="AK547" i="5"/>
  <c r="AL538" i="5"/>
  <c r="AK538" i="5"/>
  <c r="AK527" i="5"/>
  <c r="AL527" i="5"/>
  <c r="AL496" i="5"/>
  <c r="AK496" i="5"/>
  <c r="AK483" i="5"/>
  <c r="AL483" i="5"/>
  <c r="AL458" i="5"/>
  <c r="AK458" i="5"/>
  <c r="AK442" i="5"/>
  <c r="AL442" i="5"/>
  <c r="AK425" i="5"/>
  <c r="AL425" i="5"/>
  <c r="AK417" i="5"/>
  <c r="AL417" i="5"/>
  <c r="AK393" i="5"/>
  <c r="AL393" i="5"/>
  <c r="AK335" i="5"/>
  <c r="AL335" i="5"/>
  <c r="AL518" i="5"/>
  <c r="AK518" i="5"/>
  <c r="AK508" i="5"/>
  <c r="AL508" i="5"/>
  <c r="AK494" i="5"/>
  <c r="AL494" i="5"/>
  <c r="AK487" i="5"/>
  <c r="AL487" i="5"/>
  <c r="AK466" i="5"/>
  <c r="AL466" i="5"/>
  <c r="AK451" i="5"/>
  <c r="AL451" i="5"/>
  <c r="AK441" i="5"/>
  <c r="AL441" i="5"/>
  <c r="AL418" i="5"/>
  <c r="AK418" i="5"/>
  <c r="AL288" i="5"/>
  <c r="AK288" i="5"/>
  <c r="AL512" i="5"/>
  <c r="AK512" i="5"/>
  <c r="AK500" i="5"/>
  <c r="AL500" i="5"/>
  <c r="AK482" i="5"/>
  <c r="AL482" i="5"/>
  <c r="AK476" i="5"/>
  <c r="AL476" i="5"/>
  <c r="AK461" i="5"/>
  <c r="AL461" i="5"/>
  <c r="AK440" i="5"/>
  <c r="AL440" i="5"/>
  <c r="AK385" i="5"/>
  <c r="AL385" i="5"/>
  <c r="AK409" i="5"/>
  <c r="AL409" i="5"/>
  <c r="AK401" i="5"/>
  <c r="AL401" i="5"/>
  <c r="AK387" i="5"/>
  <c r="AL387" i="5"/>
  <c r="AK376" i="5"/>
  <c r="AL376" i="5"/>
  <c r="AL343" i="5"/>
  <c r="AK343" i="5"/>
  <c r="AK264" i="5"/>
  <c r="AL264" i="5"/>
  <c r="AK406" i="5"/>
  <c r="AL406" i="5"/>
  <c r="AK394" i="5"/>
  <c r="AL394" i="5"/>
  <c r="AK366" i="5"/>
  <c r="AL366" i="5"/>
  <c r="AL349" i="5"/>
  <c r="AK349" i="5"/>
  <c r="AK336" i="5"/>
  <c r="AL336" i="5"/>
  <c r="AK439" i="5"/>
  <c r="AL439" i="5"/>
  <c r="AK426" i="5"/>
  <c r="AL426" i="5"/>
  <c r="AK412" i="5"/>
  <c r="AL412" i="5"/>
  <c r="AK390" i="5"/>
  <c r="AL390" i="5"/>
  <c r="AK379" i="5"/>
  <c r="AL379" i="5"/>
  <c r="AK365" i="5"/>
  <c r="AL365" i="5"/>
  <c r="AK356" i="5"/>
  <c r="AL356" i="5"/>
  <c r="AK344" i="5"/>
  <c r="AL344" i="5"/>
  <c r="AL307" i="5"/>
  <c r="AK307" i="5"/>
  <c r="AK212" i="5"/>
  <c r="AL212" i="5"/>
  <c r="AK340" i="5"/>
  <c r="AL340" i="5"/>
  <c r="AK325" i="5"/>
  <c r="AL325" i="5"/>
  <c r="AK308" i="5"/>
  <c r="AL308" i="5"/>
  <c r="AL292" i="5"/>
  <c r="AK292" i="5"/>
  <c r="AK277" i="5"/>
  <c r="AL277" i="5"/>
  <c r="AK267" i="5"/>
  <c r="AL267" i="5"/>
  <c r="AK250" i="5"/>
  <c r="AL250" i="5"/>
  <c r="AL190" i="5"/>
  <c r="AK190" i="5"/>
  <c r="AL320" i="5"/>
  <c r="AK320" i="5"/>
  <c r="AL309" i="5"/>
  <c r="AK309" i="5"/>
  <c r="AL293" i="5"/>
  <c r="AK293" i="5"/>
  <c r="AK275" i="5"/>
  <c r="AL275" i="5"/>
  <c r="AL257" i="5"/>
  <c r="AK257" i="5"/>
  <c r="AL249" i="5"/>
  <c r="AK249" i="5"/>
  <c r="AK177" i="5"/>
  <c r="AL177" i="5"/>
  <c r="AK326" i="5"/>
  <c r="AL326" i="5"/>
  <c r="AL305" i="5"/>
  <c r="AK305" i="5"/>
  <c r="AL290" i="5"/>
  <c r="AK290" i="5"/>
  <c r="AK269" i="5"/>
  <c r="AL269" i="5"/>
  <c r="AL247" i="5"/>
  <c r="AK247" i="5"/>
  <c r="AK211" i="5"/>
  <c r="AL211" i="5"/>
  <c r="AK232" i="5"/>
  <c r="AL232" i="5"/>
  <c r="AK223" i="5"/>
  <c r="AL223" i="5"/>
  <c r="AL209" i="5"/>
  <c r="AK209" i="5"/>
  <c r="AP193" i="5"/>
  <c r="AK193" i="5"/>
  <c r="AL193" i="5"/>
  <c r="AK181" i="5"/>
  <c r="AL181" i="5"/>
  <c r="AK239" i="5"/>
  <c r="AL239" i="5"/>
  <c r="AL215" i="5"/>
  <c r="AK215" i="5"/>
  <c r="AK167" i="5"/>
  <c r="AL167" i="5"/>
  <c r="AL238" i="5"/>
  <c r="AK238" i="5"/>
  <c r="AK222" i="5"/>
  <c r="AL222" i="5"/>
  <c r="AL210" i="5"/>
  <c r="AK210" i="5"/>
  <c r="AK194" i="5"/>
  <c r="AL194" i="5"/>
  <c r="AK142" i="5"/>
  <c r="AL142" i="5"/>
  <c r="AK200" i="5"/>
  <c r="AL200" i="5"/>
  <c r="AK184" i="5"/>
  <c r="AL184" i="5"/>
  <c r="AK165" i="5"/>
  <c r="AL165" i="5"/>
  <c r="AK179" i="5"/>
  <c r="AL179" i="5"/>
  <c r="AL186" i="5"/>
  <c r="AK186" i="5"/>
  <c r="AK174" i="5"/>
  <c r="AL174" i="5"/>
  <c r="AK159" i="5"/>
  <c r="AL159" i="5"/>
  <c r="AL154" i="5"/>
  <c r="AK154" i="5"/>
  <c r="AL144" i="5"/>
  <c r="AK144" i="5"/>
  <c r="AL129" i="5"/>
  <c r="AK129" i="5"/>
  <c r="AK110" i="5"/>
  <c r="AL110" i="5"/>
  <c r="AK86" i="5"/>
  <c r="AL86" i="5"/>
  <c r="AK153" i="5"/>
  <c r="AL153" i="5"/>
  <c r="AL136" i="5"/>
  <c r="AK136" i="5"/>
  <c r="AK127" i="5"/>
  <c r="AL127" i="5"/>
  <c r="AK87" i="5"/>
  <c r="AL87" i="5"/>
  <c r="AK149" i="5"/>
  <c r="AL149" i="5"/>
  <c r="AP128" i="5"/>
  <c r="AK128" i="5"/>
  <c r="AL128" i="5"/>
  <c r="AK118" i="5"/>
  <c r="AL118" i="5"/>
  <c r="AK106" i="5"/>
  <c r="AL106" i="5"/>
  <c r="AK100" i="5"/>
  <c r="AL100" i="5"/>
  <c r="AK92" i="5"/>
  <c r="AL92" i="5"/>
  <c r="AK109" i="5"/>
  <c r="AL109" i="5"/>
  <c r="AK94" i="5"/>
  <c r="AL94" i="5"/>
  <c r="AK78" i="5"/>
  <c r="AL78" i="5"/>
  <c r="AK67" i="5"/>
  <c r="AL67" i="5"/>
  <c r="AK74" i="5"/>
  <c r="AL74" i="5"/>
  <c r="AK77" i="5"/>
  <c r="AL77" i="5"/>
  <c r="AK79" i="5"/>
  <c r="AL79" i="5"/>
  <c r="AL62" i="5"/>
  <c r="AK62" i="5"/>
  <c r="AK50" i="5"/>
  <c r="AL50" i="5"/>
  <c r="AK27" i="5"/>
  <c r="AL27" i="5"/>
  <c r="AK55" i="5"/>
  <c r="AL55" i="5"/>
  <c r="AK69" i="5"/>
  <c r="AL69" i="5"/>
  <c r="AK42" i="5"/>
  <c r="AL42" i="5"/>
  <c r="AL28" i="5"/>
  <c r="AK28" i="5"/>
  <c r="AK44" i="5"/>
  <c r="AL44" i="5"/>
  <c r="AK30" i="5"/>
  <c r="AL30" i="5"/>
  <c r="AK43" i="5"/>
  <c r="AL43" i="5"/>
  <c r="AL25" i="5"/>
  <c r="AK25" i="5"/>
  <c r="AH19" i="5"/>
  <c r="AI19" i="5"/>
  <c r="AP19" i="5"/>
  <c r="AI527" i="5"/>
  <c r="AH527" i="5"/>
  <c r="AP527" i="5"/>
  <c r="AI470" i="5"/>
  <c r="AH470" i="5"/>
  <c r="AP470" i="5"/>
  <c r="AH560" i="5"/>
  <c r="AI560" i="5"/>
  <c r="AP560" i="5"/>
  <c r="AI529" i="5"/>
  <c r="AH529" i="5"/>
  <c r="AP529" i="5"/>
  <c r="AI461" i="5"/>
  <c r="AH461" i="5"/>
  <c r="AP461" i="5"/>
  <c r="AP428" i="5"/>
  <c r="AI428" i="5"/>
  <c r="AH428" i="5"/>
  <c r="AI389" i="5"/>
  <c r="AP389" i="5"/>
  <c r="AH389" i="5"/>
  <c r="AI540" i="5"/>
  <c r="AH540" i="5"/>
  <c r="AP540" i="5"/>
  <c r="AH552" i="5"/>
  <c r="AI552" i="5"/>
  <c r="AP552" i="5"/>
  <c r="AI519" i="5"/>
  <c r="AH519" i="5"/>
  <c r="AP519" i="5"/>
  <c r="AI455" i="5"/>
  <c r="AH455" i="5"/>
  <c r="AP455" i="5"/>
  <c r="AP547" i="5"/>
  <c r="AI547" i="5"/>
  <c r="AH547" i="5"/>
  <c r="AI535" i="5"/>
  <c r="AH535" i="5"/>
  <c r="AP535" i="5"/>
  <c r="AH506" i="5"/>
  <c r="AP506" i="5"/>
  <c r="AI506" i="5"/>
  <c r="AI476" i="5"/>
  <c r="AP476" i="5"/>
  <c r="AH476" i="5"/>
  <c r="AI392" i="5"/>
  <c r="AP392" i="5"/>
  <c r="AH392" i="5"/>
  <c r="AH557" i="5"/>
  <c r="AI557" i="5"/>
  <c r="AP557" i="5"/>
  <c r="AI549" i="5"/>
  <c r="AH549" i="5"/>
  <c r="AP549" i="5"/>
  <c r="AI531" i="5"/>
  <c r="AH531" i="5"/>
  <c r="AP531" i="5"/>
  <c r="AI512" i="5"/>
  <c r="AH512" i="5"/>
  <c r="AP512" i="5"/>
  <c r="AI498" i="5"/>
  <c r="AP498" i="5"/>
  <c r="AH498" i="5"/>
  <c r="AI477" i="5"/>
  <c r="AH477" i="5"/>
  <c r="AP477" i="5"/>
  <c r="AI462" i="5"/>
  <c r="AH462" i="5"/>
  <c r="AP462" i="5"/>
  <c r="AH452" i="5"/>
  <c r="AP452" i="5"/>
  <c r="AI452" i="5"/>
  <c r="AI363" i="5"/>
  <c r="AH363" i="5"/>
  <c r="AP363" i="5"/>
  <c r="AI517" i="5"/>
  <c r="AH517" i="5"/>
  <c r="AP517" i="5"/>
  <c r="AI497" i="5"/>
  <c r="AH497" i="5"/>
  <c r="AP497" i="5"/>
  <c r="AI485" i="5"/>
  <c r="AH485" i="5"/>
  <c r="AP485" i="5"/>
  <c r="AI464" i="5"/>
  <c r="AP464" i="5"/>
  <c r="AH464" i="5"/>
  <c r="AP448" i="5"/>
  <c r="AI448" i="5"/>
  <c r="AH448" i="5"/>
  <c r="AP434" i="5"/>
  <c r="AI434" i="5"/>
  <c r="AH434" i="5"/>
  <c r="AI384" i="5"/>
  <c r="AP384" i="5"/>
  <c r="AH384" i="5"/>
  <c r="AP294" i="5"/>
  <c r="AI294" i="5"/>
  <c r="AH294" i="5"/>
  <c r="AI513" i="5"/>
  <c r="AH513" i="5"/>
  <c r="AP513" i="5"/>
  <c r="AH499" i="5"/>
  <c r="AP499" i="5"/>
  <c r="AI499" i="5"/>
  <c r="AH488" i="5"/>
  <c r="AP488" i="5"/>
  <c r="AI488" i="5"/>
  <c r="AI466" i="5"/>
  <c r="AP466" i="5"/>
  <c r="AH466" i="5"/>
  <c r="AP443" i="5"/>
  <c r="AI443" i="5"/>
  <c r="AH443" i="5"/>
  <c r="AI419" i="5"/>
  <c r="AP419" i="5"/>
  <c r="AH419" i="5"/>
  <c r="AI350" i="5"/>
  <c r="AH350" i="5"/>
  <c r="AP350" i="5"/>
  <c r="AH305" i="5"/>
  <c r="AP305" i="5"/>
  <c r="AI305" i="5"/>
  <c r="AP418" i="5"/>
  <c r="AI418" i="5"/>
  <c r="AH418" i="5"/>
  <c r="AI404" i="5"/>
  <c r="AH404" i="5"/>
  <c r="AP404" i="5"/>
  <c r="AI383" i="5"/>
  <c r="AP383" i="5"/>
  <c r="AH383" i="5"/>
  <c r="AP361" i="5"/>
  <c r="AI361" i="5"/>
  <c r="AH361" i="5"/>
  <c r="AI351" i="5"/>
  <c r="AP351" i="5"/>
  <c r="AH351" i="5"/>
  <c r="AH202" i="5"/>
  <c r="AI202" i="5"/>
  <c r="AP202" i="5"/>
  <c r="AI405" i="5"/>
  <c r="AP405" i="5"/>
  <c r="AH405" i="5"/>
  <c r="AI387" i="5"/>
  <c r="AP387" i="5"/>
  <c r="AH387" i="5"/>
  <c r="AI372" i="5"/>
  <c r="AH372" i="5"/>
  <c r="AP372" i="5"/>
  <c r="AI355" i="5"/>
  <c r="AH355" i="5"/>
  <c r="AP355" i="5"/>
  <c r="AI326" i="5"/>
  <c r="AH326" i="5"/>
  <c r="AP326" i="5"/>
  <c r="AH267" i="5"/>
  <c r="AI267" i="5"/>
  <c r="AP267" i="5"/>
  <c r="AI437" i="5"/>
  <c r="AP437" i="5"/>
  <c r="AH437" i="5"/>
  <c r="AI424" i="5"/>
  <c r="AH424" i="5"/>
  <c r="AP424" i="5"/>
  <c r="AI406" i="5"/>
  <c r="AH406" i="5"/>
  <c r="AP406" i="5"/>
  <c r="AI398" i="5"/>
  <c r="AH398" i="5"/>
  <c r="AP398" i="5"/>
  <c r="AI382" i="5"/>
  <c r="AH382" i="5"/>
  <c r="AP382" i="5"/>
  <c r="AI364" i="5"/>
  <c r="AP364" i="5"/>
  <c r="AH364" i="5"/>
  <c r="AH290" i="5"/>
  <c r="AP290" i="5"/>
  <c r="AI290" i="5"/>
  <c r="AI359" i="5"/>
  <c r="AP359" i="5"/>
  <c r="AH359" i="5"/>
  <c r="AI348" i="5"/>
  <c r="AH348" i="5"/>
  <c r="AP348" i="5"/>
  <c r="AI338" i="5"/>
  <c r="AH338" i="5"/>
  <c r="AP338" i="5"/>
  <c r="AH318" i="5"/>
  <c r="AP318" i="5"/>
  <c r="AI318" i="5"/>
  <c r="AP300" i="5"/>
  <c r="AH300" i="5"/>
  <c r="AI300" i="5"/>
  <c r="AP285" i="5"/>
  <c r="AI285" i="5"/>
  <c r="AH285" i="5"/>
  <c r="AI264" i="5"/>
  <c r="AH264" i="5"/>
  <c r="AP264" i="5"/>
  <c r="AH244" i="5"/>
  <c r="AI244" i="5"/>
  <c r="AP244" i="5"/>
  <c r="AH117" i="5"/>
  <c r="AI117" i="5"/>
  <c r="AP319" i="5"/>
  <c r="AI319" i="5"/>
  <c r="AH319" i="5"/>
  <c r="AP304" i="5"/>
  <c r="AI304" i="5"/>
  <c r="AH304" i="5"/>
  <c r="AH289" i="5"/>
  <c r="AP289" i="5"/>
  <c r="AI289" i="5"/>
  <c r="AH278" i="5"/>
  <c r="AI278" i="5"/>
  <c r="AP278" i="5"/>
  <c r="AP258" i="5"/>
  <c r="AH258" i="5"/>
  <c r="AI258" i="5"/>
  <c r="AP219" i="5"/>
  <c r="AH219" i="5"/>
  <c r="AI219" i="5"/>
  <c r="AI332" i="5"/>
  <c r="AP332" i="5"/>
  <c r="AH332" i="5"/>
  <c r="AP315" i="5"/>
  <c r="AH315" i="5"/>
  <c r="AI315" i="5"/>
  <c r="AH306" i="5"/>
  <c r="AP306" i="5"/>
  <c r="AI306" i="5"/>
  <c r="AP287" i="5"/>
  <c r="AH287" i="5"/>
  <c r="AI287" i="5"/>
  <c r="AH274" i="5"/>
  <c r="AI274" i="5"/>
  <c r="AP274" i="5"/>
  <c r="AI260" i="5"/>
  <c r="AH260" i="5"/>
  <c r="AP260" i="5"/>
  <c r="AH252" i="5"/>
  <c r="AI252" i="5"/>
  <c r="AP252" i="5"/>
  <c r="AH214" i="5"/>
  <c r="AI214" i="5"/>
  <c r="AP214" i="5"/>
  <c r="AH235" i="5"/>
  <c r="AI235" i="5"/>
  <c r="AP235" i="5"/>
  <c r="AI222" i="5"/>
  <c r="AH222" i="5"/>
  <c r="AP222" i="5"/>
  <c r="AH212" i="5"/>
  <c r="AI212" i="5"/>
  <c r="AP212" i="5"/>
  <c r="AH166" i="5"/>
  <c r="AI166" i="5"/>
  <c r="AP166" i="5"/>
  <c r="AI232" i="5"/>
  <c r="AH232" i="5"/>
  <c r="AP232" i="5"/>
  <c r="AI216" i="5"/>
  <c r="AH216" i="5"/>
  <c r="AP216" i="5"/>
  <c r="AH192" i="5"/>
  <c r="AI192" i="5"/>
  <c r="AP192" i="5"/>
  <c r="AH245" i="5"/>
  <c r="AI245" i="5"/>
  <c r="AP245" i="5"/>
  <c r="AH223" i="5"/>
  <c r="AP223" i="5"/>
  <c r="AI223" i="5"/>
  <c r="AI193" i="5"/>
  <c r="AH193" i="5"/>
  <c r="AH201" i="5"/>
  <c r="AP201" i="5"/>
  <c r="AI201" i="5"/>
  <c r="AH194" i="5"/>
  <c r="AI194" i="5"/>
  <c r="AP194" i="5"/>
  <c r="AH185" i="5"/>
  <c r="AI185" i="5"/>
  <c r="AP185" i="5"/>
  <c r="AH162" i="5"/>
  <c r="AI162" i="5"/>
  <c r="AP162" i="5"/>
  <c r="AP140" i="5"/>
  <c r="AH140" i="5"/>
  <c r="AI140" i="5"/>
  <c r="AH184" i="5"/>
  <c r="AI184" i="5"/>
  <c r="AP184" i="5"/>
  <c r="AI169" i="5"/>
  <c r="AH169" i="5"/>
  <c r="AP169" i="5"/>
  <c r="AI149" i="5"/>
  <c r="AH149" i="5"/>
  <c r="AP149" i="5"/>
  <c r="AH112" i="5"/>
  <c r="AI112" i="5"/>
  <c r="AP112" i="5"/>
  <c r="AH178" i="5"/>
  <c r="AI178" i="5"/>
  <c r="AP178" i="5"/>
  <c r="AH158" i="5"/>
  <c r="AP158" i="5"/>
  <c r="AI158" i="5"/>
  <c r="AH144" i="5"/>
  <c r="AP144" i="5"/>
  <c r="AI144" i="5"/>
  <c r="AI116" i="5"/>
  <c r="AH116" i="5"/>
  <c r="AP116" i="5"/>
  <c r="AH146" i="5"/>
  <c r="AI146" i="5"/>
  <c r="AP146" i="5"/>
  <c r="AH134" i="5"/>
  <c r="AP134" i="5"/>
  <c r="AI134" i="5"/>
  <c r="AH119" i="5"/>
  <c r="AI119" i="5"/>
  <c r="AP99" i="5"/>
  <c r="AH99" i="5"/>
  <c r="AI99" i="5"/>
  <c r="AH148" i="5"/>
  <c r="AI148" i="5"/>
  <c r="AP148" i="5"/>
  <c r="AI104" i="5"/>
  <c r="AH104" i="5"/>
  <c r="AP104" i="5"/>
  <c r="AH143" i="5"/>
  <c r="AI143" i="5"/>
  <c r="AP143" i="5"/>
  <c r="AH127" i="5"/>
  <c r="AI127" i="5"/>
  <c r="AI113" i="5"/>
  <c r="AH113" i="5"/>
  <c r="AP113" i="5"/>
  <c r="AI101" i="5"/>
  <c r="AH101" i="5"/>
  <c r="AP101" i="5"/>
  <c r="AI82" i="5"/>
  <c r="AP82" i="5"/>
  <c r="AH82" i="5"/>
  <c r="AI105" i="5"/>
  <c r="AH105" i="5"/>
  <c r="AP105" i="5"/>
  <c r="AH97" i="5"/>
  <c r="AI97" i="5"/>
  <c r="AP97" i="5"/>
  <c r="AI94" i="5"/>
  <c r="AH94" i="5"/>
  <c r="AP94" i="5"/>
  <c r="AI81" i="5"/>
  <c r="AH81" i="5"/>
  <c r="AP81" i="5"/>
  <c r="AH72" i="5"/>
  <c r="AI72" i="5"/>
  <c r="AP72" i="5"/>
  <c r="AI70" i="5"/>
  <c r="AP70" i="5"/>
  <c r="AH70" i="5"/>
  <c r="AI26" i="5"/>
  <c r="AH26" i="5"/>
  <c r="AP26" i="5"/>
  <c r="AH58" i="5"/>
  <c r="AP58" i="5"/>
  <c r="AI58" i="5"/>
  <c r="AH67" i="5"/>
  <c r="AI67" i="5"/>
  <c r="AP67" i="5"/>
  <c r="AH56" i="5"/>
  <c r="AI56" i="5"/>
  <c r="AP56" i="5"/>
  <c r="AI57" i="5"/>
  <c r="AH57" i="5"/>
  <c r="AP57" i="5"/>
  <c r="AH37" i="5"/>
  <c r="AI37" i="5"/>
  <c r="AP37" i="5"/>
  <c r="AH48" i="5"/>
  <c r="AP48" i="5"/>
  <c r="AI48" i="5"/>
  <c r="AH36" i="5"/>
  <c r="AI36" i="5"/>
  <c r="AP36" i="5"/>
  <c r="AI45" i="5"/>
  <c r="AH45" i="5"/>
  <c r="AP45" i="5"/>
  <c r="AP28" i="5"/>
  <c r="AI28" i="5"/>
  <c r="AH28" i="5"/>
  <c r="AP44" i="5"/>
  <c r="AH44" i="5"/>
  <c r="AI44" i="5"/>
  <c r="AI30" i="5"/>
  <c r="AH30" i="5"/>
  <c r="AP30" i="5"/>
  <c r="AN19" i="5"/>
  <c r="AO19" i="5"/>
  <c r="AN464" i="5"/>
  <c r="AO464" i="5"/>
  <c r="AN559" i="5"/>
  <c r="AO559" i="5"/>
  <c r="AN541" i="5"/>
  <c r="AO541" i="5"/>
  <c r="AO501" i="5"/>
  <c r="AN501" i="5"/>
  <c r="AO407" i="5"/>
  <c r="AN407" i="5"/>
  <c r="AO544" i="5"/>
  <c r="AN544" i="5"/>
  <c r="AO448" i="5"/>
  <c r="AN448" i="5"/>
  <c r="AO558" i="5"/>
  <c r="AN558" i="5"/>
  <c r="AN548" i="5"/>
  <c r="AO548" i="5"/>
  <c r="AO529" i="5"/>
  <c r="AN529" i="5"/>
  <c r="AO513" i="5"/>
  <c r="AN513" i="5"/>
  <c r="AN425" i="5"/>
  <c r="AO425" i="5"/>
  <c r="AO229" i="5"/>
  <c r="AN229" i="5"/>
  <c r="AN545" i="5"/>
  <c r="AO545" i="5"/>
  <c r="AN522" i="5"/>
  <c r="AO522" i="5"/>
  <c r="AN509" i="5"/>
  <c r="AO509" i="5"/>
  <c r="AN502" i="5"/>
  <c r="AO502" i="5"/>
  <c r="AO494" i="5"/>
  <c r="AN494" i="5"/>
  <c r="AN488" i="5"/>
  <c r="AO488" i="5"/>
  <c r="AN479" i="5"/>
  <c r="AO479" i="5"/>
  <c r="AN466" i="5"/>
  <c r="AO466" i="5"/>
  <c r="AO453" i="5"/>
  <c r="AN453" i="5"/>
  <c r="AN441" i="5"/>
  <c r="AO441" i="5"/>
  <c r="AO405" i="5"/>
  <c r="AN405" i="5"/>
  <c r="AO353" i="5"/>
  <c r="AN353" i="5"/>
  <c r="AO516" i="5"/>
  <c r="AN516" i="5"/>
  <c r="AO507" i="5"/>
  <c r="AN507" i="5"/>
  <c r="AO480" i="5"/>
  <c r="AN480" i="5"/>
  <c r="AN468" i="5"/>
  <c r="AO468" i="5"/>
  <c r="AO461" i="5"/>
  <c r="AN461" i="5"/>
  <c r="AO429" i="5"/>
  <c r="AN429" i="5"/>
  <c r="AN403" i="5"/>
  <c r="AO403" i="5"/>
  <c r="AO382" i="5"/>
  <c r="AN382" i="5"/>
  <c r="AO531" i="5"/>
  <c r="AN531" i="5"/>
  <c r="AN504" i="5"/>
  <c r="AO504" i="5"/>
  <c r="AO478" i="5"/>
  <c r="AN478" i="5"/>
  <c r="AN460" i="5"/>
  <c r="AO460" i="5"/>
  <c r="AN452" i="5"/>
  <c r="AO452" i="5"/>
  <c r="AN368" i="5"/>
  <c r="AO368" i="5"/>
  <c r="AN416" i="5"/>
  <c r="AO416" i="5"/>
  <c r="AN398" i="5"/>
  <c r="AO398" i="5"/>
  <c r="AN378" i="5"/>
  <c r="AO378" i="5"/>
  <c r="AN364" i="5"/>
  <c r="AO364" i="5"/>
  <c r="AO342" i="5"/>
  <c r="AN342" i="5"/>
  <c r="AN333" i="5"/>
  <c r="AO333" i="5"/>
  <c r="AO280" i="5"/>
  <c r="AN280" i="5"/>
  <c r="AN245" i="5"/>
  <c r="AO245" i="5"/>
  <c r="AO417" i="5"/>
  <c r="AN417" i="5"/>
  <c r="AO399" i="5"/>
  <c r="AN399" i="5"/>
  <c r="AN386" i="5"/>
  <c r="AO386" i="5"/>
  <c r="AN375" i="5"/>
  <c r="AO375" i="5"/>
  <c r="AO361" i="5"/>
  <c r="AN361" i="5"/>
  <c r="AN345" i="5"/>
  <c r="AO345" i="5"/>
  <c r="AO277" i="5"/>
  <c r="AN277" i="5"/>
  <c r="AN440" i="5"/>
  <c r="AO440" i="5"/>
  <c r="AN428" i="5"/>
  <c r="AO428" i="5"/>
  <c r="AN411" i="5"/>
  <c r="AO411" i="5"/>
  <c r="AO393" i="5"/>
  <c r="AN393" i="5"/>
  <c r="AN373" i="5"/>
  <c r="AO373" i="5"/>
  <c r="AO352" i="5"/>
  <c r="AN352" i="5"/>
  <c r="AO316" i="5"/>
  <c r="AN316" i="5"/>
  <c r="AO218" i="5"/>
  <c r="AN218" i="5"/>
  <c r="AN351" i="5"/>
  <c r="AO351" i="5"/>
  <c r="AN339" i="5"/>
  <c r="AO339" i="5"/>
  <c r="AO329" i="5"/>
  <c r="AN329" i="5"/>
  <c r="AN315" i="5"/>
  <c r="AO315" i="5"/>
  <c r="AN309" i="5"/>
  <c r="AO309" i="5"/>
  <c r="AO295" i="5"/>
  <c r="AN295" i="5"/>
  <c r="AN268" i="5"/>
  <c r="AO268" i="5"/>
  <c r="AO255" i="5"/>
  <c r="AN255" i="5"/>
  <c r="AO241" i="5"/>
  <c r="AN241" i="5"/>
  <c r="AN188" i="5"/>
  <c r="AO188" i="5"/>
  <c r="AN317" i="5"/>
  <c r="AO317" i="5"/>
  <c r="AO290" i="5"/>
  <c r="AN290" i="5"/>
  <c r="AO269" i="5"/>
  <c r="AN269" i="5"/>
  <c r="AO247" i="5"/>
  <c r="AN247" i="5"/>
  <c r="AN323" i="5"/>
  <c r="AO323" i="5"/>
  <c r="AO303" i="5"/>
  <c r="AN303" i="5"/>
  <c r="AN288" i="5"/>
  <c r="AO288" i="5"/>
  <c r="AO279" i="5"/>
  <c r="AN279" i="5"/>
  <c r="AN266" i="5"/>
  <c r="AO266" i="5"/>
  <c r="AO246" i="5"/>
  <c r="AN246" i="5"/>
  <c r="AN191" i="5"/>
  <c r="AO191" i="5"/>
  <c r="AO237" i="5"/>
  <c r="AN237" i="5"/>
  <c r="AN202" i="5"/>
  <c r="AO202" i="5"/>
  <c r="AO184" i="5"/>
  <c r="AN184" i="5"/>
  <c r="AO242" i="5"/>
  <c r="AN242" i="5"/>
  <c r="AN226" i="5"/>
  <c r="AO226" i="5"/>
  <c r="AN214" i="5"/>
  <c r="AO214" i="5"/>
  <c r="AO196" i="5"/>
  <c r="AN196" i="5"/>
  <c r="AO179" i="5"/>
  <c r="AN179" i="5"/>
  <c r="AO230" i="5"/>
  <c r="AN230" i="5"/>
  <c r="AN213" i="5"/>
  <c r="AO213" i="5"/>
  <c r="AO190" i="5"/>
  <c r="AN190" i="5"/>
  <c r="AO136" i="5"/>
  <c r="AN136" i="5"/>
  <c r="AO201" i="5"/>
  <c r="AN201" i="5"/>
  <c r="AN183" i="5"/>
  <c r="AO183" i="5"/>
  <c r="AN158" i="5"/>
  <c r="AO158" i="5"/>
  <c r="AO134" i="5"/>
  <c r="AN134" i="5"/>
  <c r="AN180" i="5"/>
  <c r="AO180" i="5"/>
  <c r="AN166" i="5"/>
  <c r="AO166" i="5"/>
  <c r="AN150" i="5"/>
  <c r="AO150" i="5"/>
  <c r="AO177" i="5"/>
  <c r="AN177" i="5"/>
  <c r="AO163" i="5"/>
  <c r="AN163" i="5"/>
  <c r="AO101" i="5"/>
  <c r="AN101" i="5"/>
  <c r="AO139" i="5"/>
  <c r="AN139" i="5"/>
  <c r="AN119" i="5"/>
  <c r="AO119" i="5"/>
  <c r="AN154" i="5"/>
  <c r="AO154" i="5"/>
  <c r="AN138" i="5"/>
  <c r="AO138" i="5"/>
  <c r="AN126" i="5"/>
  <c r="AO126" i="5"/>
  <c r="AN117" i="5"/>
  <c r="AO117" i="5"/>
  <c r="AN100" i="5"/>
  <c r="AO100" i="5"/>
  <c r="AO144" i="5"/>
  <c r="AN144" i="5"/>
  <c r="AN121" i="5"/>
  <c r="AO121" i="5"/>
  <c r="AN94" i="5"/>
  <c r="AO94" i="5"/>
  <c r="AO86" i="5"/>
  <c r="AN86" i="5"/>
  <c r="AO74" i="5"/>
  <c r="AN74" i="5"/>
  <c r="AO95" i="5"/>
  <c r="AN95" i="5"/>
  <c r="AO89" i="5"/>
  <c r="AN89" i="5"/>
  <c r="AO84" i="5"/>
  <c r="AN84" i="5"/>
  <c r="AO76" i="5"/>
  <c r="AN76" i="5"/>
  <c r="AN59" i="5"/>
  <c r="AO59" i="5"/>
  <c r="AN75" i="5"/>
  <c r="AO75" i="5"/>
  <c r="AO78" i="5"/>
  <c r="AN78" i="5"/>
  <c r="AO54" i="5"/>
  <c r="AN54" i="5"/>
  <c r="AN55" i="5"/>
  <c r="AO55" i="5"/>
  <c r="AN52" i="5"/>
  <c r="AO52" i="5"/>
  <c r="AO21" i="5"/>
  <c r="AN21" i="5"/>
  <c r="AO64" i="5"/>
  <c r="AN64" i="5"/>
  <c r="AO35" i="5"/>
  <c r="AN35" i="5"/>
  <c r="AO44" i="5"/>
  <c r="AN44" i="5"/>
  <c r="AO30" i="5"/>
  <c r="AN30" i="5"/>
  <c r="AN31" i="5"/>
  <c r="AO31" i="5"/>
  <c r="AN22" i="5"/>
  <c r="AO22" i="5"/>
  <c r="AN34" i="5"/>
  <c r="AO34" i="5"/>
  <c r="AP127" i="5"/>
  <c r="B26" i="5"/>
  <c r="B13" i="5"/>
  <c r="B21" i="3"/>
  <c r="B22" i="3" s="1"/>
  <c r="B11" i="2"/>
  <c r="H15" i="1" s="1"/>
  <c r="B18" i="2"/>
  <c r="B40" i="2" s="1"/>
  <c r="B17" i="2"/>
  <c r="B269" i="2" l="1"/>
  <c r="B184" i="2"/>
  <c r="AM134" i="4"/>
  <c r="AM118" i="4"/>
  <c r="AM70" i="4"/>
  <c r="AM54" i="4"/>
  <c r="AM141" i="4"/>
  <c r="AM125" i="4"/>
  <c r="AM77" i="4"/>
  <c r="AM61" i="4"/>
  <c r="AM143" i="4"/>
  <c r="AM127" i="4"/>
  <c r="AM79" i="4"/>
  <c r="AM63" i="4"/>
  <c r="AM148" i="4"/>
  <c r="AM116" i="4"/>
  <c r="AM84" i="4"/>
  <c r="AM52" i="4"/>
  <c r="AM20" i="4"/>
  <c r="AM27" i="4"/>
  <c r="AM155" i="4"/>
  <c r="AM139" i="4"/>
  <c r="AM123" i="4"/>
  <c r="AM107" i="4"/>
  <c r="AM91" i="4"/>
  <c r="AM75" i="4"/>
  <c r="AM59" i="4"/>
  <c r="AM43" i="4"/>
  <c r="AM10" i="4"/>
  <c r="AM144" i="4"/>
  <c r="AM128" i="4"/>
  <c r="AM112" i="4"/>
  <c r="AM96" i="4"/>
  <c r="AM80" i="4"/>
  <c r="AM64" i="4"/>
  <c r="AM48" i="4"/>
  <c r="AM12" i="4"/>
  <c r="AM146" i="4"/>
  <c r="AM130" i="4"/>
  <c r="AM114" i="4"/>
  <c r="AM98" i="4"/>
  <c r="AM82" i="4"/>
  <c r="AM66" i="4"/>
  <c r="AM50" i="4"/>
  <c r="AM24" i="4"/>
  <c r="AM153" i="4"/>
  <c r="AM137" i="4"/>
  <c r="AM121" i="4"/>
  <c r="AM105" i="4"/>
  <c r="AM89" i="4"/>
  <c r="AM73" i="4"/>
  <c r="AM57" i="4"/>
  <c r="AM34" i="4"/>
  <c r="AM28" i="4"/>
  <c r="AM37" i="4"/>
  <c r="AM29" i="4"/>
  <c r="AM21" i="4"/>
  <c r="AM102" i="4"/>
  <c r="AM40" i="4"/>
  <c r="AM109" i="4"/>
  <c r="AM45" i="4"/>
  <c r="AM111" i="4"/>
  <c r="AM47" i="4"/>
  <c r="AM132" i="4"/>
  <c r="AM68" i="4"/>
  <c r="AM35" i="4"/>
  <c r="AM19" i="4"/>
  <c r="AM7" i="4"/>
  <c r="AM13" i="4"/>
  <c r="AM147" i="4"/>
  <c r="AM131" i="4"/>
  <c r="AM115" i="4"/>
  <c r="AM99" i="4"/>
  <c r="AM83" i="4"/>
  <c r="AM67" i="4"/>
  <c r="AM51" i="4"/>
  <c r="AM26" i="4"/>
  <c r="AM152" i="4"/>
  <c r="AM136" i="4"/>
  <c r="AM120" i="4"/>
  <c r="AM104" i="4"/>
  <c r="AM88" i="4"/>
  <c r="AM72" i="4"/>
  <c r="AM56" i="4"/>
  <c r="AM32" i="4"/>
  <c r="AM154" i="4"/>
  <c r="AM138" i="4"/>
  <c r="AM122" i="4"/>
  <c r="AM106" i="4"/>
  <c r="AM90" i="4"/>
  <c r="AM74" i="4"/>
  <c r="AM58" i="4"/>
  <c r="AM42" i="4"/>
  <c r="AM11" i="4"/>
  <c r="AM145" i="4"/>
  <c r="AM129" i="4"/>
  <c r="AM113" i="4"/>
  <c r="AM97" i="4"/>
  <c r="AM81" i="4"/>
  <c r="AM65" i="4"/>
  <c r="AM49" i="4"/>
  <c r="AM16" i="4"/>
  <c r="AM41" i="4"/>
  <c r="AM33" i="4"/>
  <c r="AM25" i="4"/>
  <c r="AM17" i="4"/>
  <c r="AM150" i="4"/>
  <c r="AM86" i="4"/>
  <c r="AM157" i="4"/>
  <c r="AM93" i="4"/>
  <c r="AM9" i="4"/>
  <c r="AM95" i="4"/>
  <c r="AM14" i="4"/>
  <c r="AM100" i="4"/>
  <c r="AM30" i="4"/>
  <c r="AM8" i="4"/>
  <c r="AM142" i="4"/>
  <c r="AM126" i="4"/>
  <c r="AM110" i="4"/>
  <c r="AM94" i="4"/>
  <c r="AM78" i="4"/>
  <c r="AM62" i="4"/>
  <c r="AM46" i="4"/>
  <c r="AM22" i="4"/>
  <c r="AM149" i="4"/>
  <c r="AM133" i="4"/>
  <c r="AM117" i="4"/>
  <c r="AM101" i="4"/>
  <c r="AM85" i="4"/>
  <c r="AM69" i="4"/>
  <c r="AM53" i="4"/>
  <c r="AM18" i="4"/>
  <c r="AM151" i="4"/>
  <c r="AM135" i="4"/>
  <c r="AM119" i="4"/>
  <c r="AM103" i="4"/>
  <c r="AM87" i="4"/>
  <c r="AM71" i="4"/>
  <c r="AM55" i="4"/>
  <c r="AM38" i="4"/>
  <c r="AM156" i="4"/>
  <c r="AM140" i="4"/>
  <c r="AM124" i="4"/>
  <c r="AM108" i="4"/>
  <c r="AM92" i="4"/>
  <c r="AM76" i="4"/>
  <c r="AM60" i="4"/>
  <c r="AM44" i="4"/>
  <c r="AM36" i="4"/>
  <c r="AM39" i="4"/>
  <c r="AM31" i="4"/>
  <c r="AM23" i="4"/>
  <c r="AM15" i="4"/>
  <c r="B53" i="10"/>
  <c r="B55" i="10" s="1"/>
  <c r="Z263" i="10" s="1"/>
  <c r="B228" i="2"/>
  <c r="B267" i="2"/>
  <c r="AH13" i="10"/>
  <c r="AI13" i="10"/>
  <c r="AL12" i="10"/>
  <c r="AK12" i="10"/>
  <c r="AK13" i="10"/>
  <c r="AL13" i="10"/>
  <c r="AR12" i="10"/>
  <c r="AQ12" i="10"/>
  <c r="AR13" i="10"/>
  <c r="AQ13" i="10"/>
  <c r="AI12" i="10"/>
  <c r="AH12" i="10"/>
  <c r="AO13" i="10"/>
  <c r="AN13" i="10"/>
  <c r="AS13" i="10"/>
  <c r="AN12" i="10"/>
  <c r="AO12" i="10"/>
  <c r="AS12" i="10"/>
  <c r="AM10" i="10"/>
  <c r="AJ10" i="10"/>
  <c r="AG10" i="10"/>
  <c r="T10" i="10"/>
  <c r="AP10" i="10"/>
  <c r="V7" i="10"/>
  <c r="U7" i="10"/>
  <c r="B17" i="10"/>
  <c r="B45" i="10" s="1"/>
  <c r="B271" i="2"/>
  <c r="U13" i="10"/>
  <c r="V13" i="10"/>
  <c r="V12" i="10"/>
  <c r="U12" i="10"/>
  <c r="V8" i="10"/>
  <c r="U8" i="10"/>
  <c r="U436" i="10"/>
  <c r="V436" i="10"/>
  <c r="V256" i="10"/>
  <c r="U256" i="10"/>
  <c r="V69" i="10"/>
  <c r="U69" i="10"/>
  <c r="V40" i="10"/>
  <c r="U40" i="10"/>
  <c r="V405" i="10"/>
  <c r="U405" i="10"/>
  <c r="U353" i="10"/>
  <c r="V353" i="10"/>
  <c r="U169" i="10"/>
  <c r="V169" i="10"/>
  <c r="V150" i="10"/>
  <c r="U150" i="10"/>
  <c r="U45" i="10"/>
  <c r="V45" i="10"/>
  <c r="U282" i="10"/>
  <c r="V282" i="10"/>
  <c r="U480" i="10"/>
  <c r="V480" i="10"/>
  <c r="U290" i="10"/>
  <c r="V290" i="10"/>
  <c r="V128" i="10"/>
  <c r="U128" i="10"/>
  <c r="V68" i="10"/>
  <c r="U68" i="10"/>
  <c r="V130" i="10"/>
  <c r="U130" i="10"/>
  <c r="U305" i="10"/>
  <c r="V305" i="10"/>
  <c r="V513" i="10"/>
  <c r="U513" i="10"/>
  <c r="U350" i="10"/>
  <c r="V350" i="10"/>
  <c r="U262" i="10"/>
  <c r="V262" i="10"/>
  <c r="V300" i="10"/>
  <c r="U300" i="10"/>
  <c r="V126" i="10"/>
  <c r="U126" i="10"/>
  <c r="U83" i="10"/>
  <c r="V83" i="10"/>
  <c r="V203" i="10"/>
  <c r="U203" i="10"/>
  <c r="V121" i="10"/>
  <c r="U121" i="10"/>
  <c r="V183" i="10"/>
  <c r="U183" i="10"/>
  <c r="U253" i="10"/>
  <c r="V253" i="10"/>
  <c r="U277" i="10"/>
  <c r="V277" i="10"/>
  <c r="V312" i="10"/>
  <c r="U312" i="10"/>
  <c r="U119" i="10"/>
  <c r="V119" i="10"/>
  <c r="V211" i="10"/>
  <c r="U211" i="10"/>
  <c r="V323" i="10"/>
  <c r="U323" i="10"/>
  <c r="V371" i="10"/>
  <c r="U371" i="10"/>
  <c r="U406" i="10"/>
  <c r="V406" i="10"/>
  <c r="U382" i="10"/>
  <c r="V382" i="10"/>
  <c r="V466" i="10"/>
  <c r="U466" i="10"/>
  <c r="V508" i="10"/>
  <c r="U508" i="10"/>
  <c r="V541" i="10"/>
  <c r="U541" i="10"/>
  <c r="AT454" i="10"/>
  <c r="AU454" i="10"/>
  <c r="AT199" i="10"/>
  <c r="AU199" i="10"/>
  <c r="AU250" i="10"/>
  <c r="AT250" i="10"/>
  <c r="AU148" i="10"/>
  <c r="AT148" i="10"/>
  <c r="AU214" i="10"/>
  <c r="AT214" i="10"/>
  <c r="AU475" i="10"/>
  <c r="AT475" i="10"/>
  <c r="AU409" i="10"/>
  <c r="AT409" i="10"/>
  <c r="AT416" i="10"/>
  <c r="AU416" i="10"/>
  <c r="AU469" i="10"/>
  <c r="AT469" i="10"/>
  <c r="AU134" i="10"/>
  <c r="AT134" i="10"/>
  <c r="AT378" i="10"/>
  <c r="AU378" i="10"/>
  <c r="AT227" i="10"/>
  <c r="AU227" i="10"/>
  <c r="AT255" i="10"/>
  <c r="AU255" i="10"/>
  <c r="AU160" i="10"/>
  <c r="AT160" i="10"/>
  <c r="AU546" i="10"/>
  <c r="AT546" i="10"/>
  <c r="AU190" i="10"/>
  <c r="AT190" i="10"/>
  <c r="AU460" i="10"/>
  <c r="AT460" i="10"/>
  <c r="AT549" i="10"/>
  <c r="AU549" i="10"/>
  <c r="AU485" i="10"/>
  <c r="AT485" i="10"/>
  <c r="AT239" i="10"/>
  <c r="AU239" i="10"/>
  <c r="AU274" i="10"/>
  <c r="AT274" i="10"/>
  <c r="AU58" i="10"/>
  <c r="AT58" i="10"/>
  <c r="AU189" i="10"/>
  <c r="AT189" i="10"/>
  <c r="AU483" i="10"/>
  <c r="AT483" i="10"/>
  <c r="AU353" i="10"/>
  <c r="AT353" i="10"/>
  <c r="AT478" i="10"/>
  <c r="AU478" i="10"/>
  <c r="AU450" i="10"/>
  <c r="AT450" i="10"/>
  <c r="AU350" i="10"/>
  <c r="AT350" i="10"/>
  <c r="AT224" i="10"/>
  <c r="AU224" i="10"/>
  <c r="AT514" i="10"/>
  <c r="AU514" i="10"/>
  <c r="AU142" i="10"/>
  <c r="AT142" i="10"/>
  <c r="AU456" i="10"/>
  <c r="AT456" i="10"/>
  <c r="AU535" i="10"/>
  <c r="AT535" i="10"/>
  <c r="AU497" i="10"/>
  <c r="AT497" i="10"/>
  <c r="V505" i="10"/>
  <c r="U505" i="10"/>
  <c r="V419" i="10"/>
  <c r="U419" i="10"/>
  <c r="V393" i="10"/>
  <c r="U393" i="10"/>
  <c r="V132" i="10"/>
  <c r="U132" i="10"/>
  <c r="V100" i="10"/>
  <c r="U100" i="10"/>
  <c r="V280" i="10"/>
  <c r="U280" i="10"/>
  <c r="V248" i="10"/>
  <c r="U248" i="10"/>
  <c r="V39" i="10"/>
  <c r="U39" i="10"/>
  <c r="V196" i="10"/>
  <c r="U196" i="10"/>
  <c r="V166" i="10"/>
  <c r="U166" i="10"/>
  <c r="V106" i="10"/>
  <c r="U106" i="10"/>
  <c r="V49" i="10"/>
  <c r="U49" i="10"/>
  <c r="U559" i="10"/>
  <c r="V559" i="10"/>
  <c r="U515" i="10"/>
  <c r="V515" i="10"/>
  <c r="V516" i="10"/>
  <c r="U516" i="10"/>
  <c r="U494" i="10"/>
  <c r="V494" i="10"/>
  <c r="V415" i="10"/>
  <c r="U415" i="10"/>
  <c r="V389" i="10"/>
  <c r="U389" i="10"/>
  <c r="U338" i="10"/>
  <c r="V338" i="10"/>
  <c r="V465" i="10"/>
  <c r="U465" i="10"/>
  <c r="U345" i="10"/>
  <c r="V345" i="10"/>
  <c r="U313" i="10"/>
  <c r="V313" i="10"/>
  <c r="U254" i="10"/>
  <c r="V254" i="10"/>
  <c r="V387" i="10"/>
  <c r="U387" i="10"/>
  <c r="V152" i="10"/>
  <c r="U152" i="10"/>
  <c r="V180" i="10"/>
  <c r="U180" i="10"/>
  <c r="V210" i="10"/>
  <c r="U210" i="10"/>
  <c r="V31" i="10"/>
  <c r="U31" i="10"/>
  <c r="V134" i="10"/>
  <c r="U134" i="10"/>
  <c r="U57" i="10"/>
  <c r="V57" i="10"/>
  <c r="U38" i="10"/>
  <c r="V38" i="10"/>
  <c r="V21" i="10"/>
  <c r="U21" i="10"/>
  <c r="V522" i="10"/>
  <c r="U522" i="10"/>
  <c r="V444" i="10"/>
  <c r="U444" i="10"/>
  <c r="U250" i="10"/>
  <c r="V250" i="10"/>
  <c r="U558" i="10"/>
  <c r="V558" i="10"/>
  <c r="V528" i="10"/>
  <c r="U528" i="10"/>
  <c r="V489" i="10"/>
  <c r="U489" i="10"/>
  <c r="U476" i="10"/>
  <c r="V476" i="10"/>
  <c r="V483" i="10"/>
  <c r="U483" i="10"/>
  <c r="V411" i="10"/>
  <c r="U411" i="10"/>
  <c r="V401" i="10"/>
  <c r="U401" i="10"/>
  <c r="U274" i="10"/>
  <c r="V274" i="10"/>
  <c r="U221" i="10"/>
  <c r="V221" i="10"/>
  <c r="U165" i="10"/>
  <c r="V165" i="10"/>
  <c r="V120" i="10"/>
  <c r="U120" i="10"/>
  <c r="V168" i="10"/>
  <c r="U168" i="10"/>
  <c r="V268" i="10"/>
  <c r="U268" i="10"/>
  <c r="V222" i="10"/>
  <c r="U222" i="10"/>
  <c r="U58" i="10"/>
  <c r="V58" i="10"/>
  <c r="V208" i="10"/>
  <c r="U208" i="10"/>
  <c r="V170" i="10"/>
  <c r="U170" i="10"/>
  <c r="V114" i="10"/>
  <c r="U114" i="10"/>
  <c r="V70" i="10"/>
  <c r="U70" i="10"/>
  <c r="V546" i="10"/>
  <c r="U546" i="10"/>
  <c r="V363" i="10"/>
  <c r="U363" i="10"/>
  <c r="U213" i="10"/>
  <c r="V213" i="10"/>
  <c r="V548" i="10"/>
  <c r="U548" i="10"/>
  <c r="U510" i="10"/>
  <c r="V510" i="10"/>
  <c r="U506" i="10"/>
  <c r="V506" i="10"/>
  <c r="U460" i="10"/>
  <c r="V460" i="10"/>
  <c r="U432" i="10"/>
  <c r="V432" i="10"/>
  <c r="V407" i="10"/>
  <c r="U407" i="10"/>
  <c r="V413" i="10"/>
  <c r="U413" i="10"/>
  <c r="U342" i="10"/>
  <c r="V342" i="10"/>
  <c r="U310" i="10"/>
  <c r="V310" i="10"/>
  <c r="U341" i="10"/>
  <c r="V341" i="10"/>
  <c r="U309" i="10"/>
  <c r="V309" i="10"/>
  <c r="U246" i="10"/>
  <c r="V246" i="10"/>
  <c r="U193" i="10"/>
  <c r="V193" i="10"/>
  <c r="V202" i="10"/>
  <c r="U202" i="10"/>
  <c r="V234" i="10"/>
  <c r="U234" i="10"/>
  <c r="V61" i="10"/>
  <c r="U61" i="10"/>
  <c r="V204" i="10"/>
  <c r="U204" i="10"/>
  <c r="V110" i="10"/>
  <c r="U110" i="10"/>
  <c r="V37" i="10"/>
  <c r="U37" i="10"/>
  <c r="V24" i="10"/>
  <c r="U24" i="10"/>
  <c r="V44" i="10"/>
  <c r="U44" i="10"/>
  <c r="U67" i="10"/>
  <c r="V67" i="10"/>
  <c r="U87" i="10"/>
  <c r="V87" i="10"/>
  <c r="V53" i="10"/>
  <c r="U53" i="10"/>
  <c r="U63" i="10"/>
  <c r="V63" i="10"/>
  <c r="V51" i="10"/>
  <c r="U51" i="10"/>
  <c r="U77" i="10"/>
  <c r="V77" i="10"/>
  <c r="U93" i="10"/>
  <c r="V93" i="10"/>
  <c r="V109" i="10"/>
  <c r="U109" i="10"/>
  <c r="V125" i="10"/>
  <c r="U125" i="10"/>
  <c r="V141" i="10"/>
  <c r="U141" i="10"/>
  <c r="V157" i="10"/>
  <c r="U157" i="10"/>
  <c r="V171" i="10"/>
  <c r="U171" i="10"/>
  <c r="V187" i="10"/>
  <c r="U187" i="10"/>
  <c r="V220" i="10"/>
  <c r="U220" i="10"/>
  <c r="V236" i="10"/>
  <c r="U236" i="10"/>
  <c r="U247" i="10"/>
  <c r="V247" i="10"/>
  <c r="U255" i="10"/>
  <c r="V255" i="10"/>
  <c r="U263" i="10"/>
  <c r="V263" i="10"/>
  <c r="U271" i="10"/>
  <c r="V271" i="10"/>
  <c r="U279" i="10"/>
  <c r="V279" i="10"/>
  <c r="U287" i="10"/>
  <c r="V287" i="10"/>
  <c r="U295" i="10"/>
  <c r="V295" i="10"/>
  <c r="V316" i="10"/>
  <c r="U316" i="10"/>
  <c r="V332" i="10"/>
  <c r="U332" i="10"/>
  <c r="V348" i="10"/>
  <c r="U348" i="10"/>
  <c r="U107" i="10"/>
  <c r="V107" i="10"/>
  <c r="U123" i="10"/>
  <c r="V123" i="10"/>
  <c r="U139" i="10"/>
  <c r="V139" i="10"/>
  <c r="U155" i="10"/>
  <c r="V155" i="10"/>
  <c r="V215" i="10"/>
  <c r="U215" i="10"/>
  <c r="V231" i="10"/>
  <c r="U231" i="10"/>
  <c r="U372" i="10"/>
  <c r="V372" i="10"/>
  <c r="V311" i="10"/>
  <c r="U311" i="10"/>
  <c r="V327" i="10"/>
  <c r="U327" i="10"/>
  <c r="V343" i="10"/>
  <c r="U343" i="10"/>
  <c r="V359" i="10"/>
  <c r="U359" i="10"/>
  <c r="U368" i="10"/>
  <c r="V368" i="10"/>
  <c r="V307" i="10"/>
  <c r="U307" i="10"/>
  <c r="V375" i="10"/>
  <c r="U375" i="10"/>
  <c r="U394" i="10"/>
  <c r="V394" i="10"/>
  <c r="U410" i="10"/>
  <c r="V410" i="10"/>
  <c r="U426" i="10"/>
  <c r="V426" i="10"/>
  <c r="V447" i="10"/>
  <c r="U447" i="10"/>
  <c r="V370" i="10"/>
  <c r="U370" i="10"/>
  <c r="U388" i="10"/>
  <c r="V388" i="10"/>
  <c r="U404" i="10"/>
  <c r="V404" i="10"/>
  <c r="U420" i="10"/>
  <c r="V420" i="10"/>
  <c r="V454" i="10"/>
  <c r="U454" i="10"/>
  <c r="U441" i="10"/>
  <c r="V441" i="10"/>
  <c r="V474" i="10"/>
  <c r="U474" i="10"/>
  <c r="V442" i="10"/>
  <c r="U442" i="10"/>
  <c r="U498" i="10"/>
  <c r="V498" i="10"/>
  <c r="U496" i="10"/>
  <c r="V496" i="10"/>
  <c r="V512" i="10"/>
  <c r="U512" i="10"/>
  <c r="V529" i="10"/>
  <c r="U529" i="10"/>
  <c r="U527" i="10"/>
  <c r="V527" i="10"/>
  <c r="V549" i="10"/>
  <c r="U549" i="10"/>
  <c r="V552" i="10"/>
  <c r="U552" i="10"/>
  <c r="AU559" i="10"/>
  <c r="AT559" i="10"/>
  <c r="AT560" i="10"/>
  <c r="AU560" i="10"/>
  <c r="AU507" i="10"/>
  <c r="AT507" i="10"/>
  <c r="AT470" i="10"/>
  <c r="AU470" i="10"/>
  <c r="AU477" i="10"/>
  <c r="AT477" i="10"/>
  <c r="AT382" i="10"/>
  <c r="AU382" i="10"/>
  <c r="AU427" i="10"/>
  <c r="AT427" i="10"/>
  <c r="AT327" i="10"/>
  <c r="AU327" i="10"/>
  <c r="AT231" i="10"/>
  <c r="AU231" i="10"/>
  <c r="AU330" i="10"/>
  <c r="AT330" i="10"/>
  <c r="AU266" i="10"/>
  <c r="AT266" i="10"/>
  <c r="AT259" i="10"/>
  <c r="AU259" i="10"/>
  <c r="AT161" i="10"/>
  <c r="AU161" i="10"/>
  <c r="AT188" i="10"/>
  <c r="AU188" i="10"/>
  <c r="AU43" i="10"/>
  <c r="AT43" i="10"/>
  <c r="AU100" i="10"/>
  <c r="AT100" i="10"/>
  <c r="AU54" i="10"/>
  <c r="AT54" i="10"/>
  <c r="AU170" i="10"/>
  <c r="AT170" i="10"/>
  <c r="AU308" i="10"/>
  <c r="AT308" i="10"/>
  <c r="AU532" i="10"/>
  <c r="AT532" i="10"/>
  <c r="AU37" i="10"/>
  <c r="AT37" i="10"/>
  <c r="AU234" i="10"/>
  <c r="AT234" i="10"/>
  <c r="AT197" i="10"/>
  <c r="AU197" i="10"/>
  <c r="AU491" i="10"/>
  <c r="AT491" i="10"/>
  <c r="AU513" i="10"/>
  <c r="AT513" i="10"/>
  <c r="AU547" i="10"/>
  <c r="AT547" i="10"/>
  <c r="AU74" i="10"/>
  <c r="AT74" i="10"/>
  <c r="AU182" i="10"/>
  <c r="AT182" i="10"/>
  <c r="AU70" i="10"/>
  <c r="AT70" i="10"/>
  <c r="AU242" i="10"/>
  <c r="AT242" i="10"/>
  <c r="AU401" i="10"/>
  <c r="AT401" i="10"/>
  <c r="AT552" i="10"/>
  <c r="AU552" i="10"/>
  <c r="AT512" i="10"/>
  <c r="AU512" i="10"/>
  <c r="AT496" i="10"/>
  <c r="AU496" i="10"/>
  <c r="AU442" i="10"/>
  <c r="AT442" i="10"/>
  <c r="AT371" i="10"/>
  <c r="AU371" i="10"/>
  <c r="AT339" i="10"/>
  <c r="AU339" i="10"/>
  <c r="AT243" i="10"/>
  <c r="AU243" i="10"/>
  <c r="AU342" i="10"/>
  <c r="AT342" i="10"/>
  <c r="AU278" i="10"/>
  <c r="AT278" i="10"/>
  <c r="AT216" i="10"/>
  <c r="AU216" i="10"/>
  <c r="AT271" i="10"/>
  <c r="AU271" i="10"/>
  <c r="AT60" i="10"/>
  <c r="AU60" i="10"/>
  <c r="AT65" i="10"/>
  <c r="AU65" i="10"/>
  <c r="AU112" i="10"/>
  <c r="AT112" i="10"/>
  <c r="AU61" i="10"/>
  <c r="AT61" i="10"/>
  <c r="AU209" i="10"/>
  <c r="AT209" i="10"/>
  <c r="AU368" i="10"/>
  <c r="AT368" i="10"/>
  <c r="AT420" i="10"/>
  <c r="AU420" i="10"/>
  <c r="AU476" i="10"/>
  <c r="AT476" i="10"/>
  <c r="AT204" i="10"/>
  <c r="AU204" i="10"/>
  <c r="AT125" i="10"/>
  <c r="AU125" i="10"/>
  <c r="AU173" i="10"/>
  <c r="AT173" i="10"/>
  <c r="AU32" i="10"/>
  <c r="AT32" i="10"/>
  <c r="AT201" i="10"/>
  <c r="AU201" i="10"/>
  <c r="AU365" i="10"/>
  <c r="AT365" i="10"/>
  <c r="AU452" i="10"/>
  <c r="AT452" i="10"/>
  <c r="AU45" i="10"/>
  <c r="AT45" i="10"/>
  <c r="AT89" i="10"/>
  <c r="AU89" i="10"/>
  <c r="AU165" i="10"/>
  <c r="AT165" i="10"/>
  <c r="AU313" i="10"/>
  <c r="AT313" i="10"/>
  <c r="AT525" i="10"/>
  <c r="AU525" i="10"/>
  <c r="AT482" i="10"/>
  <c r="AU482" i="10"/>
  <c r="AU449" i="10"/>
  <c r="AT449" i="10"/>
  <c r="AT428" i="10"/>
  <c r="AU428" i="10"/>
  <c r="AT386" i="10"/>
  <c r="AU386" i="10"/>
  <c r="AT383" i="10"/>
  <c r="AU383" i="10"/>
  <c r="AT351" i="10"/>
  <c r="AU351" i="10"/>
  <c r="AT303" i="10"/>
  <c r="AU303" i="10"/>
  <c r="AU354" i="10"/>
  <c r="AT354" i="10"/>
  <c r="AT175" i="10"/>
  <c r="AU175" i="10"/>
  <c r="AT75" i="10"/>
  <c r="AU75" i="10"/>
  <c r="AU290" i="10"/>
  <c r="AT290" i="10"/>
  <c r="AT228" i="10"/>
  <c r="AU228" i="10"/>
  <c r="AT283" i="10"/>
  <c r="AU283" i="10"/>
  <c r="AU124" i="10"/>
  <c r="AT124" i="10"/>
  <c r="AU185" i="10"/>
  <c r="AT185" i="10"/>
  <c r="AU372" i="10"/>
  <c r="AT372" i="10"/>
  <c r="AU389" i="10"/>
  <c r="AT389" i="10"/>
  <c r="AU509" i="10"/>
  <c r="AT509" i="10"/>
  <c r="AT301" i="10"/>
  <c r="AU301" i="10"/>
  <c r="AU126" i="10"/>
  <c r="AT126" i="10"/>
  <c r="AT113" i="10"/>
  <c r="AU113" i="10"/>
  <c r="AU341" i="10"/>
  <c r="AT341" i="10"/>
  <c r="AU465" i="10"/>
  <c r="AT465" i="10"/>
  <c r="AT422" i="10"/>
  <c r="AU422" i="10"/>
  <c r="AU527" i="10"/>
  <c r="AT527" i="10"/>
  <c r="AT265" i="10"/>
  <c r="AU265" i="10"/>
  <c r="AT205" i="10"/>
  <c r="AU205" i="10"/>
  <c r="AU69" i="10"/>
  <c r="AT69" i="10"/>
  <c r="AU177" i="10"/>
  <c r="AT177" i="10"/>
  <c r="AU380" i="10"/>
  <c r="AT380" i="10"/>
  <c r="AU413" i="10"/>
  <c r="AT413" i="10"/>
  <c r="AU34" i="10"/>
  <c r="AT34" i="10"/>
  <c r="AU139" i="10"/>
  <c r="AT139" i="10"/>
  <c r="AT297" i="10"/>
  <c r="AU297" i="10"/>
  <c r="AU320" i="10"/>
  <c r="AT320" i="10"/>
  <c r="AU461" i="10"/>
  <c r="AT461" i="10"/>
  <c r="AT533" i="10"/>
  <c r="AU533" i="10"/>
  <c r="AU495" i="10"/>
  <c r="AT495" i="10"/>
  <c r="AT467" i="10"/>
  <c r="AU467" i="10"/>
  <c r="AT398" i="10"/>
  <c r="AU398" i="10"/>
  <c r="AU399" i="10"/>
  <c r="AT399" i="10"/>
  <c r="AT362" i="10"/>
  <c r="AU362" i="10"/>
  <c r="AT187" i="10"/>
  <c r="AU187" i="10"/>
  <c r="AT87" i="10"/>
  <c r="AU87" i="10"/>
  <c r="AT240" i="10"/>
  <c r="AU240" i="10"/>
  <c r="AT295" i="10"/>
  <c r="AU295" i="10"/>
  <c r="AT26" i="10"/>
  <c r="AU26" i="10"/>
  <c r="AT172" i="10"/>
  <c r="AU172" i="10"/>
  <c r="AU76" i="10"/>
  <c r="AT76" i="10"/>
  <c r="AU136" i="10"/>
  <c r="AT136" i="10"/>
  <c r="AT44" i="10"/>
  <c r="AU44" i="10"/>
  <c r="AU88" i="10"/>
  <c r="AT88" i="10"/>
  <c r="AU154" i="10"/>
  <c r="AT154" i="10"/>
  <c r="AU288" i="10"/>
  <c r="AT288" i="10"/>
  <c r="AT451" i="10"/>
  <c r="AU451" i="10"/>
  <c r="AT494" i="10"/>
  <c r="AU494" i="10"/>
  <c r="AT261" i="10"/>
  <c r="AU261" i="10"/>
  <c r="AU329" i="10"/>
  <c r="AT329" i="10"/>
  <c r="AU78" i="10"/>
  <c r="AT78" i="10"/>
  <c r="AT101" i="10"/>
  <c r="AU101" i="10"/>
  <c r="AU317" i="10"/>
  <c r="AT317" i="10"/>
  <c r="AU193" i="10"/>
  <c r="AT193" i="10"/>
  <c r="AU22" i="10"/>
  <c r="AT22" i="10"/>
  <c r="AT200" i="10"/>
  <c r="AU200" i="10"/>
  <c r="AU226" i="10"/>
  <c r="AT226" i="10"/>
  <c r="AU385" i="10"/>
  <c r="AT385" i="10"/>
  <c r="V409" i="10"/>
  <c r="U409" i="10"/>
  <c r="V288" i="10"/>
  <c r="U288" i="10"/>
  <c r="V174" i="10"/>
  <c r="U174" i="10"/>
  <c r="V532" i="10"/>
  <c r="U532" i="10"/>
  <c r="V440" i="10"/>
  <c r="U440" i="10"/>
  <c r="U314" i="10"/>
  <c r="V314" i="10"/>
  <c r="U209" i="10"/>
  <c r="V209" i="10"/>
  <c r="U66" i="10"/>
  <c r="V66" i="10"/>
  <c r="V86" i="10"/>
  <c r="U86" i="10"/>
  <c r="U554" i="10"/>
  <c r="V554" i="10"/>
  <c r="V497" i="10"/>
  <c r="U497" i="10"/>
  <c r="V417" i="10"/>
  <c r="U417" i="10"/>
  <c r="V184" i="10"/>
  <c r="U184" i="10"/>
  <c r="V238" i="10"/>
  <c r="U238" i="10"/>
  <c r="V82" i="10"/>
  <c r="U82" i="10"/>
  <c r="V555" i="10"/>
  <c r="U555" i="10"/>
  <c r="V487" i="10"/>
  <c r="U487" i="10"/>
  <c r="V429" i="10"/>
  <c r="U429" i="10"/>
  <c r="U317" i="10"/>
  <c r="V317" i="10"/>
  <c r="V144" i="10"/>
  <c r="U144" i="10"/>
  <c r="V78" i="10"/>
  <c r="U78" i="10"/>
  <c r="V207" i="10"/>
  <c r="U207" i="10"/>
  <c r="U73" i="10"/>
  <c r="V73" i="10"/>
  <c r="V105" i="10"/>
  <c r="U105" i="10"/>
  <c r="V167" i="10"/>
  <c r="U167" i="10"/>
  <c r="U245" i="10"/>
  <c r="V245" i="10"/>
  <c r="U269" i="10"/>
  <c r="V269" i="10"/>
  <c r="V328" i="10"/>
  <c r="U328" i="10"/>
  <c r="U135" i="10"/>
  <c r="V135" i="10"/>
  <c r="V227" i="10"/>
  <c r="U227" i="10"/>
  <c r="V339" i="10"/>
  <c r="U339" i="10"/>
  <c r="U437" i="10"/>
  <c r="V437" i="10"/>
  <c r="U422" i="10"/>
  <c r="V422" i="10"/>
  <c r="U400" i="10"/>
  <c r="V400" i="10"/>
  <c r="U453" i="10"/>
  <c r="V453" i="10"/>
  <c r="U492" i="10"/>
  <c r="V492" i="10"/>
  <c r="V545" i="10"/>
  <c r="U545" i="10"/>
  <c r="AT410" i="10"/>
  <c r="AU410" i="10"/>
  <c r="AU363" i="10"/>
  <c r="AT363" i="10"/>
  <c r="AU314" i="10"/>
  <c r="AT314" i="10"/>
  <c r="AU96" i="10"/>
  <c r="AT96" i="10"/>
  <c r="AU106" i="10"/>
  <c r="AT106" i="10"/>
  <c r="AT439" i="10"/>
  <c r="AU439" i="10"/>
  <c r="AU328" i="10"/>
  <c r="AT328" i="10"/>
  <c r="AU464" i="10"/>
  <c r="AT464" i="10"/>
  <c r="AT93" i="10"/>
  <c r="AU93" i="10"/>
  <c r="AU38" i="10"/>
  <c r="AT38" i="10"/>
  <c r="AT466" i="10"/>
  <c r="AU466" i="10"/>
  <c r="AU432" i="10"/>
  <c r="AT432" i="10"/>
  <c r="AU127" i="10"/>
  <c r="AT127" i="10"/>
  <c r="AT29" i="10"/>
  <c r="AU29" i="10"/>
  <c r="AU324" i="10"/>
  <c r="AT324" i="10"/>
  <c r="AU213" i="10"/>
  <c r="AT213" i="10"/>
  <c r="AU90" i="10"/>
  <c r="AT90" i="10"/>
  <c r="AU86" i="10"/>
  <c r="AT86" i="10"/>
  <c r="AU438" i="10"/>
  <c r="AT438" i="10"/>
  <c r="AT212" i="10"/>
  <c r="AU212" i="10"/>
  <c r="AT63" i="10"/>
  <c r="AU63" i="10"/>
  <c r="AU515" i="10"/>
  <c r="AT515" i="10"/>
  <c r="AU166" i="10"/>
  <c r="AT166" i="10"/>
  <c r="AU210" i="10"/>
  <c r="AT210" i="10"/>
  <c r="AT518" i="10"/>
  <c r="AU518" i="10"/>
  <c r="AT379" i="10"/>
  <c r="AU379" i="10"/>
  <c r="AT67" i="10"/>
  <c r="AU67" i="10"/>
  <c r="AU120" i="10"/>
  <c r="AT120" i="10"/>
  <c r="AT388" i="10"/>
  <c r="AU388" i="10"/>
  <c r="AU64" i="10"/>
  <c r="AT64" i="10"/>
  <c r="AU349" i="10"/>
  <c r="AT349" i="10"/>
  <c r="AT281" i="10"/>
  <c r="AU281" i="10"/>
  <c r="AT208" i="10"/>
  <c r="AU208" i="10"/>
  <c r="AT245" i="10"/>
  <c r="AU245" i="10"/>
  <c r="V491" i="10"/>
  <c r="U491" i="10"/>
  <c r="V403" i="10"/>
  <c r="U403" i="10"/>
  <c r="U229" i="10"/>
  <c r="V229" i="10"/>
  <c r="V124" i="10"/>
  <c r="U124" i="10"/>
  <c r="V192" i="10"/>
  <c r="U192" i="10"/>
  <c r="V272" i="10"/>
  <c r="U272" i="10"/>
  <c r="V230" i="10"/>
  <c r="U230" i="10"/>
  <c r="V33" i="10"/>
  <c r="U33" i="10"/>
  <c r="V190" i="10"/>
  <c r="U190" i="10"/>
  <c r="V154" i="10"/>
  <c r="U154" i="10"/>
  <c r="V90" i="10"/>
  <c r="U90" i="10"/>
  <c r="V42" i="10"/>
  <c r="U42" i="10"/>
  <c r="V536" i="10"/>
  <c r="U536" i="10"/>
  <c r="V507" i="10"/>
  <c r="U507" i="10"/>
  <c r="V503" i="10"/>
  <c r="U503" i="10"/>
  <c r="U468" i="10"/>
  <c r="V468" i="10"/>
  <c r="V399" i="10"/>
  <c r="U399" i="10"/>
  <c r="V367" i="10"/>
  <c r="U367" i="10"/>
  <c r="U330" i="10"/>
  <c r="V330" i="10"/>
  <c r="U435" i="10"/>
  <c r="V435" i="10"/>
  <c r="U337" i="10"/>
  <c r="V337" i="10"/>
  <c r="U302" i="10"/>
  <c r="V302" i="10"/>
  <c r="U241" i="10"/>
  <c r="V241" i="10"/>
  <c r="V381" i="10"/>
  <c r="U381" i="10"/>
  <c r="V136" i="10"/>
  <c r="U136" i="10"/>
  <c r="V164" i="10"/>
  <c r="U164" i="10"/>
  <c r="V96" i="10"/>
  <c r="U96" i="10"/>
  <c r="U35" i="10"/>
  <c r="V35" i="10"/>
  <c r="V118" i="10"/>
  <c r="U118" i="10"/>
  <c r="U54" i="10"/>
  <c r="V54" i="10"/>
  <c r="V200" i="10"/>
  <c r="U200" i="10"/>
  <c r="V551" i="10"/>
  <c r="U551" i="10"/>
  <c r="V473" i="10"/>
  <c r="U473" i="10"/>
  <c r="V469" i="10"/>
  <c r="U469" i="10"/>
  <c r="U173" i="10"/>
  <c r="V173" i="10"/>
  <c r="U540" i="10"/>
  <c r="V540" i="10"/>
  <c r="V511" i="10"/>
  <c r="U511" i="10"/>
  <c r="V481" i="10"/>
  <c r="U481" i="10"/>
  <c r="U472" i="10"/>
  <c r="V472" i="10"/>
  <c r="V452" i="10"/>
  <c r="U452" i="10"/>
  <c r="V395" i="10"/>
  <c r="U395" i="10"/>
  <c r="V385" i="10"/>
  <c r="U385" i="10"/>
  <c r="U258" i="10"/>
  <c r="V258" i="10"/>
  <c r="U205" i="10"/>
  <c r="V205" i="10"/>
  <c r="V156" i="10"/>
  <c r="U156" i="10"/>
  <c r="V112" i="10"/>
  <c r="U112" i="10"/>
  <c r="V292" i="10"/>
  <c r="U292" i="10"/>
  <c r="V260" i="10"/>
  <c r="U260" i="10"/>
  <c r="V92" i="10"/>
  <c r="U92" i="10"/>
  <c r="U48" i="10"/>
  <c r="V48" i="10"/>
  <c r="V194" i="10"/>
  <c r="U194" i="10"/>
  <c r="V162" i="10"/>
  <c r="U162" i="10"/>
  <c r="U25" i="10"/>
  <c r="V25" i="10"/>
  <c r="V47" i="10"/>
  <c r="U47" i="10"/>
  <c r="V538" i="10"/>
  <c r="U538" i="10"/>
  <c r="U298" i="10"/>
  <c r="V298" i="10"/>
  <c r="U189" i="10"/>
  <c r="V189" i="10"/>
  <c r="U544" i="10"/>
  <c r="V544" i="10"/>
  <c r="V501" i="10"/>
  <c r="U501" i="10"/>
  <c r="V499" i="10"/>
  <c r="U499" i="10"/>
  <c r="V467" i="10"/>
  <c r="U467" i="10"/>
  <c r="V448" i="10"/>
  <c r="U448" i="10"/>
  <c r="V391" i="10"/>
  <c r="U391" i="10"/>
  <c r="V397" i="10"/>
  <c r="U397" i="10"/>
  <c r="U334" i="10"/>
  <c r="V334" i="10"/>
  <c r="V361" i="10"/>
  <c r="U361" i="10"/>
  <c r="U333" i="10"/>
  <c r="V333" i="10"/>
  <c r="U294" i="10"/>
  <c r="V294" i="10"/>
  <c r="U233" i="10"/>
  <c r="V233" i="10"/>
  <c r="U177" i="10"/>
  <c r="V177" i="10"/>
  <c r="V188" i="10"/>
  <c r="U188" i="10"/>
  <c r="V218" i="10"/>
  <c r="U218" i="10"/>
  <c r="V41" i="10"/>
  <c r="U41" i="10"/>
  <c r="V158" i="10"/>
  <c r="U158" i="10"/>
  <c r="U52" i="10"/>
  <c r="V52" i="10"/>
  <c r="V32" i="10"/>
  <c r="U32" i="10"/>
  <c r="U26" i="10"/>
  <c r="V26" i="10"/>
  <c r="V46" i="10"/>
  <c r="U46" i="10"/>
  <c r="U75" i="10"/>
  <c r="V75" i="10"/>
  <c r="U91" i="10"/>
  <c r="V91" i="10"/>
  <c r="V59" i="10"/>
  <c r="U59" i="10"/>
  <c r="U65" i="10"/>
  <c r="V65" i="10"/>
  <c r="V199" i="10"/>
  <c r="U199" i="10"/>
  <c r="U81" i="10"/>
  <c r="V81" i="10"/>
  <c r="U97" i="10"/>
  <c r="V97" i="10"/>
  <c r="V113" i="10"/>
  <c r="U113" i="10"/>
  <c r="V129" i="10"/>
  <c r="U129" i="10"/>
  <c r="V145" i="10"/>
  <c r="U145" i="10"/>
  <c r="V161" i="10"/>
  <c r="U161" i="10"/>
  <c r="V175" i="10"/>
  <c r="U175" i="10"/>
  <c r="V191" i="10"/>
  <c r="U191" i="10"/>
  <c r="V224" i="10"/>
  <c r="U224" i="10"/>
  <c r="V240" i="10"/>
  <c r="U240" i="10"/>
  <c r="U249" i="10"/>
  <c r="V249" i="10"/>
  <c r="U257" i="10"/>
  <c r="V257" i="10"/>
  <c r="U265" i="10"/>
  <c r="V265" i="10"/>
  <c r="U273" i="10"/>
  <c r="V273" i="10"/>
  <c r="U281" i="10"/>
  <c r="V281" i="10"/>
  <c r="U289" i="10"/>
  <c r="V289" i="10"/>
  <c r="U297" i="10"/>
  <c r="V297" i="10"/>
  <c r="V320" i="10"/>
  <c r="U320" i="10"/>
  <c r="V336" i="10"/>
  <c r="U336" i="10"/>
  <c r="V352" i="10"/>
  <c r="U352" i="10"/>
  <c r="U111" i="10"/>
  <c r="V111" i="10"/>
  <c r="U127" i="10"/>
  <c r="V127" i="10"/>
  <c r="U143" i="10"/>
  <c r="V143" i="10"/>
  <c r="U159" i="10"/>
  <c r="V159" i="10"/>
  <c r="V219" i="10"/>
  <c r="U219" i="10"/>
  <c r="V235" i="10"/>
  <c r="U235" i="10"/>
  <c r="U380" i="10"/>
  <c r="V380" i="10"/>
  <c r="V315" i="10"/>
  <c r="U315" i="10"/>
  <c r="V331" i="10"/>
  <c r="U331" i="10"/>
  <c r="V347" i="10"/>
  <c r="U347" i="10"/>
  <c r="U384" i="10"/>
  <c r="V384" i="10"/>
  <c r="U376" i="10"/>
  <c r="V376" i="10"/>
  <c r="U362" i="10"/>
  <c r="V362" i="10"/>
  <c r="V379" i="10"/>
  <c r="U379" i="10"/>
  <c r="U398" i="10"/>
  <c r="V398" i="10"/>
  <c r="U414" i="10"/>
  <c r="V414" i="10"/>
  <c r="U430" i="10"/>
  <c r="V430" i="10"/>
  <c r="V451" i="10"/>
  <c r="U451" i="10"/>
  <c r="U374" i="10"/>
  <c r="V374" i="10"/>
  <c r="U392" i="10"/>
  <c r="V392" i="10"/>
  <c r="U408" i="10"/>
  <c r="V408" i="10"/>
  <c r="U424" i="10"/>
  <c r="V424" i="10"/>
  <c r="V458" i="10"/>
  <c r="U458" i="10"/>
  <c r="U445" i="10"/>
  <c r="V445" i="10"/>
  <c r="V478" i="10"/>
  <c r="U478" i="10"/>
  <c r="V446" i="10"/>
  <c r="U446" i="10"/>
  <c r="U523" i="10"/>
  <c r="V523" i="10"/>
  <c r="U500" i="10"/>
  <c r="V500" i="10"/>
  <c r="V517" i="10"/>
  <c r="U517" i="10"/>
  <c r="V531" i="10"/>
  <c r="U531" i="10"/>
  <c r="U533" i="10"/>
  <c r="V533" i="10"/>
  <c r="V553" i="10"/>
  <c r="U553" i="10"/>
  <c r="V556" i="10"/>
  <c r="U556" i="10"/>
  <c r="AT517" i="10"/>
  <c r="AU517" i="10"/>
  <c r="AT474" i="10"/>
  <c r="AU474" i="10"/>
  <c r="AU441" i="10"/>
  <c r="AT441" i="10"/>
  <c r="AU446" i="10"/>
  <c r="AT446" i="10"/>
  <c r="AT375" i="10"/>
  <c r="AU375" i="10"/>
  <c r="AT343" i="10"/>
  <c r="AU343" i="10"/>
  <c r="AT299" i="10"/>
  <c r="AU299" i="10"/>
  <c r="AU346" i="10"/>
  <c r="AT346" i="10"/>
  <c r="AT167" i="10"/>
  <c r="AU167" i="10"/>
  <c r="AU282" i="10"/>
  <c r="AT282" i="10"/>
  <c r="AT220" i="10"/>
  <c r="AU220" i="10"/>
  <c r="AT275" i="10"/>
  <c r="AU275" i="10"/>
  <c r="AU116" i="10"/>
  <c r="AT116" i="10"/>
  <c r="AT196" i="10"/>
  <c r="AU196" i="10"/>
  <c r="AU300" i="10"/>
  <c r="AT300" i="10"/>
  <c r="AU360" i="10"/>
  <c r="AT360" i="10"/>
  <c r="AT404" i="10"/>
  <c r="AU404" i="10"/>
  <c r="AU421" i="10"/>
  <c r="AT421" i="10"/>
  <c r="AU522" i="10"/>
  <c r="AT522" i="10"/>
  <c r="AU534" i="10"/>
  <c r="AT534" i="10"/>
  <c r="AU158" i="10"/>
  <c r="AT158" i="10"/>
  <c r="AT121" i="10"/>
  <c r="AU121" i="10"/>
  <c r="AU357" i="10"/>
  <c r="AT357" i="10"/>
  <c r="AT293" i="10"/>
  <c r="AU293" i="10"/>
  <c r="AU345" i="10"/>
  <c r="AT345" i="10"/>
  <c r="AU27" i="10"/>
  <c r="AT27" i="10"/>
  <c r="AU71" i="10"/>
  <c r="AT71" i="10"/>
  <c r="AU304" i="10"/>
  <c r="AT304" i="10"/>
  <c r="AU364" i="10"/>
  <c r="AT364" i="10"/>
  <c r="AT412" i="10"/>
  <c r="AU412" i="10"/>
  <c r="AT73" i="10"/>
  <c r="AU73" i="10"/>
  <c r="AU352" i="10"/>
  <c r="AT352" i="10"/>
  <c r="AU472" i="10"/>
  <c r="AT472" i="10"/>
  <c r="AT529" i="10"/>
  <c r="AU529" i="10"/>
  <c r="AU453" i="10"/>
  <c r="AT453" i="10"/>
  <c r="AT459" i="10"/>
  <c r="AU459" i="10"/>
  <c r="AT390" i="10"/>
  <c r="AU390" i="10"/>
  <c r="AU391" i="10"/>
  <c r="AT391" i="10"/>
  <c r="AT355" i="10"/>
  <c r="AU355" i="10"/>
  <c r="AU358" i="10"/>
  <c r="AT358" i="10"/>
  <c r="AT179" i="10"/>
  <c r="AU179" i="10"/>
  <c r="AT95" i="10"/>
  <c r="AU95" i="10"/>
  <c r="AT79" i="10"/>
  <c r="AU79" i="10"/>
  <c r="AU294" i="10"/>
  <c r="AT294" i="10"/>
  <c r="AT232" i="10"/>
  <c r="AU232" i="10"/>
  <c r="AT287" i="10"/>
  <c r="AU287" i="10"/>
  <c r="AU128" i="10"/>
  <c r="AT128" i="10"/>
  <c r="AU41" i="10"/>
  <c r="AT41" i="10"/>
  <c r="AU169" i="10"/>
  <c r="AT169" i="10"/>
  <c r="AU501" i="10"/>
  <c r="AT501" i="10"/>
  <c r="AT289" i="10"/>
  <c r="AU289" i="10"/>
  <c r="AU28" i="10"/>
  <c r="AT28" i="10"/>
  <c r="AU110" i="10"/>
  <c r="AT110" i="10"/>
  <c r="AT109" i="10"/>
  <c r="AU109" i="10"/>
  <c r="AU333" i="10"/>
  <c r="AT333" i="10"/>
  <c r="AU479" i="10"/>
  <c r="AT479" i="10"/>
  <c r="AU516" i="10"/>
  <c r="AT516" i="10"/>
  <c r="AU457" i="10"/>
  <c r="AT457" i="10"/>
  <c r="AT557" i="10"/>
  <c r="AU557" i="10"/>
  <c r="AU292" i="10"/>
  <c r="AT292" i="10"/>
  <c r="AU397" i="10"/>
  <c r="AT397" i="10"/>
  <c r="AU21" i="10"/>
  <c r="AT21" i="10"/>
  <c r="AT285" i="10"/>
  <c r="AU285" i="10"/>
  <c r="AU237" i="10"/>
  <c r="AT237" i="10"/>
  <c r="AU551" i="10"/>
  <c r="AT551" i="10"/>
  <c r="AU548" i="10"/>
  <c r="AT548" i="10"/>
  <c r="AU511" i="10"/>
  <c r="AT511" i="10"/>
  <c r="AT402" i="10"/>
  <c r="AU402" i="10"/>
  <c r="AU403" i="10"/>
  <c r="AT403" i="10"/>
  <c r="AT366" i="10"/>
  <c r="AU366" i="10"/>
  <c r="AT191" i="10"/>
  <c r="AU191" i="10"/>
  <c r="AT91" i="10"/>
  <c r="AU91" i="10"/>
  <c r="AU244" i="10"/>
  <c r="AT244" i="10"/>
  <c r="AT137" i="10"/>
  <c r="AU137" i="10"/>
  <c r="AT176" i="10"/>
  <c r="AU176" i="10"/>
  <c r="AU80" i="10"/>
  <c r="AT80" i="10"/>
  <c r="AU140" i="10"/>
  <c r="AT140" i="10"/>
  <c r="AU59" i="10"/>
  <c r="AT59" i="10"/>
  <c r="AT46" i="10"/>
  <c r="AU46" i="10"/>
  <c r="AT168" i="10"/>
  <c r="AU168" i="10"/>
  <c r="AU23" i="10"/>
  <c r="AT23" i="10"/>
  <c r="AU138" i="10"/>
  <c r="AT138" i="10"/>
  <c r="AU280" i="10"/>
  <c r="AT280" i="10"/>
  <c r="AT447" i="10"/>
  <c r="AU447" i="10"/>
  <c r="AU468" i="10"/>
  <c r="AT468" i="10"/>
  <c r="AU52" i="10"/>
  <c r="AT52" i="10"/>
  <c r="AT56" i="10"/>
  <c r="AU56" i="10"/>
  <c r="AT97" i="10"/>
  <c r="AU97" i="10"/>
  <c r="AU309" i="10"/>
  <c r="AT309" i="10"/>
  <c r="AU498" i="10"/>
  <c r="AT498" i="10"/>
  <c r="AU35" i="10"/>
  <c r="AT35" i="10"/>
  <c r="AU222" i="10"/>
  <c r="AT222" i="10"/>
  <c r="AU268" i="10"/>
  <c r="AT268" i="10"/>
  <c r="AU487" i="10"/>
  <c r="AT487" i="10"/>
  <c r="AT553" i="10"/>
  <c r="AU553" i="10"/>
  <c r="AT257" i="10"/>
  <c r="AU257" i="10"/>
  <c r="AU540" i="10"/>
  <c r="AT540" i="10"/>
  <c r="AU528" i="10"/>
  <c r="AT528" i="10"/>
  <c r="AT458" i="10"/>
  <c r="AU458" i="10"/>
  <c r="AT414" i="10"/>
  <c r="AU414" i="10"/>
  <c r="AT370" i="10"/>
  <c r="AU370" i="10"/>
  <c r="AU415" i="10"/>
  <c r="AT415" i="10"/>
  <c r="AT315" i="10"/>
  <c r="AU315" i="10"/>
  <c r="AU367" i="10"/>
  <c r="AT367" i="10"/>
  <c r="AT219" i="10"/>
  <c r="AU219" i="10"/>
  <c r="AT203" i="10"/>
  <c r="AU203" i="10"/>
  <c r="AU302" i="10"/>
  <c r="AT302" i="10"/>
  <c r="AU318" i="10"/>
  <c r="AT318" i="10"/>
  <c r="AU119" i="10"/>
  <c r="AT119" i="10"/>
  <c r="AU103" i="10"/>
  <c r="AT103" i="10"/>
  <c r="AU254" i="10"/>
  <c r="AT254" i="10"/>
  <c r="AT247" i="10"/>
  <c r="AU247" i="10"/>
  <c r="AT149" i="10"/>
  <c r="AU149" i="10"/>
  <c r="AU206" i="10"/>
  <c r="AT206" i="10"/>
  <c r="AT164" i="10"/>
  <c r="AU164" i="10"/>
  <c r="AU152" i="10"/>
  <c r="AT152" i="10"/>
  <c r="AT55" i="10"/>
  <c r="AU55" i="10"/>
  <c r="AU19" i="10"/>
  <c r="AT19" i="10"/>
  <c r="AU98" i="10"/>
  <c r="AT98" i="10"/>
  <c r="AU194" i="10"/>
  <c r="AT194" i="10"/>
  <c r="AT85" i="10"/>
  <c r="AU85" i="10"/>
  <c r="AU256" i="10"/>
  <c r="AT256" i="10"/>
  <c r="AU373" i="10"/>
  <c r="AT373" i="10"/>
  <c r="AU356" i="10"/>
  <c r="AT356" i="10"/>
  <c r="AU147" i="10"/>
  <c r="AT147" i="10"/>
  <c r="AU312" i="10"/>
  <c r="AT312" i="10"/>
  <c r="AT392" i="10"/>
  <c r="AU392" i="10"/>
  <c r="AU393" i="10"/>
  <c r="AT393" i="10"/>
  <c r="AU506" i="10"/>
  <c r="AT506" i="10"/>
  <c r="AU519" i="10"/>
  <c r="AT519" i="10"/>
  <c r="AT400" i="10"/>
  <c r="AU400" i="10"/>
  <c r="AU471" i="10"/>
  <c r="AT471" i="10"/>
  <c r="AU130" i="10"/>
  <c r="AT130" i="10"/>
  <c r="AU238" i="10"/>
  <c r="AT238" i="10"/>
  <c r="AU276" i="10"/>
  <c r="AT276" i="10"/>
  <c r="AT396" i="10"/>
  <c r="AU396" i="10"/>
  <c r="AU429" i="10"/>
  <c r="AT429" i="10"/>
  <c r="AU155" i="10"/>
  <c r="AT155" i="10"/>
  <c r="AU305" i="10"/>
  <c r="AT305" i="10"/>
  <c r="AU336" i="10"/>
  <c r="AT336" i="10"/>
  <c r="AU502" i="10"/>
  <c r="AT502" i="10"/>
  <c r="AT537" i="10"/>
  <c r="AU537" i="10"/>
  <c r="V509" i="10"/>
  <c r="U509" i="10"/>
  <c r="V373" i="10"/>
  <c r="U373" i="10"/>
  <c r="V108" i="10"/>
  <c r="U108" i="10"/>
  <c r="V84" i="10"/>
  <c r="U84" i="10"/>
  <c r="V122" i="10"/>
  <c r="U122" i="10"/>
  <c r="V56" i="10"/>
  <c r="U56" i="10"/>
  <c r="V530" i="10"/>
  <c r="U530" i="10"/>
  <c r="V477" i="10"/>
  <c r="U477" i="10"/>
  <c r="U346" i="10"/>
  <c r="V346" i="10"/>
  <c r="U321" i="10"/>
  <c r="V321" i="10"/>
  <c r="U270" i="10"/>
  <c r="V270" i="10"/>
  <c r="V198" i="10"/>
  <c r="U198" i="10"/>
  <c r="V226" i="10"/>
  <c r="U226" i="10"/>
  <c r="V71" i="10"/>
  <c r="U71" i="10"/>
  <c r="V518" i="10"/>
  <c r="U518" i="10"/>
  <c r="V475" i="10"/>
  <c r="U475" i="10"/>
  <c r="V542" i="10"/>
  <c r="U542" i="10"/>
  <c r="V463" i="10"/>
  <c r="U463" i="10"/>
  <c r="V427" i="10"/>
  <c r="U427" i="10"/>
  <c r="U237" i="10"/>
  <c r="V237" i="10"/>
  <c r="U181" i="10"/>
  <c r="V181" i="10"/>
  <c r="V276" i="10"/>
  <c r="U276" i="10"/>
  <c r="V19" i="10"/>
  <c r="U19" i="10"/>
  <c r="V178" i="10"/>
  <c r="U178" i="10"/>
  <c r="V27" i="10"/>
  <c r="U27" i="10"/>
  <c r="V434" i="10"/>
  <c r="U434" i="10"/>
  <c r="U514" i="10"/>
  <c r="V514" i="10"/>
  <c r="V479" i="10"/>
  <c r="U479" i="10"/>
  <c r="V423" i="10"/>
  <c r="U423" i="10"/>
  <c r="U318" i="10"/>
  <c r="V318" i="10"/>
  <c r="U349" i="10"/>
  <c r="V349" i="10"/>
  <c r="U201" i="10"/>
  <c r="V201" i="10"/>
  <c r="V72" i="10"/>
  <c r="U72" i="10"/>
  <c r="U64" i="10"/>
  <c r="V64" i="10"/>
  <c r="V20" i="10"/>
  <c r="U20" i="10"/>
  <c r="V36" i="10"/>
  <c r="U36" i="10"/>
  <c r="U99" i="10"/>
  <c r="V99" i="10"/>
  <c r="U60" i="10"/>
  <c r="V60" i="10"/>
  <c r="U89" i="10"/>
  <c r="V89" i="10"/>
  <c r="V137" i="10"/>
  <c r="U137" i="10"/>
  <c r="V153" i="10"/>
  <c r="U153" i="10"/>
  <c r="V216" i="10"/>
  <c r="U216" i="10"/>
  <c r="V232" i="10"/>
  <c r="U232" i="10"/>
  <c r="U261" i="10"/>
  <c r="V261" i="10"/>
  <c r="U285" i="10"/>
  <c r="V285" i="10"/>
  <c r="U293" i="10"/>
  <c r="V293" i="10"/>
  <c r="V344" i="10"/>
  <c r="U344" i="10"/>
  <c r="U103" i="10"/>
  <c r="V103" i="10"/>
  <c r="U151" i="10"/>
  <c r="V151" i="10"/>
  <c r="V243" i="10"/>
  <c r="U243" i="10"/>
  <c r="U303" i="10"/>
  <c r="V303" i="10"/>
  <c r="V355" i="10"/>
  <c r="U355" i="10"/>
  <c r="U364" i="10"/>
  <c r="V364" i="10"/>
  <c r="U390" i="10"/>
  <c r="V390" i="10"/>
  <c r="V443" i="10"/>
  <c r="U443" i="10"/>
  <c r="V470" i="10"/>
  <c r="U470" i="10"/>
  <c r="U416" i="10"/>
  <c r="V416" i="10"/>
  <c r="V438" i="10"/>
  <c r="U438" i="10"/>
  <c r="U486" i="10"/>
  <c r="V486" i="10"/>
  <c r="V493" i="10"/>
  <c r="U493" i="10"/>
  <c r="V525" i="10"/>
  <c r="U525" i="10"/>
  <c r="V557" i="10"/>
  <c r="U557" i="10"/>
  <c r="AU524" i="10"/>
  <c r="AT524" i="10"/>
  <c r="AU411" i="10"/>
  <c r="AT411" i="10"/>
  <c r="AT311" i="10"/>
  <c r="AU311" i="10"/>
  <c r="AT215" i="10"/>
  <c r="AU215" i="10"/>
  <c r="AU115" i="10"/>
  <c r="AT115" i="10"/>
  <c r="AT145" i="10"/>
  <c r="AU145" i="10"/>
  <c r="AT36" i="10"/>
  <c r="AU36" i="10"/>
  <c r="AT53" i="10"/>
  <c r="AU53" i="10"/>
  <c r="AU33" i="10"/>
  <c r="AT33" i="10"/>
  <c r="AU264" i="10"/>
  <c r="AT264" i="10"/>
  <c r="AT47" i="10"/>
  <c r="AU47" i="10"/>
  <c r="AT408" i="10"/>
  <c r="AU408" i="10"/>
  <c r="AT539" i="10"/>
  <c r="AU539" i="10"/>
  <c r="AU146" i="10"/>
  <c r="AT146" i="10"/>
  <c r="AU252" i="10"/>
  <c r="AT252" i="10"/>
  <c r="AU526" i="10"/>
  <c r="AT526" i="10"/>
  <c r="AT249" i="10"/>
  <c r="AU249" i="10"/>
  <c r="AT556" i="10"/>
  <c r="AU556" i="10"/>
  <c r="AU473" i="10"/>
  <c r="AT473" i="10"/>
  <c r="AU423" i="10"/>
  <c r="AT423" i="10"/>
  <c r="AT323" i="10"/>
  <c r="AU323" i="10"/>
  <c r="AU326" i="10"/>
  <c r="AT326" i="10"/>
  <c r="AU262" i="10"/>
  <c r="AT262" i="10"/>
  <c r="AT157" i="10"/>
  <c r="AU157" i="10"/>
  <c r="AT184" i="10"/>
  <c r="AU184" i="10"/>
  <c r="AU178" i="10"/>
  <c r="AT178" i="10"/>
  <c r="AT435" i="10"/>
  <c r="AU435" i="10"/>
  <c r="AU381" i="10"/>
  <c r="AT381" i="10"/>
  <c r="AU135" i="10"/>
  <c r="AT135" i="10"/>
  <c r="AU316" i="10"/>
  <c r="AT316" i="10"/>
  <c r="AU417" i="10"/>
  <c r="AT417" i="10"/>
  <c r="AT508" i="10"/>
  <c r="AU508" i="10"/>
  <c r="AT492" i="10"/>
  <c r="AU492" i="10"/>
  <c r="AT335" i="10"/>
  <c r="AU335" i="10"/>
  <c r="AU338" i="10"/>
  <c r="AT338" i="10"/>
  <c r="AT267" i="10"/>
  <c r="AU267" i="10"/>
  <c r="AU108" i="10"/>
  <c r="AT108" i="10"/>
  <c r="AU225" i="10"/>
  <c r="AT225" i="10"/>
  <c r="AT129" i="10"/>
  <c r="AU129" i="10"/>
  <c r="AU520" i="10"/>
  <c r="AT520" i="10"/>
  <c r="AU217" i="10"/>
  <c r="AT217" i="10"/>
  <c r="AU181" i="10"/>
  <c r="AT181" i="10"/>
  <c r="AT521" i="10"/>
  <c r="AU521" i="10"/>
  <c r="AU445" i="10"/>
  <c r="AT445" i="10"/>
  <c r="AT455" i="10"/>
  <c r="AU455" i="10"/>
  <c r="AT347" i="10"/>
  <c r="AU347" i="10"/>
  <c r="AT171" i="10"/>
  <c r="AU171" i="10"/>
  <c r="AU286" i="10"/>
  <c r="AT286" i="10"/>
  <c r="AT279" i="10"/>
  <c r="AU279" i="10"/>
  <c r="AU405" i="10"/>
  <c r="AT405" i="10"/>
  <c r="AU530" i="10"/>
  <c r="AT530" i="10"/>
  <c r="AT117" i="10"/>
  <c r="AU117" i="10"/>
  <c r="AT426" i="10"/>
  <c r="AU426" i="10"/>
  <c r="AU321" i="10"/>
  <c r="AT321" i="10"/>
  <c r="AU40" i="10"/>
  <c r="AT40" i="10"/>
  <c r="AU348" i="10"/>
  <c r="AT348" i="10"/>
  <c r="AU118" i="10"/>
  <c r="AT118" i="10"/>
  <c r="U539" i="10"/>
  <c r="V539" i="10"/>
  <c r="V455" i="10"/>
  <c r="U455" i="10"/>
  <c r="V425" i="10"/>
  <c r="U425" i="10"/>
  <c r="U197" i="10"/>
  <c r="V197" i="10"/>
  <c r="V116" i="10"/>
  <c r="U116" i="10"/>
  <c r="V296" i="10"/>
  <c r="U296" i="10"/>
  <c r="V264" i="10"/>
  <c r="U264" i="10"/>
  <c r="V214" i="10"/>
  <c r="U214" i="10"/>
  <c r="U22" i="10"/>
  <c r="V22" i="10"/>
  <c r="V182" i="10"/>
  <c r="U182" i="10"/>
  <c r="V138" i="10"/>
  <c r="U138" i="10"/>
  <c r="V74" i="10"/>
  <c r="U74" i="10"/>
  <c r="V30" i="10"/>
  <c r="U30" i="10"/>
  <c r="V524" i="10"/>
  <c r="U524" i="10"/>
  <c r="V534" i="10"/>
  <c r="U534" i="10"/>
  <c r="U495" i="10"/>
  <c r="V495" i="10"/>
  <c r="V459" i="10"/>
  <c r="U459" i="10"/>
  <c r="V421" i="10"/>
  <c r="U421" i="10"/>
  <c r="U354" i="10"/>
  <c r="V354" i="10"/>
  <c r="U322" i="10"/>
  <c r="V322" i="10"/>
  <c r="V369" i="10"/>
  <c r="U369" i="10"/>
  <c r="U329" i="10"/>
  <c r="V329" i="10"/>
  <c r="U286" i="10"/>
  <c r="V286" i="10"/>
  <c r="U225" i="10"/>
  <c r="V225" i="10"/>
  <c r="U185" i="10"/>
  <c r="V185" i="10"/>
  <c r="V206" i="10"/>
  <c r="U206" i="10"/>
  <c r="V242" i="10"/>
  <c r="U242" i="10"/>
  <c r="V80" i="10"/>
  <c r="U80" i="10"/>
  <c r="U28" i="10"/>
  <c r="V28" i="10"/>
  <c r="V102" i="10"/>
  <c r="U102" i="10"/>
  <c r="U50" i="10"/>
  <c r="V50" i="10"/>
  <c r="U62" i="10"/>
  <c r="V62" i="10"/>
  <c r="U519" i="10"/>
  <c r="V519" i="10"/>
  <c r="U490" i="10"/>
  <c r="V490" i="10"/>
  <c r="V365" i="10"/>
  <c r="U365" i="10"/>
  <c r="V176" i="10"/>
  <c r="U176" i="10"/>
  <c r="V550" i="10"/>
  <c r="U550" i="10"/>
  <c r="V526" i="10"/>
  <c r="U526" i="10"/>
  <c r="U484" i="10"/>
  <c r="V484" i="10"/>
  <c r="U464" i="10"/>
  <c r="V464" i="10"/>
  <c r="V431" i="10"/>
  <c r="U431" i="10"/>
  <c r="V471" i="10"/>
  <c r="U471" i="10"/>
  <c r="V306" i="10"/>
  <c r="U306" i="10"/>
  <c r="V377" i="10"/>
  <c r="U377" i="10"/>
  <c r="V304" i="10"/>
  <c r="U304" i="10"/>
  <c r="V140" i="10"/>
  <c r="U140" i="10"/>
  <c r="V104" i="10"/>
  <c r="U104" i="10"/>
  <c r="V284" i="10"/>
  <c r="U284" i="10"/>
  <c r="V252" i="10"/>
  <c r="U252" i="10"/>
  <c r="V76" i="10"/>
  <c r="U76" i="10"/>
  <c r="U43" i="10"/>
  <c r="V43" i="10"/>
  <c r="V186" i="10"/>
  <c r="U186" i="10"/>
  <c r="V146" i="10"/>
  <c r="U146" i="10"/>
  <c r="V98" i="10"/>
  <c r="U98" i="10"/>
  <c r="V34" i="10"/>
  <c r="U34" i="10"/>
  <c r="U456" i="10"/>
  <c r="V456" i="10"/>
  <c r="U266" i="10"/>
  <c r="V266" i="10"/>
  <c r="V148" i="10"/>
  <c r="U148" i="10"/>
  <c r="U543" i="10"/>
  <c r="V543" i="10"/>
  <c r="V520" i="10"/>
  <c r="U520" i="10"/>
  <c r="V485" i="10"/>
  <c r="U485" i="10"/>
  <c r="U502" i="10"/>
  <c r="V502" i="10"/>
  <c r="V457" i="10"/>
  <c r="U457" i="10"/>
  <c r="V461" i="10"/>
  <c r="U461" i="10"/>
  <c r="U358" i="10"/>
  <c r="V358" i="10"/>
  <c r="U326" i="10"/>
  <c r="V326" i="10"/>
  <c r="U357" i="10"/>
  <c r="V357" i="10"/>
  <c r="U325" i="10"/>
  <c r="V325" i="10"/>
  <c r="U278" i="10"/>
  <c r="V278" i="10"/>
  <c r="U217" i="10"/>
  <c r="V217" i="10"/>
  <c r="V160" i="10"/>
  <c r="U160" i="10"/>
  <c r="V172" i="10"/>
  <c r="U172" i="10"/>
  <c r="V88" i="10"/>
  <c r="U88" i="10"/>
  <c r="V23" i="10"/>
  <c r="U23" i="10"/>
  <c r="V142" i="10"/>
  <c r="U142" i="10"/>
  <c r="V94" i="10"/>
  <c r="U94" i="10"/>
  <c r="V29" i="10"/>
  <c r="U29" i="10"/>
  <c r="V55" i="10"/>
  <c r="U55" i="10"/>
  <c r="U79" i="10"/>
  <c r="V79" i="10"/>
  <c r="U95" i="10"/>
  <c r="V95" i="10"/>
  <c r="V195" i="10"/>
  <c r="U195" i="10"/>
  <c r="U85" i="10"/>
  <c r="V85" i="10"/>
  <c r="V101" i="10"/>
  <c r="U101" i="10"/>
  <c r="V117" i="10"/>
  <c r="U117" i="10"/>
  <c r="V133" i="10"/>
  <c r="U133" i="10"/>
  <c r="V149" i="10"/>
  <c r="U149" i="10"/>
  <c r="U301" i="10"/>
  <c r="V301" i="10"/>
  <c r="V179" i="10"/>
  <c r="U179" i="10"/>
  <c r="V212" i="10"/>
  <c r="U212" i="10"/>
  <c r="V228" i="10"/>
  <c r="U228" i="10"/>
  <c r="V244" i="10"/>
  <c r="U244" i="10"/>
  <c r="U251" i="10"/>
  <c r="V251" i="10"/>
  <c r="U259" i="10"/>
  <c r="V259" i="10"/>
  <c r="U267" i="10"/>
  <c r="V267" i="10"/>
  <c r="U275" i="10"/>
  <c r="V275" i="10"/>
  <c r="U283" i="10"/>
  <c r="V283" i="10"/>
  <c r="U291" i="10"/>
  <c r="V291" i="10"/>
  <c r="V308" i="10"/>
  <c r="U308" i="10"/>
  <c r="V324" i="10"/>
  <c r="U324" i="10"/>
  <c r="V340" i="10"/>
  <c r="U340" i="10"/>
  <c r="V356" i="10"/>
  <c r="U356" i="10"/>
  <c r="U115" i="10"/>
  <c r="V115" i="10"/>
  <c r="U131" i="10"/>
  <c r="V131" i="10"/>
  <c r="U147" i="10"/>
  <c r="V147" i="10"/>
  <c r="U163" i="10"/>
  <c r="V163" i="10"/>
  <c r="V223" i="10"/>
  <c r="U223" i="10"/>
  <c r="V239" i="10"/>
  <c r="U239" i="10"/>
  <c r="U299" i="10"/>
  <c r="V299" i="10"/>
  <c r="V319" i="10"/>
  <c r="U319" i="10"/>
  <c r="V335" i="10"/>
  <c r="U335" i="10"/>
  <c r="V351" i="10"/>
  <c r="U351" i="10"/>
  <c r="U360" i="10"/>
  <c r="V360" i="10"/>
  <c r="U433" i="10"/>
  <c r="V433" i="10"/>
  <c r="U366" i="10"/>
  <c r="V366" i="10"/>
  <c r="V383" i="10"/>
  <c r="U383" i="10"/>
  <c r="U402" i="10"/>
  <c r="V402" i="10"/>
  <c r="U418" i="10"/>
  <c r="V418" i="10"/>
  <c r="V439" i="10"/>
  <c r="U439" i="10"/>
  <c r="U386" i="10"/>
  <c r="V386" i="10"/>
  <c r="V378" i="10"/>
  <c r="U378" i="10"/>
  <c r="U396" i="10"/>
  <c r="V396" i="10"/>
  <c r="U412" i="10"/>
  <c r="V412" i="10"/>
  <c r="U428" i="10"/>
  <c r="V428" i="10"/>
  <c r="V462" i="10"/>
  <c r="U462" i="10"/>
  <c r="U449" i="10"/>
  <c r="V449" i="10"/>
  <c r="V482" i="10"/>
  <c r="U482" i="10"/>
  <c r="V450" i="10"/>
  <c r="U450" i="10"/>
  <c r="U488" i="10"/>
  <c r="V488" i="10"/>
  <c r="V504" i="10"/>
  <c r="U504" i="10"/>
  <c r="V521" i="10"/>
  <c r="U521" i="10"/>
  <c r="U535" i="10"/>
  <c r="V535" i="10"/>
  <c r="V537" i="10"/>
  <c r="U537" i="10"/>
  <c r="U547" i="10"/>
  <c r="V547" i="10"/>
  <c r="V560" i="10"/>
  <c r="U560" i="10"/>
  <c r="AT541" i="10"/>
  <c r="AU541" i="10"/>
  <c r="AU536" i="10"/>
  <c r="AT536" i="10"/>
  <c r="AT500" i="10"/>
  <c r="AU500" i="10"/>
  <c r="AT463" i="10"/>
  <c r="AU463" i="10"/>
  <c r="AT394" i="10"/>
  <c r="AU394" i="10"/>
  <c r="AU395" i="10"/>
  <c r="AT395" i="10"/>
  <c r="AT433" i="10"/>
  <c r="AU433" i="10"/>
  <c r="AT359" i="10"/>
  <c r="AU359" i="10"/>
  <c r="AT183" i="10"/>
  <c r="AU183" i="10"/>
  <c r="AU99" i="10"/>
  <c r="AT99" i="10"/>
  <c r="AT83" i="10"/>
  <c r="AU83" i="10"/>
  <c r="AU298" i="10"/>
  <c r="AT298" i="10"/>
  <c r="AT236" i="10"/>
  <c r="AU236" i="10"/>
  <c r="AT291" i="10"/>
  <c r="AU291" i="10"/>
  <c r="AT24" i="10"/>
  <c r="AU24" i="10"/>
  <c r="AU68" i="10"/>
  <c r="AT68" i="10"/>
  <c r="AU72" i="10"/>
  <c r="AT72" i="10"/>
  <c r="AU132" i="10"/>
  <c r="AT132" i="10"/>
  <c r="AU198" i="10"/>
  <c r="AT198" i="10"/>
  <c r="AU84" i="10"/>
  <c r="AT84" i="10"/>
  <c r="AU296" i="10"/>
  <c r="AT296" i="10"/>
  <c r="AU505" i="10"/>
  <c r="AT505" i="10"/>
  <c r="AT273" i="10"/>
  <c r="AU273" i="10"/>
  <c r="AU337" i="10"/>
  <c r="AT337" i="10"/>
  <c r="AU94" i="10"/>
  <c r="AT94" i="10"/>
  <c r="AU163" i="10"/>
  <c r="AT163" i="10"/>
  <c r="AT105" i="10"/>
  <c r="AU105" i="10"/>
  <c r="AU325" i="10"/>
  <c r="AT325" i="10"/>
  <c r="AU448" i="10"/>
  <c r="AT448" i="10"/>
  <c r="AU284" i="10"/>
  <c r="AT284" i="10"/>
  <c r="AU377" i="10"/>
  <c r="AT377" i="10"/>
  <c r="AU484" i="10"/>
  <c r="AT484" i="10"/>
  <c r="AU554" i="10"/>
  <c r="AT554" i="10"/>
  <c r="AT277" i="10"/>
  <c r="AU277" i="10"/>
  <c r="AU221" i="10"/>
  <c r="AT221" i="10"/>
  <c r="AU233" i="10"/>
  <c r="AT233" i="10"/>
  <c r="AT531" i="10"/>
  <c r="AU531" i="10"/>
  <c r="AU503" i="10"/>
  <c r="AT503" i="10"/>
  <c r="AT504" i="10"/>
  <c r="AU504" i="10"/>
  <c r="AU489" i="10"/>
  <c r="AT489" i="10"/>
  <c r="AU434" i="10"/>
  <c r="AT434" i="10"/>
  <c r="AT406" i="10"/>
  <c r="AU406" i="10"/>
  <c r="AU407" i="10"/>
  <c r="AT407" i="10"/>
  <c r="AT307" i="10"/>
  <c r="AU307" i="10"/>
  <c r="AT211" i="10"/>
  <c r="AU211" i="10"/>
  <c r="AT195" i="10"/>
  <c r="AU195" i="10"/>
  <c r="AU310" i="10"/>
  <c r="AT310" i="10"/>
  <c r="AU111" i="10"/>
  <c r="AT111" i="10"/>
  <c r="AU246" i="10"/>
  <c r="AT246" i="10"/>
  <c r="AT141" i="10"/>
  <c r="AU141" i="10"/>
  <c r="AU92" i="10"/>
  <c r="AT92" i="10"/>
  <c r="AU144" i="10"/>
  <c r="AT144" i="10"/>
  <c r="AT51" i="10"/>
  <c r="AU51" i="10"/>
  <c r="AT192" i="10"/>
  <c r="AU192" i="10"/>
  <c r="AU31" i="10"/>
  <c r="AT31" i="10"/>
  <c r="AT25" i="10"/>
  <c r="AU25" i="10"/>
  <c r="AU122" i="10"/>
  <c r="AT122" i="10"/>
  <c r="AU143" i="10"/>
  <c r="AT143" i="10"/>
  <c r="AU230" i="10"/>
  <c r="AT230" i="10"/>
  <c r="AU272" i="10"/>
  <c r="AT272" i="10"/>
  <c r="AT431" i="10"/>
  <c r="AU431" i="10"/>
  <c r="AT443" i="10"/>
  <c r="AU443" i="10"/>
  <c r="AU523" i="10"/>
  <c r="AT523" i="10"/>
  <c r="AU50" i="10"/>
  <c r="AT50" i="10"/>
  <c r="AU49" i="10"/>
  <c r="AT49" i="10"/>
  <c r="AT81" i="10"/>
  <c r="AU81" i="10"/>
  <c r="AU344" i="10"/>
  <c r="AT344" i="10"/>
  <c r="AU369" i="10"/>
  <c r="AT369" i="10"/>
  <c r="AT424" i="10"/>
  <c r="AU424" i="10"/>
  <c r="AU425" i="10"/>
  <c r="AT425" i="10"/>
  <c r="AU486" i="10"/>
  <c r="AT486" i="10"/>
  <c r="AU542" i="10"/>
  <c r="AT542" i="10"/>
  <c r="AU361" i="10"/>
  <c r="AT361" i="10"/>
  <c r="AU493" i="10"/>
  <c r="AT493" i="10"/>
  <c r="AU162" i="10"/>
  <c r="AT162" i="10"/>
  <c r="AT133" i="10"/>
  <c r="AU133" i="10"/>
  <c r="AU260" i="10"/>
  <c r="AT260" i="10"/>
  <c r="AT543" i="10"/>
  <c r="AU543" i="10"/>
  <c r="AU150" i="10"/>
  <c r="AT150" i="10"/>
  <c r="AT253" i="10"/>
  <c r="AU253" i="10"/>
  <c r="AT77" i="10"/>
  <c r="AU77" i="10"/>
  <c r="AU555" i="10"/>
  <c r="AT555" i="10"/>
  <c r="AU499" i="10"/>
  <c r="AT499" i="10"/>
  <c r="AT462" i="10"/>
  <c r="AU462" i="10"/>
  <c r="AT418" i="10"/>
  <c r="AU418" i="10"/>
  <c r="AT374" i="10"/>
  <c r="AU374" i="10"/>
  <c r="AU419" i="10"/>
  <c r="AT419" i="10"/>
  <c r="AU437" i="10"/>
  <c r="AT437" i="10"/>
  <c r="AT319" i="10"/>
  <c r="AU319" i="10"/>
  <c r="AU306" i="10"/>
  <c r="AT306" i="10"/>
  <c r="AT223" i="10"/>
  <c r="AU223" i="10"/>
  <c r="AT207" i="10"/>
  <c r="AU207" i="10"/>
  <c r="AU322" i="10"/>
  <c r="AT322" i="10"/>
  <c r="AU123" i="10"/>
  <c r="AT123" i="10"/>
  <c r="AU107" i="10"/>
  <c r="AT107" i="10"/>
  <c r="AU258" i="10"/>
  <c r="AT258" i="10"/>
  <c r="AT251" i="10"/>
  <c r="AU251" i="10"/>
  <c r="AT153" i="10"/>
  <c r="AU153" i="10"/>
  <c r="AT20" i="10"/>
  <c r="AU20" i="10"/>
  <c r="AT180" i="10"/>
  <c r="AU180" i="10"/>
  <c r="AU156" i="10"/>
  <c r="AT156" i="10"/>
  <c r="AU82" i="10"/>
  <c r="AT82" i="10"/>
  <c r="AU186" i="10"/>
  <c r="AT186" i="10"/>
  <c r="AU159" i="10"/>
  <c r="AT159" i="10"/>
  <c r="AU248" i="10"/>
  <c r="AT248" i="10"/>
  <c r="AU340" i="10"/>
  <c r="AT340" i="10"/>
  <c r="AT430" i="10"/>
  <c r="AU430" i="10"/>
  <c r="AU550" i="10"/>
  <c r="AT550" i="10"/>
  <c r="AU510" i="10"/>
  <c r="AT510" i="10"/>
  <c r="AU57" i="10"/>
  <c r="AT57" i="10"/>
  <c r="AU131" i="10"/>
  <c r="AT131" i="10"/>
  <c r="AU229" i="10"/>
  <c r="AT229" i="10"/>
  <c r="AU376" i="10"/>
  <c r="AT376" i="10"/>
  <c r="AU480" i="10"/>
  <c r="AT480" i="10"/>
  <c r="AT384" i="10"/>
  <c r="AU384" i="10"/>
  <c r="AU440" i="10"/>
  <c r="AT440" i="10"/>
  <c r="AU114" i="10"/>
  <c r="AT114" i="10"/>
  <c r="AU62" i="10"/>
  <c r="AT62" i="10"/>
  <c r="AU151" i="10"/>
  <c r="AT151" i="10"/>
  <c r="AU332" i="10"/>
  <c r="AT332" i="10"/>
  <c r="AT66" i="10"/>
  <c r="AU66" i="10"/>
  <c r="AU102" i="10"/>
  <c r="AT102" i="10"/>
  <c r="AT545" i="10"/>
  <c r="AU545" i="10"/>
  <c r="AU544" i="10"/>
  <c r="AT544" i="10"/>
  <c r="AT488" i="10"/>
  <c r="AU488" i="10"/>
  <c r="AU481" i="10"/>
  <c r="AT481" i="10"/>
  <c r="AU436" i="10"/>
  <c r="AT436" i="10"/>
  <c r="AT331" i="10"/>
  <c r="AU331" i="10"/>
  <c r="AT235" i="10"/>
  <c r="AU235" i="10"/>
  <c r="AU334" i="10"/>
  <c r="AT334" i="10"/>
  <c r="AU270" i="10"/>
  <c r="AT270" i="10"/>
  <c r="AT263" i="10"/>
  <c r="AU263" i="10"/>
  <c r="AU202" i="10"/>
  <c r="AT202" i="10"/>
  <c r="AU48" i="10"/>
  <c r="AT48" i="10"/>
  <c r="AU104" i="10"/>
  <c r="AT104" i="10"/>
  <c r="AU39" i="10"/>
  <c r="AT39" i="10"/>
  <c r="AU241" i="10"/>
  <c r="AT241" i="10"/>
  <c r="AU444" i="10"/>
  <c r="AT444" i="10"/>
  <c r="AU538" i="10"/>
  <c r="AT538" i="10"/>
  <c r="AU30" i="10"/>
  <c r="AT30" i="10"/>
  <c r="AU218" i="10"/>
  <c r="AT218" i="10"/>
  <c r="AU387" i="10"/>
  <c r="AT387" i="10"/>
  <c r="AU42" i="10"/>
  <c r="AT42" i="10"/>
  <c r="AU174" i="10"/>
  <c r="AT174" i="10"/>
  <c r="AU490" i="10"/>
  <c r="AT490" i="10"/>
  <c r="AU558" i="10"/>
  <c r="AT558" i="10"/>
  <c r="AT269" i="10"/>
  <c r="AU269" i="10"/>
  <c r="B230" i="2"/>
  <c r="F232" i="2"/>
  <c r="E230" i="2"/>
  <c r="B178" i="2"/>
  <c r="B186" i="2"/>
  <c r="B17" i="5"/>
  <c r="B45" i="5" s="1"/>
  <c r="B46" i="5" s="1"/>
  <c r="B180" i="2"/>
  <c r="B52" i="5"/>
  <c r="B53" i="5" s="1"/>
  <c r="B55" i="5" s="1"/>
  <c r="H18" i="1"/>
  <c r="H19" i="1"/>
  <c r="B80" i="2"/>
  <c r="B88" i="2"/>
  <c r="B84" i="2"/>
  <c r="B75" i="2"/>
  <c r="H23" i="1" s="1"/>
  <c r="U7" i="5"/>
  <c r="B113" i="2"/>
  <c r="B195" i="2"/>
  <c r="AR7" i="5"/>
  <c r="AQ7" i="5"/>
  <c r="B291" i="2"/>
  <c r="S17" i="4"/>
  <c r="AW17" i="4" s="1"/>
  <c r="S22" i="4"/>
  <c r="AW22" i="4" s="1"/>
  <c r="S25" i="4"/>
  <c r="AW25" i="4" s="1"/>
  <c r="S30" i="4"/>
  <c r="AW30" i="4" s="1"/>
  <c r="S33" i="4"/>
  <c r="AW33" i="4" s="1"/>
  <c r="S38" i="4"/>
  <c r="AW38" i="4" s="1"/>
  <c r="S41" i="4"/>
  <c r="AW41" i="4" s="1"/>
  <c r="S43" i="4"/>
  <c r="AW43" i="4" s="1"/>
  <c r="S45" i="4"/>
  <c r="AW45" i="4" s="1"/>
  <c r="S47" i="4"/>
  <c r="AW47" i="4" s="1"/>
  <c r="S49" i="4"/>
  <c r="AW49" i="4" s="1"/>
  <c r="S51" i="4"/>
  <c r="AW51" i="4" s="1"/>
  <c r="S53" i="4"/>
  <c r="AW53" i="4" s="1"/>
  <c r="S55" i="4"/>
  <c r="AW55" i="4" s="1"/>
  <c r="S57" i="4"/>
  <c r="AW57" i="4" s="1"/>
  <c r="S59" i="4"/>
  <c r="AW59" i="4" s="1"/>
  <c r="S61" i="4"/>
  <c r="AW61" i="4" s="1"/>
  <c r="S63" i="4"/>
  <c r="AW63" i="4" s="1"/>
  <c r="S65" i="4"/>
  <c r="AW65" i="4" s="1"/>
  <c r="S67" i="4"/>
  <c r="AW67" i="4" s="1"/>
  <c r="S69" i="4"/>
  <c r="AW69" i="4" s="1"/>
  <c r="S71" i="4"/>
  <c r="AW71" i="4" s="1"/>
  <c r="S73" i="4"/>
  <c r="AW73" i="4" s="1"/>
  <c r="S75" i="4"/>
  <c r="AW75" i="4" s="1"/>
  <c r="S77" i="4"/>
  <c r="AW77" i="4" s="1"/>
  <c r="S79" i="4"/>
  <c r="AW79" i="4" s="1"/>
  <c r="S81" i="4"/>
  <c r="AW81" i="4" s="1"/>
  <c r="S83" i="4"/>
  <c r="AW83" i="4" s="1"/>
  <c r="S85" i="4"/>
  <c r="AW85" i="4" s="1"/>
  <c r="S87" i="4"/>
  <c r="AW87" i="4" s="1"/>
  <c r="S89" i="4"/>
  <c r="AW89" i="4" s="1"/>
  <c r="S91" i="4"/>
  <c r="AW91" i="4" s="1"/>
  <c r="S93" i="4"/>
  <c r="AW93" i="4" s="1"/>
  <c r="S95" i="4"/>
  <c r="AW95" i="4" s="1"/>
  <c r="S97" i="4"/>
  <c r="AW97" i="4" s="1"/>
  <c r="S99" i="4"/>
  <c r="AW99" i="4" s="1"/>
  <c r="S101" i="4"/>
  <c r="AW101" i="4" s="1"/>
  <c r="S103" i="4"/>
  <c r="AW103" i="4" s="1"/>
  <c r="S105" i="4"/>
  <c r="AW105" i="4" s="1"/>
  <c r="S107" i="4"/>
  <c r="AW107" i="4" s="1"/>
  <c r="S109" i="4"/>
  <c r="AW109" i="4" s="1"/>
  <c r="S111" i="4"/>
  <c r="AW111" i="4" s="1"/>
  <c r="S113" i="4"/>
  <c r="AW113" i="4" s="1"/>
  <c r="S115" i="4"/>
  <c r="AW115" i="4" s="1"/>
  <c r="S117" i="4"/>
  <c r="AW117" i="4" s="1"/>
  <c r="S119" i="4"/>
  <c r="AW119" i="4" s="1"/>
  <c r="S121" i="4"/>
  <c r="AW121" i="4" s="1"/>
  <c r="S123" i="4"/>
  <c r="AW123" i="4" s="1"/>
  <c r="S125" i="4"/>
  <c r="AW125" i="4" s="1"/>
  <c r="S127" i="4"/>
  <c r="AW127" i="4" s="1"/>
  <c r="S129" i="4"/>
  <c r="AW129" i="4" s="1"/>
  <c r="S131" i="4"/>
  <c r="AW131" i="4" s="1"/>
  <c r="S133" i="4"/>
  <c r="AW133" i="4" s="1"/>
  <c r="S135" i="4"/>
  <c r="AW135" i="4" s="1"/>
  <c r="S137" i="4"/>
  <c r="AW137" i="4" s="1"/>
  <c r="S139" i="4"/>
  <c r="AW139" i="4" s="1"/>
  <c r="S141" i="4"/>
  <c r="AW141" i="4" s="1"/>
  <c r="S143" i="4"/>
  <c r="AW143" i="4" s="1"/>
  <c r="S145" i="4"/>
  <c r="AW145" i="4" s="1"/>
  <c r="S147" i="4"/>
  <c r="AW147" i="4" s="1"/>
  <c r="S149" i="4"/>
  <c r="AW149" i="4" s="1"/>
  <c r="S151" i="4"/>
  <c r="AW151" i="4" s="1"/>
  <c r="S153" i="4"/>
  <c r="AW153" i="4" s="1"/>
  <c r="S155" i="4"/>
  <c r="AW155" i="4" s="1"/>
  <c r="S157" i="4"/>
  <c r="AW157" i="4" s="1"/>
  <c r="S9" i="4"/>
  <c r="AW9" i="4" s="1"/>
  <c r="S11" i="4"/>
  <c r="AW11" i="4" s="1"/>
  <c r="S13" i="4"/>
  <c r="AW13" i="4" s="1"/>
  <c r="S19" i="4"/>
  <c r="AW19" i="4" s="1"/>
  <c r="S23" i="4"/>
  <c r="AW23" i="4" s="1"/>
  <c r="S26" i="4"/>
  <c r="AW26" i="4" s="1"/>
  <c r="S37" i="4"/>
  <c r="AW37" i="4" s="1"/>
  <c r="S40" i="4"/>
  <c r="AW40" i="4" s="1"/>
  <c r="S46" i="4"/>
  <c r="AW46" i="4" s="1"/>
  <c r="S54" i="4"/>
  <c r="AW54" i="4" s="1"/>
  <c r="S62" i="4"/>
  <c r="AW62" i="4" s="1"/>
  <c r="S70" i="4"/>
  <c r="AW70" i="4" s="1"/>
  <c r="S78" i="4"/>
  <c r="AW78" i="4" s="1"/>
  <c r="S86" i="4"/>
  <c r="AW86" i="4" s="1"/>
  <c r="S94" i="4"/>
  <c r="AW94" i="4" s="1"/>
  <c r="S102" i="4"/>
  <c r="AW102" i="4" s="1"/>
  <c r="S110" i="4"/>
  <c r="AW110" i="4" s="1"/>
  <c r="S118" i="4"/>
  <c r="AW118" i="4" s="1"/>
  <c r="S126" i="4"/>
  <c r="AW126" i="4" s="1"/>
  <c r="S134" i="4"/>
  <c r="AW134" i="4" s="1"/>
  <c r="S142" i="4"/>
  <c r="AW142" i="4" s="1"/>
  <c r="S150" i="4"/>
  <c r="AW150" i="4" s="1"/>
  <c r="S8" i="4"/>
  <c r="S16" i="4"/>
  <c r="AW16" i="4" s="1"/>
  <c r="S20" i="4"/>
  <c r="AW20" i="4" s="1"/>
  <c r="S27" i="4"/>
  <c r="AW27" i="4" s="1"/>
  <c r="S31" i="4"/>
  <c r="AW31" i="4" s="1"/>
  <c r="S34" i="4"/>
  <c r="AW34" i="4" s="1"/>
  <c r="S44" i="4"/>
  <c r="AW44" i="4" s="1"/>
  <c r="S52" i="4"/>
  <c r="AW52" i="4" s="1"/>
  <c r="S60" i="4"/>
  <c r="AW60" i="4" s="1"/>
  <c r="S68" i="4"/>
  <c r="AW68" i="4" s="1"/>
  <c r="S76" i="4"/>
  <c r="AW76" i="4" s="1"/>
  <c r="S84" i="4"/>
  <c r="AW84" i="4" s="1"/>
  <c r="S92" i="4"/>
  <c r="AW92" i="4" s="1"/>
  <c r="S100" i="4"/>
  <c r="AW100" i="4" s="1"/>
  <c r="S108" i="4"/>
  <c r="AW108" i="4" s="1"/>
  <c r="S116" i="4"/>
  <c r="AW116" i="4" s="1"/>
  <c r="S124" i="4"/>
  <c r="AW124" i="4" s="1"/>
  <c r="S132" i="4"/>
  <c r="AW132" i="4" s="1"/>
  <c r="S140" i="4"/>
  <c r="AW140" i="4" s="1"/>
  <c r="S148" i="4"/>
  <c r="AW148" i="4" s="1"/>
  <c r="S156" i="4"/>
  <c r="AW156" i="4" s="1"/>
  <c r="S14" i="4"/>
  <c r="AW14" i="4" s="1"/>
  <c r="S21" i="4"/>
  <c r="AW21" i="4" s="1"/>
  <c r="S24" i="4"/>
  <c r="AW24" i="4" s="1"/>
  <c r="S28" i="4"/>
  <c r="AW28" i="4" s="1"/>
  <c r="S35" i="4"/>
  <c r="AW35" i="4" s="1"/>
  <c r="S39" i="4"/>
  <c r="AW39" i="4" s="1"/>
  <c r="S42" i="4"/>
  <c r="AW42" i="4" s="1"/>
  <c r="S50" i="4"/>
  <c r="AW50" i="4" s="1"/>
  <c r="S58" i="4"/>
  <c r="AW58" i="4" s="1"/>
  <c r="S66" i="4"/>
  <c r="AW66" i="4" s="1"/>
  <c r="S74" i="4"/>
  <c r="AW74" i="4" s="1"/>
  <c r="S82" i="4"/>
  <c r="AW82" i="4" s="1"/>
  <c r="S90" i="4"/>
  <c r="AW90" i="4" s="1"/>
  <c r="S98" i="4"/>
  <c r="AW98" i="4" s="1"/>
  <c r="S106" i="4"/>
  <c r="AW106" i="4" s="1"/>
  <c r="S114" i="4"/>
  <c r="AW114" i="4" s="1"/>
  <c r="S122" i="4"/>
  <c r="AW122" i="4" s="1"/>
  <c r="S130" i="4"/>
  <c r="AW130" i="4" s="1"/>
  <c r="S138" i="4"/>
  <c r="AW138" i="4" s="1"/>
  <c r="S146" i="4"/>
  <c r="AW146" i="4" s="1"/>
  <c r="S154" i="4"/>
  <c r="AW154" i="4" s="1"/>
  <c r="S12" i="4"/>
  <c r="AW12" i="4" s="1"/>
  <c r="S15" i="4"/>
  <c r="AW15" i="4" s="1"/>
  <c r="S18" i="4"/>
  <c r="AW18" i="4" s="1"/>
  <c r="S29" i="4"/>
  <c r="AW29" i="4" s="1"/>
  <c r="S32" i="4"/>
  <c r="AW32" i="4" s="1"/>
  <c r="S36" i="4"/>
  <c r="AW36" i="4" s="1"/>
  <c r="S48" i="4"/>
  <c r="AW48" i="4" s="1"/>
  <c r="S56" i="4"/>
  <c r="AW56" i="4" s="1"/>
  <c r="S64" i="4"/>
  <c r="AW64" i="4" s="1"/>
  <c r="S72" i="4"/>
  <c r="AW72" i="4" s="1"/>
  <c r="S80" i="4"/>
  <c r="AW80" i="4" s="1"/>
  <c r="S88" i="4"/>
  <c r="AW88" i="4" s="1"/>
  <c r="S96" i="4"/>
  <c r="AW96" i="4" s="1"/>
  <c r="S104" i="4"/>
  <c r="AW104" i="4" s="1"/>
  <c r="S112" i="4"/>
  <c r="AW112" i="4" s="1"/>
  <c r="S120" i="4"/>
  <c r="AW120" i="4" s="1"/>
  <c r="S128" i="4"/>
  <c r="AW128" i="4" s="1"/>
  <c r="S136" i="4"/>
  <c r="AW136" i="4" s="1"/>
  <c r="S144" i="4"/>
  <c r="AW144" i="4" s="1"/>
  <c r="S152" i="4"/>
  <c r="AW152" i="4" s="1"/>
  <c r="S10" i="4"/>
  <c r="AW10" i="4" s="1"/>
  <c r="B16" i="5"/>
  <c r="P15" i="5" s="1"/>
  <c r="S7" i="4"/>
  <c r="O9" i="4"/>
  <c r="V8" i="5"/>
  <c r="AQ8" i="5"/>
  <c r="AL13" i="5"/>
  <c r="AK13" i="5"/>
  <c r="AN12" i="5"/>
  <c r="AO12" i="5"/>
  <c r="AI13" i="5"/>
  <c r="AH13" i="5"/>
  <c r="AP13" i="5"/>
  <c r="U13" i="5"/>
  <c r="V13" i="5"/>
  <c r="AI12" i="5"/>
  <c r="AH12" i="5"/>
  <c r="AP12" i="5"/>
  <c r="U12" i="5"/>
  <c r="V12" i="5"/>
  <c r="AG10" i="5"/>
  <c r="T10" i="5"/>
  <c r="AM10" i="5"/>
  <c r="AJ10" i="5"/>
  <c r="AO13" i="5"/>
  <c r="AN13" i="5"/>
  <c r="AK12" i="5"/>
  <c r="AL12" i="5"/>
  <c r="AR57" i="5"/>
  <c r="AQ57" i="5"/>
  <c r="AR101" i="5"/>
  <c r="AQ101" i="5"/>
  <c r="AR116" i="5"/>
  <c r="AQ116" i="5"/>
  <c r="AQ245" i="5"/>
  <c r="AR245" i="5"/>
  <c r="AR244" i="5"/>
  <c r="AQ244" i="5"/>
  <c r="AQ406" i="5"/>
  <c r="AR406" i="5"/>
  <c r="AQ419" i="5"/>
  <c r="AR419" i="5"/>
  <c r="AR448" i="5"/>
  <c r="AQ448" i="5"/>
  <c r="AR540" i="5"/>
  <c r="AQ540" i="5"/>
  <c r="AQ19" i="5"/>
  <c r="AR19" i="5"/>
  <c r="AR425" i="5"/>
  <c r="AQ425" i="5"/>
  <c r="AR49" i="5"/>
  <c r="AQ49" i="5"/>
  <c r="AR145" i="5"/>
  <c r="AQ145" i="5"/>
  <c r="AR155" i="5"/>
  <c r="AQ155" i="5"/>
  <c r="AQ254" i="5"/>
  <c r="AR254" i="5"/>
  <c r="AQ349" i="5"/>
  <c r="AR349" i="5"/>
  <c r="AQ371" i="5"/>
  <c r="AR371" i="5"/>
  <c r="AQ435" i="5"/>
  <c r="AR435" i="5"/>
  <c r="AR543" i="5"/>
  <c r="AQ543" i="5"/>
  <c r="AQ486" i="5"/>
  <c r="AR486" i="5"/>
  <c r="V547" i="5"/>
  <c r="U547" i="5"/>
  <c r="V497" i="5"/>
  <c r="U497" i="5"/>
  <c r="V539" i="5"/>
  <c r="U539" i="5"/>
  <c r="V560" i="5"/>
  <c r="U560" i="5"/>
  <c r="U473" i="5"/>
  <c r="V473" i="5"/>
  <c r="U401" i="5"/>
  <c r="V401" i="5"/>
  <c r="U503" i="5"/>
  <c r="V503" i="5"/>
  <c r="U454" i="5"/>
  <c r="V454" i="5"/>
  <c r="V339" i="5"/>
  <c r="U339" i="5"/>
  <c r="U472" i="5"/>
  <c r="V472" i="5"/>
  <c r="V287" i="5"/>
  <c r="U287" i="5"/>
  <c r="V379" i="5"/>
  <c r="U379" i="5"/>
  <c r="U162" i="5"/>
  <c r="V162" i="5"/>
  <c r="U437" i="5"/>
  <c r="V437" i="5"/>
  <c r="U393" i="5"/>
  <c r="V393" i="5"/>
  <c r="U312" i="5"/>
  <c r="V312" i="5"/>
  <c r="V310" i="5"/>
  <c r="U310" i="5"/>
  <c r="U269" i="5"/>
  <c r="V269" i="5"/>
  <c r="V313" i="5"/>
  <c r="U313" i="5"/>
  <c r="U250" i="5"/>
  <c r="V250" i="5"/>
  <c r="U279" i="5"/>
  <c r="V279" i="5"/>
  <c r="U252" i="5"/>
  <c r="V252" i="5"/>
  <c r="U221" i="5"/>
  <c r="V221" i="5"/>
  <c r="U222" i="5"/>
  <c r="V222" i="5"/>
  <c r="V239" i="5"/>
  <c r="U239" i="5"/>
  <c r="V188" i="5"/>
  <c r="U188" i="5"/>
  <c r="V183" i="5"/>
  <c r="U183" i="5"/>
  <c r="V169" i="5"/>
  <c r="U169" i="5"/>
  <c r="V134" i="5"/>
  <c r="U134" i="5"/>
  <c r="V151" i="5"/>
  <c r="U151" i="5"/>
  <c r="U155" i="5"/>
  <c r="V155" i="5"/>
  <c r="U91" i="5"/>
  <c r="V91" i="5"/>
  <c r="U98" i="5"/>
  <c r="V98" i="5"/>
  <c r="V57" i="5"/>
  <c r="U57" i="5"/>
  <c r="U56" i="5"/>
  <c r="V56" i="5"/>
  <c r="U43" i="5"/>
  <c r="V43" i="5"/>
  <c r="V32" i="5"/>
  <c r="U32" i="5"/>
  <c r="AR454" i="5"/>
  <c r="AQ454" i="5"/>
  <c r="AR528" i="5"/>
  <c r="AQ528" i="5"/>
  <c r="AQ35" i="5"/>
  <c r="AR35" i="5"/>
  <c r="AR83" i="5"/>
  <c r="AQ83" i="5"/>
  <c r="AQ163" i="5"/>
  <c r="AR163" i="5"/>
  <c r="AR224" i="5"/>
  <c r="AQ224" i="5"/>
  <c r="AQ322" i="5"/>
  <c r="AR322" i="5"/>
  <c r="AQ291" i="5"/>
  <c r="AR291" i="5"/>
  <c r="AQ433" i="5"/>
  <c r="AR433" i="5"/>
  <c r="AQ431" i="5"/>
  <c r="AR431" i="5"/>
  <c r="AR515" i="5"/>
  <c r="AQ515" i="5"/>
  <c r="AR546" i="5"/>
  <c r="AQ546" i="5"/>
  <c r="AQ34" i="5"/>
  <c r="AR34" i="5"/>
  <c r="AR100" i="5"/>
  <c r="AQ100" i="5"/>
  <c r="AQ218" i="5"/>
  <c r="AR218" i="5"/>
  <c r="AR273" i="5"/>
  <c r="AQ273" i="5"/>
  <c r="AQ299" i="5"/>
  <c r="AR299" i="5"/>
  <c r="AR436" i="5"/>
  <c r="AQ436" i="5"/>
  <c r="AR474" i="5"/>
  <c r="AQ474" i="5"/>
  <c r="AQ495" i="5"/>
  <c r="AR495" i="5"/>
  <c r="AQ37" i="5"/>
  <c r="AR37" i="5"/>
  <c r="AR178" i="5"/>
  <c r="AQ178" i="5"/>
  <c r="AQ232" i="5"/>
  <c r="AR232" i="5"/>
  <c r="AQ318" i="5"/>
  <c r="AR318" i="5"/>
  <c r="AQ405" i="5"/>
  <c r="AR405" i="5"/>
  <c r="AQ434" i="5"/>
  <c r="AR434" i="5"/>
  <c r="AR392" i="5"/>
  <c r="AQ392" i="5"/>
  <c r="AQ461" i="5"/>
  <c r="AR461" i="5"/>
  <c r="AR46" i="5"/>
  <c r="AQ46" i="5"/>
  <c r="AQ76" i="5"/>
  <c r="AR76" i="5"/>
  <c r="AQ132" i="5"/>
  <c r="AR132" i="5"/>
  <c r="AR179" i="5"/>
  <c r="AQ179" i="5"/>
  <c r="AQ188" i="5"/>
  <c r="AR188" i="5"/>
  <c r="AR309" i="5"/>
  <c r="AQ309" i="5"/>
  <c r="AR174" i="5"/>
  <c r="AQ174" i="5"/>
  <c r="AR391" i="5"/>
  <c r="AQ391" i="5"/>
  <c r="AR369" i="5"/>
  <c r="AQ369" i="5"/>
  <c r="AQ469" i="5"/>
  <c r="AR469" i="5"/>
  <c r="AQ554" i="5"/>
  <c r="AR554" i="5"/>
  <c r="U469" i="5"/>
  <c r="V469" i="5"/>
  <c r="U524" i="5"/>
  <c r="V524" i="5"/>
  <c r="V545" i="5"/>
  <c r="U545" i="5"/>
  <c r="V344" i="5"/>
  <c r="U344" i="5"/>
  <c r="U486" i="5"/>
  <c r="V486" i="5"/>
  <c r="U422" i="5"/>
  <c r="V422" i="5"/>
  <c r="U522" i="5"/>
  <c r="V522" i="5"/>
  <c r="U474" i="5"/>
  <c r="V474" i="5"/>
  <c r="U427" i="5"/>
  <c r="V427" i="5"/>
  <c r="V491" i="5"/>
  <c r="U491" i="5"/>
  <c r="U432" i="5"/>
  <c r="V432" i="5"/>
  <c r="V370" i="5"/>
  <c r="U370" i="5"/>
  <c r="U417" i="5"/>
  <c r="V417" i="5"/>
  <c r="U404" i="5"/>
  <c r="V404" i="5"/>
  <c r="U388" i="5"/>
  <c r="V388" i="5"/>
  <c r="V336" i="5"/>
  <c r="U336" i="5"/>
  <c r="U272" i="5"/>
  <c r="V272" i="5"/>
  <c r="V418" i="5"/>
  <c r="U418" i="5"/>
  <c r="U391" i="5"/>
  <c r="V391" i="5"/>
  <c r="V380" i="5"/>
  <c r="U380" i="5"/>
  <c r="V371" i="5"/>
  <c r="U371" i="5"/>
  <c r="V297" i="5"/>
  <c r="U297" i="5"/>
  <c r="U436" i="5"/>
  <c r="V436" i="5"/>
  <c r="U421" i="5"/>
  <c r="V421" i="5"/>
  <c r="U405" i="5"/>
  <c r="V405" i="5"/>
  <c r="V390" i="5"/>
  <c r="U390" i="5"/>
  <c r="V367" i="5"/>
  <c r="U367" i="5"/>
  <c r="U359" i="5"/>
  <c r="V359" i="5"/>
  <c r="V337" i="5"/>
  <c r="U337" i="5"/>
  <c r="V309" i="5"/>
  <c r="U309" i="5"/>
  <c r="U267" i="5"/>
  <c r="V267" i="5"/>
  <c r="U349" i="5"/>
  <c r="V349" i="5"/>
  <c r="U326" i="5"/>
  <c r="V326" i="5"/>
  <c r="U307" i="5"/>
  <c r="V307" i="5"/>
  <c r="V298" i="5"/>
  <c r="U298" i="5"/>
  <c r="V285" i="5"/>
  <c r="U285" i="5"/>
  <c r="U268" i="5"/>
  <c r="V268" i="5"/>
  <c r="U256" i="5"/>
  <c r="V256" i="5"/>
  <c r="U226" i="5"/>
  <c r="V226" i="5"/>
  <c r="U325" i="5"/>
  <c r="V325" i="5"/>
  <c r="V311" i="5"/>
  <c r="U311" i="5"/>
  <c r="V291" i="5"/>
  <c r="U291" i="5"/>
  <c r="U266" i="5"/>
  <c r="V266" i="5"/>
  <c r="U244" i="5"/>
  <c r="V244" i="5"/>
  <c r="V332" i="5"/>
  <c r="U332" i="5"/>
  <c r="U314" i="5"/>
  <c r="V314" i="5"/>
  <c r="U295" i="5"/>
  <c r="V295" i="5"/>
  <c r="U278" i="5"/>
  <c r="V278" i="5"/>
  <c r="U270" i="5"/>
  <c r="V270" i="5"/>
  <c r="V257" i="5"/>
  <c r="U257" i="5"/>
  <c r="U249" i="5"/>
  <c r="V249" i="5"/>
  <c r="V153" i="5"/>
  <c r="U153" i="5"/>
  <c r="U233" i="5"/>
  <c r="V233" i="5"/>
  <c r="U219" i="5"/>
  <c r="V219" i="5"/>
  <c r="U192" i="5"/>
  <c r="V192" i="5"/>
  <c r="U168" i="5"/>
  <c r="V168" i="5"/>
  <c r="U238" i="5"/>
  <c r="V238" i="5"/>
  <c r="U217" i="5"/>
  <c r="V217" i="5"/>
  <c r="U193" i="5"/>
  <c r="V193" i="5"/>
  <c r="U144" i="5"/>
  <c r="V144" i="5"/>
  <c r="U234" i="5"/>
  <c r="V234" i="5"/>
  <c r="U220" i="5"/>
  <c r="V220" i="5"/>
  <c r="U209" i="5"/>
  <c r="V209" i="5"/>
  <c r="U202" i="5"/>
  <c r="V202" i="5"/>
  <c r="U164" i="5"/>
  <c r="V164" i="5"/>
  <c r="U198" i="5"/>
  <c r="V198" i="5"/>
  <c r="V189" i="5"/>
  <c r="U189" i="5"/>
  <c r="V179" i="5"/>
  <c r="U179" i="5"/>
  <c r="U158" i="5"/>
  <c r="V158" i="5"/>
  <c r="U184" i="5"/>
  <c r="V184" i="5"/>
  <c r="U163" i="5"/>
  <c r="V163" i="5"/>
  <c r="V111" i="5"/>
  <c r="U111" i="5"/>
  <c r="U178" i="5"/>
  <c r="V178" i="5"/>
  <c r="U167" i="5"/>
  <c r="V167" i="5"/>
  <c r="V128" i="5"/>
  <c r="U128" i="5"/>
  <c r="U145" i="5"/>
  <c r="V145" i="5"/>
  <c r="U122" i="5"/>
  <c r="V122" i="5"/>
  <c r="V104" i="5"/>
  <c r="U104" i="5"/>
  <c r="U148" i="5"/>
  <c r="V148" i="5"/>
  <c r="U129" i="5"/>
  <c r="V129" i="5"/>
  <c r="U116" i="5"/>
  <c r="V116" i="5"/>
  <c r="U103" i="5"/>
  <c r="V103" i="5"/>
  <c r="U147" i="5"/>
  <c r="V147" i="5"/>
  <c r="U132" i="5"/>
  <c r="V132" i="5"/>
  <c r="U113" i="5"/>
  <c r="V113" i="5"/>
  <c r="U110" i="5"/>
  <c r="V110" i="5"/>
  <c r="U90" i="5"/>
  <c r="V90" i="5"/>
  <c r="U72" i="5"/>
  <c r="V72" i="5"/>
  <c r="U102" i="5"/>
  <c r="V102" i="5"/>
  <c r="U97" i="5"/>
  <c r="V97" i="5"/>
  <c r="V81" i="5"/>
  <c r="U81" i="5"/>
  <c r="U78" i="5"/>
  <c r="V78" i="5"/>
  <c r="U77" i="5"/>
  <c r="V77" i="5"/>
  <c r="U71" i="5"/>
  <c r="V71" i="5"/>
  <c r="V58" i="5"/>
  <c r="U58" i="5"/>
  <c r="U65" i="5"/>
  <c r="V65" i="5"/>
  <c r="U51" i="5"/>
  <c r="V51" i="5"/>
  <c r="U23" i="5"/>
  <c r="V23" i="5"/>
  <c r="U54" i="5"/>
  <c r="V54" i="5"/>
  <c r="U49" i="5"/>
  <c r="V49" i="5"/>
  <c r="U40" i="5"/>
  <c r="V40" i="5"/>
  <c r="U45" i="5"/>
  <c r="V45" i="5"/>
  <c r="U31" i="5"/>
  <c r="V31" i="5"/>
  <c r="U21" i="5"/>
  <c r="V21" i="5"/>
  <c r="U29" i="5"/>
  <c r="V29" i="5"/>
  <c r="AR21" i="5"/>
  <c r="AQ21" i="5"/>
  <c r="AR31" i="5"/>
  <c r="AQ31" i="5"/>
  <c r="AR63" i="5"/>
  <c r="AQ63" i="5"/>
  <c r="AR52" i="5"/>
  <c r="AQ52" i="5"/>
  <c r="AQ90" i="5"/>
  <c r="AR90" i="5"/>
  <c r="AR88" i="5"/>
  <c r="AQ88" i="5"/>
  <c r="AR71" i="5"/>
  <c r="AQ71" i="5"/>
  <c r="AQ122" i="5"/>
  <c r="AR122" i="5"/>
  <c r="AQ138" i="5"/>
  <c r="AR138" i="5"/>
  <c r="AQ157" i="5"/>
  <c r="AR157" i="5"/>
  <c r="AR154" i="5"/>
  <c r="AQ154" i="5"/>
  <c r="AR215" i="5"/>
  <c r="AQ215" i="5"/>
  <c r="AQ209" i="5"/>
  <c r="AR209" i="5"/>
  <c r="AQ249" i="5"/>
  <c r="AR249" i="5"/>
  <c r="AQ255" i="5"/>
  <c r="AR255" i="5"/>
  <c r="AR295" i="5"/>
  <c r="AQ295" i="5"/>
  <c r="AQ312" i="5"/>
  <c r="AR312" i="5"/>
  <c r="AR246" i="5"/>
  <c r="AQ246" i="5"/>
  <c r="AQ271" i="5"/>
  <c r="AR271" i="5"/>
  <c r="AQ333" i="5"/>
  <c r="AR333" i="5"/>
  <c r="AQ409" i="5"/>
  <c r="AR409" i="5"/>
  <c r="AR353" i="5"/>
  <c r="AQ353" i="5"/>
  <c r="AQ390" i="5"/>
  <c r="AR390" i="5"/>
  <c r="AQ379" i="5"/>
  <c r="AR379" i="5"/>
  <c r="AQ450" i="5"/>
  <c r="AR450" i="5"/>
  <c r="AQ493" i="5"/>
  <c r="AR493" i="5"/>
  <c r="AR491" i="5"/>
  <c r="AQ491" i="5"/>
  <c r="AQ463" i="5"/>
  <c r="AR463" i="5"/>
  <c r="AQ482" i="5"/>
  <c r="AR482" i="5"/>
  <c r="AQ441" i="5"/>
  <c r="AR441" i="5"/>
  <c r="AQ484" i="5"/>
  <c r="AR484" i="5"/>
  <c r="AQ365" i="5"/>
  <c r="AR365" i="5"/>
  <c r="AQ432" i="5"/>
  <c r="AR432" i="5"/>
  <c r="AQ556" i="5"/>
  <c r="AR556" i="5"/>
  <c r="AQ446" i="5"/>
  <c r="AR446" i="5"/>
  <c r="AR42" i="5"/>
  <c r="AQ42" i="5"/>
  <c r="AR54" i="5"/>
  <c r="AQ54" i="5"/>
  <c r="AR66" i="5"/>
  <c r="AQ66" i="5"/>
  <c r="AQ93" i="5"/>
  <c r="AR93" i="5"/>
  <c r="AQ103" i="5"/>
  <c r="AR103" i="5"/>
  <c r="AQ91" i="5"/>
  <c r="AR91" i="5"/>
  <c r="AR89" i="5"/>
  <c r="AQ89" i="5"/>
  <c r="AR142" i="5"/>
  <c r="AQ142" i="5"/>
  <c r="AR135" i="5"/>
  <c r="AQ135" i="5"/>
  <c r="AQ131" i="5"/>
  <c r="AR131" i="5"/>
  <c r="AQ160" i="5"/>
  <c r="AR160" i="5"/>
  <c r="AQ176" i="5"/>
  <c r="AR176" i="5"/>
  <c r="AR211" i="5"/>
  <c r="AQ211" i="5"/>
  <c r="AQ221" i="5"/>
  <c r="AR221" i="5"/>
  <c r="AQ283" i="5"/>
  <c r="AR283" i="5"/>
  <c r="AQ314" i="5"/>
  <c r="AR314" i="5"/>
  <c r="AQ324" i="5"/>
  <c r="AR324" i="5"/>
  <c r="AR276" i="5"/>
  <c r="AQ276" i="5"/>
  <c r="AR286" i="5"/>
  <c r="AQ286" i="5"/>
  <c r="AR356" i="5"/>
  <c r="AQ356" i="5"/>
  <c r="AR284" i="5"/>
  <c r="AQ284" i="5"/>
  <c r="AQ397" i="5"/>
  <c r="AR397" i="5"/>
  <c r="AR262" i="5"/>
  <c r="AQ262" i="5"/>
  <c r="AR321" i="5"/>
  <c r="AQ321" i="5"/>
  <c r="AR396" i="5"/>
  <c r="AQ396" i="5"/>
  <c r="AR410" i="5"/>
  <c r="AQ410" i="5"/>
  <c r="AQ360" i="5"/>
  <c r="AR360" i="5"/>
  <c r="AR375" i="5"/>
  <c r="AQ375" i="5"/>
  <c r="AR275" i="5"/>
  <c r="AQ275" i="5"/>
  <c r="AR346" i="5"/>
  <c r="AQ346" i="5"/>
  <c r="AQ530" i="5"/>
  <c r="AR530" i="5"/>
  <c r="AR370" i="5"/>
  <c r="AQ370" i="5"/>
  <c r="AQ337" i="5"/>
  <c r="AR337" i="5"/>
  <c r="AQ459" i="5"/>
  <c r="AR459" i="5"/>
  <c r="AR377" i="5"/>
  <c r="AQ377" i="5"/>
  <c r="AQ558" i="5"/>
  <c r="AR558" i="5"/>
  <c r="AQ45" i="5"/>
  <c r="AR45" i="5"/>
  <c r="AQ70" i="5"/>
  <c r="AR70" i="5"/>
  <c r="AQ144" i="5"/>
  <c r="AR144" i="5"/>
  <c r="AQ166" i="5"/>
  <c r="AR166" i="5"/>
  <c r="AR306" i="5"/>
  <c r="AQ306" i="5"/>
  <c r="AQ364" i="5"/>
  <c r="AR364" i="5"/>
  <c r="AQ418" i="5"/>
  <c r="AR418" i="5"/>
  <c r="AQ499" i="5"/>
  <c r="AR499" i="5"/>
  <c r="AQ512" i="5"/>
  <c r="AR512" i="5"/>
  <c r="AR428" i="5"/>
  <c r="AQ428" i="5"/>
  <c r="AR542" i="5"/>
  <c r="AQ542" i="5"/>
  <c r="AR27" i="5"/>
  <c r="AQ27" i="5"/>
  <c r="AR86" i="5"/>
  <c r="AQ86" i="5"/>
  <c r="AR123" i="5"/>
  <c r="AQ123" i="5"/>
  <c r="AQ207" i="5"/>
  <c r="AR207" i="5"/>
  <c r="AQ203" i="5"/>
  <c r="AR203" i="5"/>
  <c r="AQ323" i="5"/>
  <c r="AR323" i="5"/>
  <c r="AQ502" i="5"/>
  <c r="AR502" i="5"/>
  <c r="AQ453" i="5"/>
  <c r="AR453" i="5"/>
  <c r="AQ358" i="5"/>
  <c r="AR358" i="5"/>
  <c r="U509" i="5"/>
  <c r="V509" i="5"/>
  <c r="U449" i="5"/>
  <c r="V449" i="5"/>
  <c r="U412" i="5"/>
  <c r="V412" i="5"/>
  <c r="V546" i="5"/>
  <c r="U546" i="5"/>
  <c r="V531" i="5"/>
  <c r="U531" i="5"/>
  <c r="U461" i="5"/>
  <c r="V461" i="5"/>
  <c r="U425" i="5"/>
  <c r="V425" i="5"/>
  <c r="U517" i="5"/>
  <c r="V517" i="5"/>
  <c r="U464" i="5"/>
  <c r="V464" i="5"/>
  <c r="U525" i="5"/>
  <c r="V525" i="5"/>
  <c r="V451" i="5"/>
  <c r="U451" i="5"/>
  <c r="U408" i="5"/>
  <c r="V408" i="5"/>
  <c r="U361" i="5"/>
  <c r="V361" i="5"/>
  <c r="V396" i="5"/>
  <c r="U396" i="5"/>
  <c r="V317" i="5"/>
  <c r="U317" i="5"/>
  <c r="U410" i="5"/>
  <c r="V410" i="5"/>
  <c r="U342" i="5"/>
  <c r="V342" i="5"/>
  <c r="U330" i="5"/>
  <c r="V330" i="5"/>
  <c r="U290" i="5"/>
  <c r="V290" i="5"/>
  <c r="U328" i="5"/>
  <c r="V328" i="5"/>
  <c r="V334" i="5"/>
  <c r="U334" i="5"/>
  <c r="V301" i="5"/>
  <c r="U301" i="5"/>
  <c r="U260" i="5"/>
  <c r="V260" i="5"/>
  <c r="V207" i="5"/>
  <c r="U207" i="5"/>
  <c r="V199" i="5"/>
  <c r="U199" i="5"/>
  <c r="V223" i="5"/>
  <c r="U223" i="5"/>
  <c r="U201" i="5"/>
  <c r="V201" i="5"/>
  <c r="V161" i="5"/>
  <c r="U161" i="5"/>
  <c r="U118" i="5"/>
  <c r="V118" i="5"/>
  <c r="U146" i="5"/>
  <c r="V146" i="5"/>
  <c r="U114" i="5"/>
  <c r="V114" i="5"/>
  <c r="U106" i="5"/>
  <c r="V106" i="5"/>
  <c r="V37" i="5"/>
  <c r="U37" i="5"/>
  <c r="U105" i="5"/>
  <c r="V105" i="5"/>
  <c r="V89" i="5"/>
  <c r="U89" i="5"/>
  <c r="U67" i="5"/>
  <c r="V67" i="5"/>
  <c r="U41" i="5"/>
  <c r="V41" i="5"/>
  <c r="U24" i="5"/>
  <c r="V24" i="5"/>
  <c r="AR525" i="5"/>
  <c r="AQ525" i="5"/>
  <c r="AQ544" i="5"/>
  <c r="AR544" i="5"/>
  <c r="AR43" i="5"/>
  <c r="AQ43" i="5"/>
  <c r="AQ126" i="5"/>
  <c r="AR126" i="5"/>
  <c r="AR173" i="5"/>
  <c r="AQ173" i="5"/>
  <c r="AQ191" i="5"/>
  <c r="AR191" i="5"/>
  <c r="AQ270" i="5"/>
  <c r="AR270" i="5"/>
  <c r="AQ374" i="5"/>
  <c r="AR374" i="5"/>
  <c r="AQ381" i="5"/>
  <c r="AR381" i="5"/>
  <c r="AR471" i="5"/>
  <c r="AQ471" i="5"/>
  <c r="AQ533" i="5"/>
  <c r="AR533" i="5"/>
  <c r="AR41" i="5"/>
  <c r="AQ41" i="5"/>
  <c r="AQ96" i="5"/>
  <c r="AR96" i="5"/>
  <c r="AR165" i="5"/>
  <c r="AQ165" i="5"/>
  <c r="AQ251" i="5"/>
  <c r="AR251" i="5"/>
  <c r="AQ237" i="5"/>
  <c r="AR237" i="5"/>
  <c r="AQ403" i="5"/>
  <c r="AR403" i="5"/>
  <c r="AQ494" i="5"/>
  <c r="AR494" i="5"/>
  <c r="AR553" i="5"/>
  <c r="AQ553" i="5"/>
  <c r="AQ521" i="5"/>
  <c r="AR521" i="5"/>
  <c r="AQ194" i="5"/>
  <c r="AR194" i="5"/>
  <c r="AQ274" i="5"/>
  <c r="AR274" i="5"/>
  <c r="AR319" i="5"/>
  <c r="AQ319" i="5"/>
  <c r="AQ267" i="5"/>
  <c r="AR267" i="5"/>
  <c r="AQ488" i="5"/>
  <c r="AR488" i="5"/>
  <c r="AQ452" i="5"/>
  <c r="AR452" i="5"/>
  <c r="AR552" i="5"/>
  <c r="AQ552" i="5"/>
  <c r="AR449" i="5"/>
  <c r="AQ449" i="5"/>
  <c r="AQ33" i="5"/>
  <c r="AR33" i="5"/>
  <c r="AQ60" i="5"/>
  <c r="AR60" i="5"/>
  <c r="AR114" i="5"/>
  <c r="AQ114" i="5"/>
  <c r="AR152" i="5"/>
  <c r="AQ152" i="5"/>
  <c r="AR197" i="5"/>
  <c r="AQ197" i="5"/>
  <c r="AQ213" i="5"/>
  <c r="AR213" i="5"/>
  <c r="AR196" i="5"/>
  <c r="AQ196" i="5"/>
  <c r="AR268" i="5"/>
  <c r="AQ268" i="5"/>
  <c r="AR317" i="5"/>
  <c r="AQ317" i="5"/>
  <c r="AR334" i="5"/>
  <c r="AQ334" i="5"/>
  <c r="AQ490" i="5"/>
  <c r="AR490" i="5"/>
  <c r="U19" i="5"/>
  <c r="V19" i="5"/>
  <c r="V559" i="5"/>
  <c r="U559" i="5"/>
  <c r="V552" i="5"/>
  <c r="U552" i="5"/>
  <c r="U406" i="5"/>
  <c r="V406" i="5"/>
  <c r="U465" i="5"/>
  <c r="V465" i="5"/>
  <c r="U493" i="5"/>
  <c r="V493" i="5"/>
  <c r="U457" i="5"/>
  <c r="V457" i="5"/>
  <c r="V368" i="5"/>
  <c r="U368" i="5"/>
  <c r="U501" i="5"/>
  <c r="V501" i="5"/>
  <c r="U462" i="5"/>
  <c r="V462" i="5"/>
  <c r="V537" i="5"/>
  <c r="U537" i="5"/>
  <c r="U466" i="5"/>
  <c r="V466" i="5"/>
  <c r="V355" i="5"/>
  <c r="U355" i="5"/>
  <c r="AR127" i="5"/>
  <c r="AQ127" i="5"/>
  <c r="AR58" i="5"/>
  <c r="AQ58" i="5"/>
  <c r="AR82" i="5"/>
  <c r="AQ82" i="5"/>
  <c r="AR140" i="5"/>
  <c r="AQ140" i="5"/>
  <c r="AQ223" i="5"/>
  <c r="AR223" i="5"/>
  <c r="AQ260" i="5"/>
  <c r="AR260" i="5"/>
  <c r="AR219" i="5"/>
  <c r="AQ219" i="5"/>
  <c r="AQ304" i="5"/>
  <c r="AR304" i="5"/>
  <c r="AQ359" i="5"/>
  <c r="AR359" i="5"/>
  <c r="AQ372" i="5"/>
  <c r="AR372" i="5"/>
  <c r="AQ466" i="5"/>
  <c r="AR466" i="5"/>
  <c r="AQ464" i="5"/>
  <c r="AR464" i="5"/>
  <c r="AQ498" i="5"/>
  <c r="AR498" i="5"/>
  <c r="AR547" i="5"/>
  <c r="AQ547" i="5"/>
  <c r="AR523" i="5"/>
  <c r="AQ523" i="5"/>
  <c r="AR108" i="5"/>
  <c r="AQ108" i="5"/>
  <c r="AQ171" i="5"/>
  <c r="AR171" i="5"/>
  <c r="AR227" i="5"/>
  <c r="AQ227" i="5"/>
  <c r="AR277" i="5"/>
  <c r="AQ277" i="5"/>
  <c r="AR292" i="5"/>
  <c r="AQ292" i="5"/>
  <c r="AQ180" i="5"/>
  <c r="AR180" i="5"/>
  <c r="AR352" i="5"/>
  <c r="AQ352" i="5"/>
  <c r="AR331" i="5"/>
  <c r="AQ331" i="5"/>
  <c r="AR456" i="5"/>
  <c r="AQ456" i="5"/>
  <c r="AQ272" i="5"/>
  <c r="AR272" i="5"/>
  <c r="AQ504" i="5"/>
  <c r="AR504" i="5"/>
  <c r="AR559" i="5"/>
  <c r="AQ559" i="5"/>
  <c r="AQ416" i="5"/>
  <c r="AR416" i="5"/>
  <c r="AQ509" i="5"/>
  <c r="AR509" i="5"/>
  <c r="AR555" i="5"/>
  <c r="AQ555" i="5"/>
  <c r="AQ467" i="5"/>
  <c r="AR467" i="5"/>
  <c r="AQ500" i="5"/>
  <c r="AR500" i="5"/>
  <c r="AQ534" i="5"/>
  <c r="AR534" i="5"/>
  <c r="V523" i="5"/>
  <c r="U523" i="5"/>
  <c r="U488" i="5"/>
  <c r="V488" i="5"/>
  <c r="U445" i="5"/>
  <c r="V445" i="5"/>
  <c r="V558" i="5"/>
  <c r="U558" i="5"/>
  <c r="U530" i="5"/>
  <c r="V530" i="5"/>
  <c r="U419" i="5"/>
  <c r="V419" i="5"/>
  <c r="V551" i="5"/>
  <c r="U551" i="5"/>
  <c r="U518" i="5"/>
  <c r="V518" i="5"/>
  <c r="U450" i="5"/>
  <c r="V450" i="5"/>
  <c r="U394" i="5"/>
  <c r="V394" i="5"/>
  <c r="V550" i="5"/>
  <c r="U550" i="5"/>
  <c r="V542" i="5"/>
  <c r="U542" i="5"/>
  <c r="U534" i="5"/>
  <c r="V534" i="5"/>
  <c r="U444" i="5"/>
  <c r="V444" i="5"/>
  <c r="V338" i="5"/>
  <c r="U338" i="5"/>
  <c r="V556" i="5"/>
  <c r="U556" i="5"/>
  <c r="U510" i="5"/>
  <c r="V510" i="5"/>
  <c r="U492" i="5"/>
  <c r="V492" i="5"/>
  <c r="U482" i="5"/>
  <c r="V482" i="5"/>
  <c r="U467" i="5"/>
  <c r="V467" i="5"/>
  <c r="U455" i="5"/>
  <c r="V455" i="5"/>
  <c r="V435" i="5"/>
  <c r="U435" i="5"/>
  <c r="V416" i="5"/>
  <c r="U416" i="5"/>
  <c r="U395" i="5"/>
  <c r="V395" i="5"/>
  <c r="U360" i="5"/>
  <c r="V360" i="5"/>
  <c r="U521" i="5"/>
  <c r="V521" i="5"/>
  <c r="U511" i="5"/>
  <c r="V511" i="5"/>
  <c r="U500" i="5"/>
  <c r="V500" i="5"/>
  <c r="V483" i="5"/>
  <c r="U483" i="5"/>
  <c r="V471" i="5"/>
  <c r="U471" i="5"/>
  <c r="U459" i="5"/>
  <c r="V459" i="5"/>
  <c r="U442" i="5"/>
  <c r="V442" i="5"/>
  <c r="U351" i="5"/>
  <c r="V351" i="5"/>
  <c r="U533" i="5"/>
  <c r="V533" i="5"/>
  <c r="V515" i="5"/>
  <c r="U515" i="5"/>
  <c r="U505" i="5"/>
  <c r="V505" i="5"/>
  <c r="V481" i="5"/>
  <c r="U481" i="5"/>
  <c r="U460" i="5"/>
  <c r="V460" i="5"/>
  <c r="U447" i="5"/>
  <c r="V447" i="5"/>
  <c r="U430" i="5"/>
  <c r="V430" i="5"/>
  <c r="U357" i="5"/>
  <c r="V357" i="5"/>
  <c r="U414" i="5"/>
  <c r="V414" i="5"/>
  <c r="U402" i="5"/>
  <c r="V402" i="5"/>
  <c r="V383" i="5"/>
  <c r="U383" i="5"/>
  <c r="U365" i="5"/>
  <c r="V365" i="5"/>
  <c r="U353" i="5"/>
  <c r="V353" i="5"/>
  <c r="U319" i="5"/>
  <c r="V319" i="5"/>
  <c r="U228" i="5"/>
  <c r="V228" i="5"/>
  <c r="U409" i="5"/>
  <c r="V409" i="5"/>
  <c r="V389" i="5"/>
  <c r="U389" i="5"/>
  <c r="V376" i="5"/>
  <c r="U376" i="5"/>
  <c r="U369" i="5"/>
  <c r="V369" i="5"/>
  <c r="U247" i="5"/>
  <c r="V247" i="5"/>
  <c r="U433" i="5"/>
  <c r="V433" i="5"/>
  <c r="U420" i="5"/>
  <c r="V420" i="5"/>
  <c r="U403" i="5"/>
  <c r="V403" i="5"/>
  <c r="U387" i="5"/>
  <c r="V387" i="5"/>
  <c r="U366" i="5"/>
  <c r="V366" i="5"/>
  <c r="U350" i="5"/>
  <c r="V350" i="5"/>
  <c r="V329" i="5"/>
  <c r="U329" i="5"/>
  <c r="U286" i="5"/>
  <c r="V286" i="5"/>
  <c r="U262" i="5"/>
  <c r="V262" i="5"/>
  <c r="V343" i="5"/>
  <c r="U343" i="5"/>
  <c r="V321" i="5"/>
  <c r="U321" i="5"/>
  <c r="V305" i="5"/>
  <c r="U305" i="5"/>
  <c r="V296" i="5"/>
  <c r="U296" i="5"/>
  <c r="V281" i="5"/>
  <c r="U281" i="5"/>
  <c r="U264" i="5"/>
  <c r="V264" i="5"/>
  <c r="U253" i="5"/>
  <c r="V253" i="5"/>
  <c r="U160" i="5"/>
  <c r="V160" i="5"/>
  <c r="U323" i="5"/>
  <c r="V323" i="5"/>
  <c r="U302" i="5"/>
  <c r="V302" i="5"/>
  <c r="V288" i="5"/>
  <c r="U288" i="5"/>
  <c r="U258" i="5"/>
  <c r="V258" i="5"/>
  <c r="U237" i="5"/>
  <c r="V237" i="5"/>
  <c r="V327" i="5"/>
  <c r="U327" i="5"/>
  <c r="V308" i="5"/>
  <c r="U308" i="5"/>
  <c r="V289" i="5"/>
  <c r="U289" i="5"/>
  <c r="U277" i="5"/>
  <c r="V277" i="5"/>
  <c r="U265" i="5"/>
  <c r="V265" i="5"/>
  <c r="U255" i="5"/>
  <c r="V255" i="5"/>
  <c r="U248" i="5"/>
  <c r="V248" i="5"/>
  <c r="U240" i="5"/>
  <c r="V240" i="5"/>
  <c r="U230" i="5"/>
  <c r="V230" i="5"/>
  <c r="U213" i="5"/>
  <c r="V213" i="5"/>
  <c r="U191" i="5"/>
  <c r="V191" i="5"/>
  <c r="V157" i="5"/>
  <c r="U157" i="5"/>
  <c r="U232" i="5"/>
  <c r="V232" i="5"/>
  <c r="U216" i="5"/>
  <c r="V216" i="5"/>
  <c r="U166" i="5"/>
  <c r="V166" i="5"/>
  <c r="U120" i="5"/>
  <c r="V120" i="5"/>
  <c r="V227" i="5"/>
  <c r="U227" i="5"/>
  <c r="U218" i="5"/>
  <c r="V218" i="5"/>
  <c r="U208" i="5"/>
  <c r="V208" i="5"/>
  <c r="U200" i="5"/>
  <c r="V200" i="5"/>
  <c r="U206" i="5"/>
  <c r="V206" i="5"/>
  <c r="U197" i="5"/>
  <c r="V197" i="5"/>
  <c r="V186" i="5"/>
  <c r="U186" i="5"/>
  <c r="V175" i="5"/>
  <c r="U175" i="5"/>
  <c r="U154" i="5"/>
  <c r="V154" i="5"/>
  <c r="U182" i="5"/>
  <c r="V182" i="5"/>
  <c r="U140" i="5"/>
  <c r="V140" i="5"/>
  <c r="V86" i="5"/>
  <c r="U86" i="5"/>
  <c r="V177" i="5"/>
  <c r="U177" i="5"/>
  <c r="V165" i="5"/>
  <c r="U165" i="5"/>
  <c r="U125" i="5"/>
  <c r="V125" i="5"/>
  <c r="V143" i="5"/>
  <c r="U143" i="5"/>
  <c r="U119" i="5"/>
  <c r="V119" i="5"/>
  <c r="U75" i="5"/>
  <c r="V75" i="5"/>
  <c r="U142" i="5"/>
  <c r="V142" i="5"/>
  <c r="U124" i="5"/>
  <c r="V124" i="5"/>
  <c r="V112" i="5"/>
  <c r="U112" i="5"/>
  <c r="U99" i="5"/>
  <c r="V99" i="5"/>
  <c r="U141" i="5"/>
  <c r="V141" i="5"/>
  <c r="V127" i="5"/>
  <c r="U127" i="5"/>
  <c r="U93" i="5"/>
  <c r="V93" i="5"/>
  <c r="U108" i="5"/>
  <c r="V108" i="5"/>
  <c r="U88" i="5"/>
  <c r="V88" i="5"/>
  <c r="U60" i="5"/>
  <c r="V60" i="5"/>
  <c r="U95" i="5"/>
  <c r="V95" i="5"/>
  <c r="U96" i="5"/>
  <c r="V96" i="5"/>
  <c r="U25" i="5"/>
  <c r="V25" i="5"/>
  <c r="V73" i="5"/>
  <c r="U73" i="5"/>
  <c r="U74" i="5"/>
  <c r="V74" i="5"/>
  <c r="U68" i="5"/>
  <c r="V68" i="5"/>
  <c r="V55" i="5"/>
  <c r="U55" i="5"/>
  <c r="U62" i="5"/>
  <c r="V62" i="5"/>
  <c r="U50" i="5"/>
  <c r="V50" i="5"/>
  <c r="U20" i="5"/>
  <c r="V20" i="5"/>
  <c r="U53" i="5"/>
  <c r="V53" i="5"/>
  <c r="U48" i="5"/>
  <c r="V48" i="5"/>
  <c r="U36" i="5"/>
  <c r="V36" i="5"/>
  <c r="U42" i="5"/>
  <c r="V42" i="5"/>
  <c r="V27" i="5"/>
  <c r="U27" i="5"/>
  <c r="U46" i="5"/>
  <c r="V46" i="5"/>
  <c r="V28" i="5"/>
  <c r="U28" i="5"/>
  <c r="AQ241" i="5"/>
  <c r="AR241" i="5"/>
  <c r="AR483" i="5"/>
  <c r="AQ483" i="5"/>
  <c r="AR536" i="5"/>
  <c r="AQ536" i="5"/>
  <c r="AR39" i="5"/>
  <c r="AQ39" i="5"/>
  <c r="AQ53" i="5"/>
  <c r="AR53" i="5"/>
  <c r="AQ20" i="5"/>
  <c r="AR20" i="5"/>
  <c r="AR22" i="5"/>
  <c r="AQ22" i="5"/>
  <c r="AR77" i="5"/>
  <c r="AQ77" i="5"/>
  <c r="AQ75" i="5"/>
  <c r="AR75" i="5"/>
  <c r="AQ136" i="5"/>
  <c r="AR136" i="5"/>
  <c r="AR129" i="5"/>
  <c r="AQ129" i="5"/>
  <c r="AR150" i="5"/>
  <c r="AQ150" i="5"/>
  <c r="AR111" i="5"/>
  <c r="AQ111" i="5"/>
  <c r="AR198" i="5"/>
  <c r="AQ198" i="5"/>
  <c r="AR248" i="5"/>
  <c r="AQ248" i="5"/>
  <c r="AQ238" i="5"/>
  <c r="AR238" i="5"/>
  <c r="AQ280" i="5"/>
  <c r="AR280" i="5"/>
  <c r="AQ297" i="5"/>
  <c r="AR297" i="5"/>
  <c r="AQ311" i="5"/>
  <c r="AR311" i="5"/>
  <c r="AR259" i="5"/>
  <c r="AQ259" i="5"/>
  <c r="AR335" i="5"/>
  <c r="AQ335" i="5"/>
  <c r="AQ231" i="5"/>
  <c r="AR231" i="5"/>
  <c r="AR330" i="5"/>
  <c r="AQ330" i="5"/>
  <c r="AQ401" i="5"/>
  <c r="AR401" i="5"/>
  <c r="AR420" i="5"/>
  <c r="AQ420" i="5"/>
  <c r="AR298" i="5"/>
  <c r="AQ298" i="5"/>
  <c r="AQ393" i="5"/>
  <c r="AR393" i="5"/>
  <c r="AQ339" i="5"/>
  <c r="AR339" i="5"/>
  <c r="AQ344" i="5"/>
  <c r="AR344" i="5"/>
  <c r="AR508" i="5"/>
  <c r="AQ508" i="5"/>
  <c r="AQ442" i="5"/>
  <c r="AR442" i="5"/>
  <c r="AQ475" i="5"/>
  <c r="AR475" i="5"/>
  <c r="AQ457" i="5"/>
  <c r="AR457" i="5"/>
  <c r="AQ505" i="5"/>
  <c r="AR505" i="5"/>
  <c r="AR524" i="5"/>
  <c r="AQ524" i="5"/>
  <c r="AQ204" i="5"/>
  <c r="AR204" i="5"/>
  <c r="AQ541" i="5"/>
  <c r="AR541" i="5"/>
  <c r="AR532" i="5"/>
  <c r="AQ532" i="5"/>
  <c r="AQ119" i="5"/>
  <c r="AR119" i="5"/>
  <c r="AQ29" i="5"/>
  <c r="AR29" i="5"/>
  <c r="AR24" i="5"/>
  <c r="AQ24" i="5"/>
  <c r="AR25" i="5"/>
  <c r="AQ25" i="5"/>
  <c r="AR78" i="5"/>
  <c r="AQ78" i="5"/>
  <c r="AQ79" i="5"/>
  <c r="AR79" i="5"/>
  <c r="AR141" i="5"/>
  <c r="AQ141" i="5"/>
  <c r="AQ118" i="5"/>
  <c r="AR118" i="5"/>
  <c r="AR110" i="5"/>
  <c r="AQ110" i="5"/>
  <c r="AR187" i="5"/>
  <c r="AQ187" i="5"/>
  <c r="AQ199" i="5"/>
  <c r="AR199" i="5"/>
  <c r="AR164" i="5"/>
  <c r="AQ164" i="5"/>
  <c r="AQ195" i="5"/>
  <c r="AR195" i="5"/>
  <c r="AQ233" i="5"/>
  <c r="AR233" i="5"/>
  <c r="AR250" i="5"/>
  <c r="AQ250" i="5"/>
  <c r="AQ316" i="5"/>
  <c r="AR316" i="5"/>
  <c r="AQ328" i="5"/>
  <c r="AR328" i="5"/>
  <c r="AR281" i="5"/>
  <c r="AQ281" i="5"/>
  <c r="AQ345" i="5"/>
  <c r="AR345" i="5"/>
  <c r="AQ378" i="5"/>
  <c r="AR378" i="5"/>
  <c r="AQ438" i="5"/>
  <c r="AR438" i="5"/>
  <c r="AQ451" i="5"/>
  <c r="AR451" i="5"/>
  <c r="AR496" i="5"/>
  <c r="AQ496" i="5"/>
  <c r="AQ439" i="5"/>
  <c r="AR439" i="5"/>
  <c r="AR507" i="5"/>
  <c r="AQ507" i="5"/>
  <c r="AR44" i="5"/>
  <c r="AQ44" i="5"/>
  <c r="AR26" i="5"/>
  <c r="AQ26" i="5"/>
  <c r="AQ94" i="5"/>
  <c r="AR94" i="5"/>
  <c r="AR143" i="5"/>
  <c r="AQ143" i="5"/>
  <c r="AR112" i="5"/>
  <c r="AQ112" i="5"/>
  <c r="AR214" i="5"/>
  <c r="AQ214" i="5"/>
  <c r="AR315" i="5"/>
  <c r="AQ315" i="5"/>
  <c r="AQ285" i="5"/>
  <c r="AR285" i="5"/>
  <c r="AQ326" i="5"/>
  <c r="AR326" i="5"/>
  <c r="AR350" i="5"/>
  <c r="AQ350" i="5"/>
  <c r="AR443" i="5"/>
  <c r="AQ443" i="5"/>
  <c r="AR485" i="5"/>
  <c r="AQ485" i="5"/>
  <c r="AR476" i="5"/>
  <c r="AQ476" i="5"/>
  <c r="AR389" i="5"/>
  <c r="AQ389" i="5"/>
  <c r="AQ529" i="5"/>
  <c r="AR529" i="5"/>
  <c r="AQ279" i="5"/>
  <c r="AR279" i="5"/>
  <c r="AR545" i="5"/>
  <c r="AQ545" i="5"/>
  <c r="AQ32" i="5"/>
  <c r="AR32" i="5"/>
  <c r="AR68" i="5"/>
  <c r="AQ68" i="5"/>
  <c r="AR107" i="5"/>
  <c r="AQ107" i="5"/>
  <c r="AQ106" i="5"/>
  <c r="AR106" i="5"/>
  <c r="AR125" i="5"/>
  <c r="AQ125" i="5"/>
  <c r="AQ206" i="5"/>
  <c r="AR206" i="5"/>
  <c r="AQ263" i="5"/>
  <c r="AR263" i="5"/>
  <c r="AR253" i="5"/>
  <c r="AQ253" i="5"/>
  <c r="AR411" i="5"/>
  <c r="AQ411" i="5"/>
  <c r="AR427" i="5"/>
  <c r="AQ427" i="5"/>
  <c r="AQ408" i="5"/>
  <c r="AR408" i="5"/>
  <c r="AQ468" i="5"/>
  <c r="AR468" i="5"/>
  <c r="AQ537" i="5"/>
  <c r="AR537" i="5"/>
  <c r="V476" i="5"/>
  <c r="U476" i="5"/>
  <c r="U397" i="5"/>
  <c r="V397" i="5"/>
  <c r="V553" i="5"/>
  <c r="U553" i="5"/>
  <c r="U527" i="5"/>
  <c r="V527" i="5"/>
  <c r="V541" i="5"/>
  <c r="U541" i="5"/>
  <c r="U484" i="5"/>
  <c r="V484" i="5"/>
  <c r="U346" i="5"/>
  <c r="V346" i="5"/>
  <c r="U495" i="5"/>
  <c r="V495" i="5"/>
  <c r="V487" i="5"/>
  <c r="U487" i="5"/>
  <c r="U446" i="5"/>
  <c r="V446" i="5"/>
  <c r="V374" i="5"/>
  <c r="U374" i="5"/>
  <c r="U333" i="5"/>
  <c r="V333" i="5"/>
  <c r="U496" i="5"/>
  <c r="V496" i="5"/>
  <c r="U475" i="5"/>
  <c r="V475" i="5"/>
  <c r="U431" i="5"/>
  <c r="V431" i="5"/>
  <c r="U508" i="5"/>
  <c r="V508" i="5"/>
  <c r="V494" i="5"/>
  <c r="U494" i="5"/>
  <c r="V441" i="5"/>
  <c r="U441" i="5"/>
  <c r="U384" i="5"/>
  <c r="V384" i="5"/>
  <c r="U392" i="5"/>
  <c r="V392" i="5"/>
  <c r="V340" i="5"/>
  <c r="U340" i="5"/>
  <c r="U275" i="5"/>
  <c r="V275" i="5"/>
  <c r="U385" i="5"/>
  <c r="V385" i="5"/>
  <c r="U372" i="5"/>
  <c r="V372" i="5"/>
  <c r="U424" i="5"/>
  <c r="V424" i="5"/>
  <c r="V378" i="5"/>
  <c r="U378" i="5"/>
  <c r="V362" i="5"/>
  <c r="U362" i="5"/>
  <c r="U280" i="5"/>
  <c r="V280" i="5"/>
  <c r="U354" i="5"/>
  <c r="V354" i="5"/>
  <c r="V300" i="5"/>
  <c r="U300" i="5"/>
  <c r="U259" i="5"/>
  <c r="V259" i="5"/>
  <c r="U231" i="5"/>
  <c r="V231" i="5"/>
  <c r="V292" i="5"/>
  <c r="U292" i="5"/>
  <c r="U276" i="5"/>
  <c r="V276" i="5"/>
  <c r="V318" i="5"/>
  <c r="U318" i="5"/>
  <c r="V273" i="5"/>
  <c r="U273" i="5"/>
  <c r="U176" i="5"/>
  <c r="V176" i="5"/>
  <c r="U235" i="5"/>
  <c r="V235" i="5"/>
  <c r="V174" i="5"/>
  <c r="U174" i="5"/>
  <c r="U242" i="5"/>
  <c r="V242" i="5"/>
  <c r="U150" i="5"/>
  <c r="V150" i="5"/>
  <c r="U211" i="5"/>
  <c r="V211" i="5"/>
  <c r="U203" i="5"/>
  <c r="V203" i="5"/>
  <c r="U190" i="5"/>
  <c r="V190" i="5"/>
  <c r="U79" i="5"/>
  <c r="V79" i="5"/>
  <c r="V181" i="5"/>
  <c r="U181" i="5"/>
  <c r="V171" i="5"/>
  <c r="U171" i="5"/>
  <c r="U130" i="5"/>
  <c r="V130" i="5"/>
  <c r="U131" i="5"/>
  <c r="V131" i="5"/>
  <c r="U117" i="5"/>
  <c r="V117" i="5"/>
  <c r="U136" i="5"/>
  <c r="V136" i="5"/>
  <c r="U121" i="5"/>
  <c r="V121" i="5"/>
  <c r="U83" i="5"/>
  <c r="V83" i="5"/>
  <c r="U82" i="5"/>
  <c r="V82" i="5"/>
  <c r="U76" i="5"/>
  <c r="V76" i="5"/>
  <c r="V63" i="5"/>
  <c r="U63" i="5"/>
  <c r="U30" i="5"/>
  <c r="V30" i="5"/>
  <c r="U64" i="5"/>
  <c r="V64" i="5"/>
  <c r="U22" i="5"/>
  <c r="V22" i="5"/>
  <c r="V38" i="5"/>
  <c r="U38" i="5"/>
  <c r="AQ492" i="5"/>
  <c r="AR492" i="5"/>
  <c r="AQ444" i="5"/>
  <c r="AR444" i="5"/>
  <c r="AR87" i="5"/>
  <c r="AQ87" i="5"/>
  <c r="AR115" i="5"/>
  <c r="AQ115" i="5"/>
  <c r="AR109" i="5"/>
  <c r="AQ109" i="5"/>
  <c r="AR172" i="5"/>
  <c r="AQ172" i="5"/>
  <c r="AR234" i="5"/>
  <c r="AQ234" i="5"/>
  <c r="AR265" i="5"/>
  <c r="AQ265" i="5"/>
  <c r="AR327" i="5"/>
  <c r="AQ327" i="5"/>
  <c r="AR307" i="5"/>
  <c r="AQ307" i="5"/>
  <c r="AQ394" i="5"/>
  <c r="AR394" i="5"/>
  <c r="AQ367" i="5"/>
  <c r="AR367" i="5"/>
  <c r="AQ414" i="5"/>
  <c r="AR414" i="5"/>
  <c r="AR302" i="5"/>
  <c r="AQ302" i="5"/>
  <c r="AR551" i="5"/>
  <c r="AQ551" i="5"/>
  <c r="AR413" i="5"/>
  <c r="AQ413" i="5"/>
  <c r="AR38" i="5"/>
  <c r="AQ38" i="5"/>
  <c r="AQ23" i="5"/>
  <c r="AR23" i="5"/>
  <c r="AQ69" i="5"/>
  <c r="AR69" i="5"/>
  <c r="AR153" i="5"/>
  <c r="AQ153" i="5"/>
  <c r="AQ175" i="5"/>
  <c r="AR175" i="5"/>
  <c r="AR229" i="5"/>
  <c r="AQ229" i="5"/>
  <c r="AR301" i="5"/>
  <c r="AQ301" i="5"/>
  <c r="AQ313" i="5"/>
  <c r="AR313" i="5"/>
  <c r="AQ341" i="5"/>
  <c r="AR341" i="5"/>
  <c r="AR487" i="5"/>
  <c r="AQ487" i="5"/>
  <c r="AQ516" i="5"/>
  <c r="AR516" i="5"/>
  <c r="AQ380" i="5"/>
  <c r="AR380" i="5"/>
  <c r="AR426" i="5"/>
  <c r="AQ426" i="5"/>
  <c r="AQ81" i="5"/>
  <c r="AR81" i="5"/>
  <c r="AQ146" i="5"/>
  <c r="AR146" i="5"/>
  <c r="AR184" i="5"/>
  <c r="AQ184" i="5"/>
  <c r="AQ201" i="5"/>
  <c r="AR201" i="5"/>
  <c r="AR235" i="5"/>
  <c r="AQ235" i="5"/>
  <c r="AQ258" i="5"/>
  <c r="AR258" i="5"/>
  <c r="AQ290" i="5"/>
  <c r="AR290" i="5"/>
  <c r="AQ398" i="5"/>
  <c r="AR398" i="5"/>
  <c r="AQ383" i="5"/>
  <c r="AR383" i="5"/>
  <c r="AQ384" i="5"/>
  <c r="AR384" i="5"/>
  <c r="AR363" i="5"/>
  <c r="AQ363" i="5"/>
  <c r="AQ557" i="5"/>
  <c r="AR557" i="5"/>
  <c r="AQ535" i="5"/>
  <c r="AR535" i="5"/>
  <c r="AR527" i="5"/>
  <c r="AQ527" i="5"/>
  <c r="AR193" i="5"/>
  <c r="AQ193" i="5"/>
  <c r="AQ473" i="5"/>
  <c r="AR473" i="5"/>
  <c r="AR40" i="5"/>
  <c r="AQ40" i="5"/>
  <c r="AQ73" i="5"/>
  <c r="AR73" i="5"/>
  <c r="AR98" i="5"/>
  <c r="AQ98" i="5"/>
  <c r="AR151" i="5"/>
  <c r="AQ151" i="5"/>
  <c r="AQ95" i="5"/>
  <c r="AR95" i="5"/>
  <c r="AR247" i="5"/>
  <c r="AQ247" i="5"/>
  <c r="AQ228" i="5"/>
  <c r="AR228" i="5"/>
  <c r="AR303" i="5"/>
  <c r="AQ303" i="5"/>
  <c r="AQ415" i="5"/>
  <c r="AR415" i="5"/>
  <c r="AQ407" i="5"/>
  <c r="AR407" i="5"/>
  <c r="AR385" i="5"/>
  <c r="AQ385" i="5"/>
  <c r="AQ489" i="5"/>
  <c r="AR489" i="5"/>
  <c r="AQ472" i="5"/>
  <c r="AR472" i="5"/>
  <c r="AQ440" i="5"/>
  <c r="AR440" i="5"/>
  <c r="U502" i="5"/>
  <c r="V502" i="5"/>
  <c r="V535" i="5"/>
  <c r="U535" i="5"/>
  <c r="U440" i="5"/>
  <c r="V440" i="5"/>
  <c r="U490" i="5"/>
  <c r="V490" i="5"/>
  <c r="V554" i="5"/>
  <c r="U554" i="5"/>
  <c r="U536" i="5"/>
  <c r="V536" i="5"/>
  <c r="V557" i="5"/>
  <c r="U557" i="5"/>
  <c r="U526" i="5"/>
  <c r="V526" i="5"/>
  <c r="U470" i="5"/>
  <c r="V470" i="5"/>
  <c r="U439" i="5"/>
  <c r="V439" i="5"/>
  <c r="U398" i="5"/>
  <c r="V398" i="5"/>
  <c r="U512" i="5"/>
  <c r="V512" i="5"/>
  <c r="U485" i="5"/>
  <c r="V485" i="5"/>
  <c r="U453" i="5"/>
  <c r="V453" i="5"/>
  <c r="U516" i="5"/>
  <c r="V516" i="5"/>
  <c r="V507" i="5"/>
  <c r="U507" i="5"/>
  <c r="U448" i="5"/>
  <c r="V448" i="5"/>
  <c r="V373" i="5"/>
  <c r="U373" i="5"/>
  <c r="AQ67" i="5"/>
  <c r="AR67" i="5"/>
  <c r="AR72" i="5"/>
  <c r="AQ72" i="5"/>
  <c r="AQ105" i="5"/>
  <c r="AR105" i="5"/>
  <c r="AQ148" i="5"/>
  <c r="AR148" i="5"/>
  <c r="AQ169" i="5"/>
  <c r="AR169" i="5"/>
  <c r="AR185" i="5"/>
  <c r="AQ185" i="5"/>
  <c r="AQ216" i="5"/>
  <c r="AR216" i="5"/>
  <c r="AQ222" i="5"/>
  <c r="AR222" i="5"/>
  <c r="AR287" i="5"/>
  <c r="AQ287" i="5"/>
  <c r="AQ332" i="5"/>
  <c r="AR332" i="5"/>
  <c r="AQ278" i="5"/>
  <c r="AR278" i="5"/>
  <c r="AQ289" i="5"/>
  <c r="AR289" i="5"/>
  <c r="AQ348" i="5"/>
  <c r="AR348" i="5"/>
  <c r="AQ382" i="5"/>
  <c r="AR382" i="5"/>
  <c r="AR387" i="5"/>
  <c r="AQ387" i="5"/>
  <c r="AQ305" i="5"/>
  <c r="AR305" i="5"/>
  <c r="AQ513" i="5"/>
  <c r="AR513" i="5"/>
  <c r="AQ517" i="5"/>
  <c r="AR517" i="5"/>
  <c r="AR477" i="5"/>
  <c r="AQ477" i="5"/>
  <c r="AQ549" i="5"/>
  <c r="AR549" i="5"/>
  <c r="AQ519" i="5"/>
  <c r="AR519" i="5"/>
  <c r="AQ470" i="5"/>
  <c r="AR470" i="5"/>
  <c r="AR128" i="5"/>
  <c r="AQ128" i="5"/>
  <c r="AR548" i="5"/>
  <c r="AQ548" i="5"/>
  <c r="AQ343" i="5"/>
  <c r="AR343" i="5"/>
  <c r="AR61" i="5"/>
  <c r="AQ61" i="5"/>
  <c r="AQ74" i="5"/>
  <c r="AR74" i="5"/>
  <c r="AQ124" i="5"/>
  <c r="AR124" i="5"/>
  <c r="AQ137" i="5"/>
  <c r="AR137" i="5"/>
  <c r="AQ170" i="5"/>
  <c r="AR170" i="5"/>
  <c r="AR186" i="5"/>
  <c r="AQ186" i="5"/>
  <c r="AR242" i="5"/>
  <c r="AQ242" i="5"/>
  <c r="AQ236" i="5"/>
  <c r="AR236" i="5"/>
  <c r="AQ293" i="5"/>
  <c r="AR293" i="5"/>
  <c r="AQ325" i="5"/>
  <c r="AR325" i="5"/>
  <c r="AQ310" i="5"/>
  <c r="AR310" i="5"/>
  <c r="AQ400" i="5"/>
  <c r="AR400" i="5"/>
  <c r="AQ329" i="5"/>
  <c r="AR329" i="5"/>
  <c r="AR168" i="5"/>
  <c r="AQ168" i="5"/>
  <c r="AQ445" i="5"/>
  <c r="AR445" i="5"/>
  <c r="AR514" i="5"/>
  <c r="AQ514" i="5"/>
  <c r="AR30" i="5"/>
  <c r="AQ30" i="5"/>
  <c r="AR28" i="5"/>
  <c r="AQ28" i="5"/>
  <c r="AQ36" i="5"/>
  <c r="AR36" i="5"/>
  <c r="AR48" i="5"/>
  <c r="AQ48" i="5"/>
  <c r="AR56" i="5"/>
  <c r="AQ56" i="5"/>
  <c r="AQ97" i="5"/>
  <c r="AR97" i="5"/>
  <c r="AR113" i="5"/>
  <c r="AQ113" i="5"/>
  <c r="AR104" i="5"/>
  <c r="AQ104" i="5"/>
  <c r="AR99" i="5"/>
  <c r="AQ99" i="5"/>
  <c r="AQ134" i="5"/>
  <c r="AR134" i="5"/>
  <c r="AR158" i="5"/>
  <c r="AQ158" i="5"/>
  <c r="AR149" i="5"/>
  <c r="AQ149" i="5"/>
  <c r="AR162" i="5"/>
  <c r="AQ162" i="5"/>
  <c r="AR192" i="5"/>
  <c r="AQ192" i="5"/>
  <c r="AR212" i="5"/>
  <c r="AQ212" i="5"/>
  <c r="AQ252" i="5"/>
  <c r="AR252" i="5"/>
  <c r="AQ264" i="5"/>
  <c r="AR264" i="5"/>
  <c r="AQ300" i="5"/>
  <c r="AR300" i="5"/>
  <c r="AQ338" i="5"/>
  <c r="AR338" i="5"/>
  <c r="AQ424" i="5"/>
  <c r="AR424" i="5"/>
  <c r="AQ437" i="5"/>
  <c r="AR437" i="5"/>
  <c r="AR355" i="5"/>
  <c r="AQ355" i="5"/>
  <c r="AQ202" i="5"/>
  <c r="AR202" i="5"/>
  <c r="AQ351" i="5"/>
  <c r="AR351" i="5"/>
  <c r="AQ361" i="5"/>
  <c r="AR361" i="5"/>
  <c r="AQ404" i="5"/>
  <c r="AR404" i="5"/>
  <c r="AQ294" i="5"/>
  <c r="AR294" i="5"/>
  <c r="AQ497" i="5"/>
  <c r="AR497" i="5"/>
  <c r="AQ462" i="5"/>
  <c r="AR462" i="5"/>
  <c r="AQ531" i="5"/>
  <c r="AR531" i="5"/>
  <c r="AQ506" i="5"/>
  <c r="AR506" i="5"/>
  <c r="AQ455" i="5"/>
  <c r="AR455" i="5"/>
  <c r="AQ560" i="5"/>
  <c r="AR560" i="5"/>
  <c r="AQ50" i="5"/>
  <c r="AR50" i="5"/>
  <c r="AQ59" i="5"/>
  <c r="AR59" i="5"/>
  <c r="AR80" i="5"/>
  <c r="AQ80" i="5"/>
  <c r="AR85" i="5"/>
  <c r="AQ85" i="5"/>
  <c r="AR120" i="5"/>
  <c r="AQ120" i="5"/>
  <c r="AR147" i="5"/>
  <c r="AQ147" i="5"/>
  <c r="AQ161" i="5"/>
  <c r="AR161" i="5"/>
  <c r="AQ167" i="5"/>
  <c r="AR167" i="5"/>
  <c r="AQ208" i="5"/>
  <c r="AR208" i="5"/>
  <c r="AQ220" i="5"/>
  <c r="AR220" i="5"/>
  <c r="AR225" i="5"/>
  <c r="AQ225" i="5"/>
  <c r="AQ320" i="5"/>
  <c r="AR320" i="5"/>
  <c r="AR266" i="5"/>
  <c r="AQ266" i="5"/>
  <c r="AR308" i="5"/>
  <c r="AQ308" i="5"/>
  <c r="AQ269" i="5"/>
  <c r="AR269" i="5"/>
  <c r="AR288" i="5"/>
  <c r="AQ288" i="5"/>
  <c r="AR342" i="5"/>
  <c r="AQ342" i="5"/>
  <c r="AR366" i="5"/>
  <c r="AQ366" i="5"/>
  <c r="AQ388" i="5"/>
  <c r="AR388" i="5"/>
  <c r="AQ429" i="5"/>
  <c r="AR429" i="5"/>
  <c r="AQ362" i="5"/>
  <c r="AR362" i="5"/>
  <c r="AR376" i="5"/>
  <c r="AQ376" i="5"/>
  <c r="AQ518" i="5"/>
  <c r="AR518" i="5"/>
  <c r="AR501" i="5"/>
  <c r="AQ501" i="5"/>
  <c r="AQ399" i="5"/>
  <c r="AR399" i="5"/>
  <c r="AQ478" i="5"/>
  <c r="AR478" i="5"/>
  <c r="AR550" i="5"/>
  <c r="AQ550" i="5"/>
  <c r="AR479" i="5"/>
  <c r="AQ479" i="5"/>
  <c r="AQ539" i="5"/>
  <c r="AR539" i="5"/>
  <c r="AQ465" i="5"/>
  <c r="AR465" i="5"/>
  <c r="AQ526" i="5"/>
  <c r="AR526" i="5"/>
  <c r="AQ395" i="5"/>
  <c r="AR395" i="5"/>
  <c r="AQ430" i="5"/>
  <c r="AR430" i="5"/>
  <c r="U520" i="5"/>
  <c r="V520" i="5"/>
  <c r="U479" i="5"/>
  <c r="V479" i="5"/>
  <c r="U423" i="5"/>
  <c r="V423" i="5"/>
  <c r="V549" i="5"/>
  <c r="U549" i="5"/>
  <c r="U528" i="5"/>
  <c r="V528" i="5"/>
  <c r="V555" i="5"/>
  <c r="U555" i="5"/>
  <c r="V543" i="5"/>
  <c r="U543" i="5"/>
  <c r="U514" i="5"/>
  <c r="V514" i="5"/>
  <c r="U426" i="5"/>
  <c r="V426" i="5"/>
  <c r="V544" i="5"/>
  <c r="U544" i="5"/>
  <c r="V548" i="5"/>
  <c r="U548" i="5"/>
  <c r="V540" i="5"/>
  <c r="U540" i="5"/>
  <c r="V529" i="5"/>
  <c r="U529" i="5"/>
  <c r="U352" i="5"/>
  <c r="V352" i="5"/>
  <c r="V304" i="5"/>
  <c r="U304" i="5"/>
  <c r="V538" i="5"/>
  <c r="U538" i="5"/>
  <c r="U506" i="5"/>
  <c r="V506" i="5"/>
  <c r="V489" i="5"/>
  <c r="U489" i="5"/>
  <c r="U477" i="5"/>
  <c r="V477" i="5"/>
  <c r="U463" i="5"/>
  <c r="V463" i="5"/>
  <c r="U452" i="5"/>
  <c r="V452" i="5"/>
  <c r="U434" i="5"/>
  <c r="V434" i="5"/>
  <c r="U413" i="5"/>
  <c r="V413" i="5"/>
  <c r="U377" i="5"/>
  <c r="V377" i="5"/>
  <c r="U358" i="5"/>
  <c r="V358" i="5"/>
  <c r="U519" i="5"/>
  <c r="V519" i="5"/>
  <c r="U504" i="5"/>
  <c r="V504" i="5"/>
  <c r="U498" i="5"/>
  <c r="V498" i="5"/>
  <c r="U480" i="5"/>
  <c r="V480" i="5"/>
  <c r="U468" i="5"/>
  <c r="V468" i="5"/>
  <c r="V456" i="5"/>
  <c r="U456" i="5"/>
  <c r="U438" i="5"/>
  <c r="V438" i="5"/>
  <c r="U347" i="5"/>
  <c r="V347" i="5"/>
  <c r="U532" i="5"/>
  <c r="V532" i="5"/>
  <c r="V513" i="5"/>
  <c r="U513" i="5"/>
  <c r="V499" i="5"/>
  <c r="U499" i="5"/>
  <c r="U478" i="5"/>
  <c r="V478" i="5"/>
  <c r="U458" i="5"/>
  <c r="V458" i="5"/>
  <c r="U443" i="5"/>
  <c r="V443" i="5"/>
  <c r="V428" i="5"/>
  <c r="U428" i="5"/>
  <c r="U324" i="5"/>
  <c r="V324" i="5"/>
  <c r="U411" i="5"/>
  <c r="V411" i="5"/>
  <c r="U399" i="5"/>
  <c r="V399" i="5"/>
  <c r="V382" i="5"/>
  <c r="U382" i="5"/>
  <c r="U363" i="5"/>
  <c r="V363" i="5"/>
  <c r="V348" i="5"/>
  <c r="U348" i="5"/>
  <c r="V294" i="5"/>
  <c r="U294" i="5"/>
  <c r="U195" i="5"/>
  <c r="V195" i="5"/>
  <c r="V407" i="5"/>
  <c r="U407" i="5"/>
  <c r="V386" i="5"/>
  <c r="U386" i="5"/>
  <c r="U375" i="5"/>
  <c r="V375" i="5"/>
  <c r="U341" i="5"/>
  <c r="V341" i="5"/>
  <c r="U214" i="5"/>
  <c r="V214" i="5"/>
  <c r="V429" i="5"/>
  <c r="U429" i="5"/>
  <c r="V415" i="5"/>
  <c r="U415" i="5"/>
  <c r="U400" i="5"/>
  <c r="V400" i="5"/>
  <c r="V381" i="5"/>
  <c r="U381" i="5"/>
  <c r="V364" i="5"/>
  <c r="U364" i="5"/>
  <c r="U345" i="5"/>
  <c r="V345" i="5"/>
  <c r="V315" i="5"/>
  <c r="U315" i="5"/>
  <c r="V283" i="5"/>
  <c r="U283" i="5"/>
  <c r="V356" i="5"/>
  <c r="U356" i="5"/>
  <c r="U335" i="5"/>
  <c r="V335" i="5"/>
  <c r="V320" i="5"/>
  <c r="U320" i="5"/>
  <c r="V303" i="5"/>
  <c r="U303" i="5"/>
  <c r="V293" i="5"/>
  <c r="U293" i="5"/>
  <c r="U271" i="5"/>
  <c r="V271" i="5"/>
  <c r="U261" i="5"/>
  <c r="V261" i="5"/>
  <c r="U246" i="5"/>
  <c r="V246" i="5"/>
  <c r="U331" i="5"/>
  <c r="V331" i="5"/>
  <c r="V316" i="5"/>
  <c r="U316" i="5"/>
  <c r="V299" i="5"/>
  <c r="U299" i="5"/>
  <c r="V284" i="5"/>
  <c r="U284" i="5"/>
  <c r="U251" i="5"/>
  <c r="V251" i="5"/>
  <c r="U135" i="5"/>
  <c r="V135" i="5"/>
  <c r="V322" i="5"/>
  <c r="U322" i="5"/>
  <c r="V306" i="5"/>
  <c r="U306" i="5"/>
  <c r="V282" i="5"/>
  <c r="U282" i="5"/>
  <c r="U274" i="5"/>
  <c r="V274" i="5"/>
  <c r="V263" i="5"/>
  <c r="U263" i="5"/>
  <c r="U254" i="5"/>
  <c r="V254" i="5"/>
  <c r="U241" i="5"/>
  <c r="V241" i="5"/>
  <c r="U236" i="5"/>
  <c r="V236" i="5"/>
  <c r="U225" i="5"/>
  <c r="V225" i="5"/>
  <c r="U210" i="5"/>
  <c r="V210" i="5"/>
  <c r="U180" i="5"/>
  <c r="V180" i="5"/>
  <c r="U243" i="5"/>
  <c r="V243" i="5"/>
  <c r="U229" i="5"/>
  <c r="V229" i="5"/>
  <c r="U212" i="5"/>
  <c r="V212" i="5"/>
  <c r="V159" i="5"/>
  <c r="U159" i="5"/>
  <c r="U245" i="5"/>
  <c r="V245" i="5"/>
  <c r="U224" i="5"/>
  <c r="V224" i="5"/>
  <c r="V215" i="5"/>
  <c r="U215" i="5"/>
  <c r="U205" i="5"/>
  <c r="V205" i="5"/>
  <c r="U196" i="5"/>
  <c r="V196" i="5"/>
  <c r="U204" i="5"/>
  <c r="V204" i="5"/>
  <c r="U194" i="5"/>
  <c r="V194" i="5"/>
  <c r="V185" i="5"/>
  <c r="U185" i="5"/>
  <c r="U172" i="5"/>
  <c r="V172" i="5"/>
  <c r="U100" i="5"/>
  <c r="V100" i="5"/>
  <c r="U170" i="5"/>
  <c r="V170" i="5"/>
  <c r="U133" i="5"/>
  <c r="V133" i="5"/>
  <c r="U187" i="5"/>
  <c r="V187" i="5"/>
  <c r="V173" i="5"/>
  <c r="U173" i="5"/>
  <c r="V149" i="5"/>
  <c r="U149" i="5"/>
  <c r="U152" i="5"/>
  <c r="V152" i="5"/>
  <c r="U138" i="5"/>
  <c r="V138" i="5"/>
  <c r="U115" i="5"/>
  <c r="V115" i="5"/>
  <c r="V156" i="5"/>
  <c r="U156" i="5"/>
  <c r="V137" i="5"/>
  <c r="U137" i="5"/>
  <c r="U123" i="5"/>
  <c r="V123" i="5"/>
  <c r="U109" i="5"/>
  <c r="V109" i="5"/>
  <c r="U84" i="5"/>
  <c r="V84" i="5"/>
  <c r="U139" i="5"/>
  <c r="V139" i="5"/>
  <c r="U126" i="5"/>
  <c r="V126" i="5"/>
  <c r="U87" i="5"/>
  <c r="V87" i="5"/>
  <c r="U101" i="5"/>
  <c r="V101" i="5"/>
  <c r="U85" i="5"/>
  <c r="V85" i="5"/>
  <c r="U107" i="5"/>
  <c r="V107" i="5"/>
  <c r="U69" i="5"/>
  <c r="V69" i="5"/>
  <c r="U94" i="5"/>
  <c r="V94" i="5"/>
  <c r="U92" i="5"/>
  <c r="V92" i="5"/>
  <c r="V61" i="5"/>
  <c r="U61" i="5"/>
  <c r="U80" i="5"/>
  <c r="V80" i="5"/>
  <c r="U66" i="5"/>
  <c r="V66" i="5"/>
  <c r="V35" i="5"/>
  <c r="U35" i="5"/>
  <c r="V59" i="5"/>
  <c r="U59" i="5"/>
  <c r="U33" i="5"/>
  <c r="V33" i="5"/>
  <c r="U70" i="5"/>
  <c r="V70" i="5"/>
  <c r="U52" i="5"/>
  <c r="V52" i="5"/>
  <c r="U47" i="5"/>
  <c r="V47" i="5"/>
  <c r="U34" i="5"/>
  <c r="V34" i="5"/>
  <c r="U39" i="5"/>
  <c r="V39" i="5"/>
  <c r="V26" i="5"/>
  <c r="U26" i="5"/>
  <c r="V44" i="5"/>
  <c r="U44" i="5"/>
  <c r="AQ130" i="5"/>
  <c r="AR130" i="5"/>
  <c r="AQ51" i="5"/>
  <c r="AR51" i="5"/>
  <c r="AQ62" i="5"/>
  <c r="AR62" i="5"/>
  <c r="AR102" i="5"/>
  <c r="AQ102" i="5"/>
  <c r="AQ156" i="5"/>
  <c r="AR156" i="5"/>
  <c r="AQ84" i="5"/>
  <c r="AR84" i="5"/>
  <c r="AQ183" i="5"/>
  <c r="AR183" i="5"/>
  <c r="AR181" i="5"/>
  <c r="AQ181" i="5"/>
  <c r="AQ189" i="5"/>
  <c r="AR189" i="5"/>
  <c r="AR243" i="5"/>
  <c r="AQ243" i="5"/>
  <c r="AQ230" i="5"/>
  <c r="AR230" i="5"/>
  <c r="AQ205" i="5"/>
  <c r="AR205" i="5"/>
  <c r="AQ282" i="5"/>
  <c r="AR282" i="5"/>
  <c r="AQ200" i="5"/>
  <c r="AR200" i="5"/>
  <c r="AQ354" i="5"/>
  <c r="AR354" i="5"/>
  <c r="AQ226" i="5"/>
  <c r="AR226" i="5"/>
  <c r="AQ373" i="5"/>
  <c r="AR373" i="5"/>
  <c r="AQ256" i="5"/>
  <c r="AR256" i="5"/>
  <c r="AQ481" i="5"/>
  <c r="AR481" i="5"/>
  <c r="AR522" i="5"/>
  <c r="AQ522" i="5"/>
  <c r="AQ357" i="5"/>
  <c r="AR357" i="5"/>
  <c r="AR422" i="5"/>
  <c r="AQ422" i="5"/>
  <c r="AQ458" i="5"/>
  <c r="AR458" i="5"/>
  <c r="AQ423" i="5"/>
  <c r="AR423" i="5"/>
  <c r="AQ480" i="5"/>
  <c r="AR480" i="5"/>
  <c r="AQ520" i="5"/>
  <c r="AR520" i="5"/>
  <c r="AQ511" i="5"/>
  <c r="AR511" i="5"/>
  <c r="AR503" i="5"/>
  <c r="AQ503" i="5"/>
  <c r="AQ538" i="5"/>
  <c r="AR538" i="5"/>
  <c r="AQ64" i="5"/>
  <c r="AR64" i="5"/>
  <c r="AQ217" i="5"/>
  <c r="AR217" i="5"/>
  <c r="AR47" i="5"/>
  <c r="AQ47" i="5"/>
  <c r="AQ65" i="5"/>
  <c r="AR65" i="5"/>
  <c r="AQ55" i="5"/>
  <c r="AR55" i="5"/>
  <c r="AR121" i="5"/>
  <c r="AQ121" i="5"/>
  <c r="AQ92" i="5"/>
  <c r="AR92" i="5"/>
  <c r="AQ139" i="5"/>
  <c r="AR139" i="5"/>
  <c r="AR177" i="5"/>
  <c r="AQ177" i="5"/>
  <c r="AR182" i="5"/>
  <c r="AQ182" i="5"/>
  <c r="AR133" i="5"/>
  <c r="AQ133" i="5"/>
  <c r="AR190" i="5"/>
  <c r="AQ190" i="5"/>
  <c r="AR239" i="5"/>
  <c r="AQ239" i="5"/>
  <c r="AR159" i="5"/>
  <c r="AQ159" i="5"/>
  <c r="AR240" i="5"/>
  <c r="AQ240" i="5"/>
  <c r="AR257" i="5"/>
  <c r="AQ257" i="5"/>
  <c r="AR210" i="5"/>
  <c r="AQ210" i="5"/>
  <c r="AQ261" i="5"/>
  <c r="AR261" i="5"/>
  <c r="AQ296" i="5"/>
  <c r="AR296" i="5"/>
  <c r="AQ336" i="5"/>
  <c r="AR336" i="5"/>
  <c r="AR421" i="5"/>
  <c r="AQ421" i="5"/>
  <c r="AQ340" i="5"/>
  <c r="AR340" i="5"/>
  <c r="AQ368" i="5"/>
  <c r="AR368" i="5"/>
  <c r="AQ386" i="5"/>
  <c r="AR386" i="5"/>
  <c r="AR347" i="5"/>
  <c r="AQ347" i="5"/>
  <c r="AQ402" i="5"/>
  <c r="AR402" i="5"/>
  <c r="AQ417" i="5"/>
  <c r="AR417" i="5"/>
  <c r="AQ412" i="5"/>
  <c r="AR412" i="5"/>
  <c r="AQ510" i="5"/>
  <c r="AR510" i="5"/>
  <c r="AQ447" i="5"/>
  <c r="AR447" i="5"/>
  <c r="AQ460" i="5"/>
  <c r="AR460" i="5"/>
  <c r="AQ117" i="5"/>
  <c r="AR117" i="5"/>
  <c r="B114" i="2"/>
  <c r="B89" i="2"/>
  <c r="B85" i="2"/>
  <c r="B81" i="2"/>
  <c r="AU15" i="4" l="1"/>
  <c r="AV15" i="4" s="1"/>
  <c r="AX15" i="4"/>
  <c r="AY15" i="4" s="1"/>
  <c r="AU36" i="4"/>
  <c r="AV36" i="4" s="1"/>
  <c r="AX36" i="4"/>
  <c r="AY36" i="4" s="1"/>
  <c r="AX92" i="4"/>
  <c r="AY92" i="4" s="1"/>
  <c r="AU92" i="4"/>
  <c r="AV92" i="4" s="1"/>
  <c r="AU156" i="4"/>
  <c r="AV156" i="4" s="1"/>
  <c r="AX156" i="4"/>
  <c r="AY156" i="4" s="1"/>
  <c r="AX87" i="4"/>
  <c r="AU87" i="4"/>
  <c r="AV87" i="4" s="1"/>
  <c r="AU151" i="4"/>
  <c r="AV151" i="4" s="1"/>
  <c r="AX151" i="4"/>
  <c r="AY151" i="4" s="1"/>
  <c r="AU85" i="4"/>
  <c r="AV85" i="4" s="1"/>
  <c r="AX85" i="4"/>
  <c r="AY85" i="4" s="1"/>
  <c r="AX149" i="4"/>
  <c r="AY149" i="4" s="1"/>
  <c r="AU149" i="4"/>
  <c r="AV149" i="4" s="1"/>
  <c r="AU78" i="4"/>
  <c r="AV78" i="4" s="1"/>
  <c r="AX78" i="4"/>
  <c r="AU142" i="4"/>
  <c r="AV142" i="4" s="1"/>
  <c r="AX142" i="4"/>
  <c r="AY142" i="4" s="1"/>
  <c r="AU14" i="4"/>
  <c r="AV14" i="4" s="1"/>
  <c r="AX14" i="4"/>
  <c r="AY14" i="4" s="1"/>
  <c r="AX157" i="4"/>
  <c r="AU157" i="4"/>
  <c r="AV157" i="4" s="1"/>
  <c r="AU25" i="4"/>
  <c r="AV25" i="4" s="1"/>
  <c r="AX25" i="4"/>
  <c r="AY25" i="4" s="1"/>
  <c r="AU49" i="4"/>
  <c r="AV49" i="4" s="1"/>
  <c r="AX49" i="4"/>
  <c r="AY49" i="4" s="1"/>
  <c r="AX113" i="4"/>
  <c r="AY113" i="4" s="1"/>
  <c r="AU113" i="4"/>
  <c r="AV113" i="4" s="1"/>
  <c r="AX42" i="4"/>
  <c r="AY42" i="4" s="1"/>
  <c r="AU42" i="4"/>
  <c r="AV42" i="4" s="1"/>
  <c r="AX106" i="4"/>
  <c r="AU106" i="4"/>
  <c r="AV106" i="4" s="1"/>
  <c r="AX32" i="4"/>
  <c r="AU32" i="4"/>
  <c r="AV32" i="4" s="1"/>
  <c r="AU104" i="4"/>
  <c r="AV104" i="4" s="1"/>
  <c r="AX104" i="4"/>
  <c r="AY104" i="4" s="1"/>
  <c r="AX26" i="4"/>
  <c r="AY26" i="4" s="1"/>
  <c r="AU26" i="4"/>
  <c r="AV26" i="4" s="1"/>
  <c r="AU99" i="4"/>
  <c r="AV99" i="4" s="1"/>
  <c r="AX99" i="4"/>
  <c r="AY99" i="4" s="1"/>
  <c r="AX13" i="4"/>
  <c r="AY13" i="4" s="1"/>
  <c r="AU13" i="4"/>
  <c r="AV13" i="4" s="1"/>
  <c r="AU68" i="4"/>
  <c r="AV68" i="4" s="1"/>
  <c r="AX68" i="4"/>
  <c r="AY68" i="4" s="1"/>
  <c r="AX45" i="4"/>
  <c r="AY45" i="4" s="1"/>
  <c r="AU45" i="4"/>
  <c r="AV45" i="4" s="1"/>
  <c r="AX21" i="4"/>
  <c r="AY21" i="4" s="1"/>
  <c r="AU21" i="4"/>
  <c r="AV21" i="4" s="1"/>
  <c r="AX34" i="4"/>
  <c r="AU34" i="4"/>
  <c r="AV34" i="4" s="1"/>
  <c r="AX105" i="4"/>
  <c r="AU105" i="4"/>
  <c r="AV105" i="4" s="1"/>
  <c r="AX24" i="4"/>
  <c r="AY24" i="4" s="1"/>
  <c r="AU24" i="4"/>
  <c r="AV24" i="4" s="1"/>
  <c r="AX98" i="4"/>
  <c r="AY98" i="4" s="1"/>
  <c r="AU98" i="4"/>
  <c r="AV98" i="4" s="1"/>
  <c r="AU12" i="4"/>
  <c r="AV12" i="4" s="1"/>
  <c r="AX12" i="4"/>
  <c r="AY12" i="4" s="1"/>
  <c r="AU96" i="4"/>
  <c r="AV96" i="4" s="1"/>
  <c r="AX96" i="4"/>
  <c r="AY96" i="4" s="1"/>
  <c r="AX10" i="4"/>
  <c r="AY10" i="4" s="1"/>
  <c r="AU10" i="4"/>
  <c r="AV10" i="4" s="1"/>
  <c r="AU91" i="4"/>
  <c r="AV91" i="4" s="1"/>
  <c r="AX91" i="4"/>
  <c r="AY91" i="4" s="1"/>
  <c r="AX155" i="4"/>
  <c r="AY155" i="4" s="1"/>
  <c r="AU155" i="4"/>
  <c r="AV155" i="4" s="1"/>
  <c r="AX84" i="4"/>
  <c r="AY84" i="4" s="1"/>
  <c r="AU84" i="4"/>
  <c r="AV84" i="4" s="1"/>
  <c r="AX79" i="4"/>
  <c r="AU79" i="4"/>
  <c r="AV79" i="4" s="1"/>
  <c r="AU77" i="4"/>
  <c r="AV77" i="4" s="1"/>
  <c r="AX77" i="4"/>
  <c r="AY77" i="4" s="1"/>
  <c r="AU70" i="4"/>
  <c r="AV70" i="4" s="1"/>
  <c r="AX70" i="4"/>
  <c r="AY70" i="4" s="1"/>
  <c r="AY106" i="4"/>
  <c r="AY105" i="4"/>
  <c r="AU23" i="4"/>
  <c r="AV23" i="4" s="1"/>
  <c r="AX23" i="4"/>
  <c r="AY23" i="4" s="1"/>
  <c r="AU44" i="4"/>
  <c r="AV44" i="4" s="1"/>
  <c r="AX44" i="4"/>
  <c r="AY44" i="4" s="1"/>
  <c r="AX108" i="4"/>
  <c r="AY108" i="4" s="1"/>
  <c r="AU108" i="4"/>
  <c r="AV108" i="4" s="1"/>
  <c r="AU38" i="4"/>
  <c r="AV38" i="4" s="1"/>
  <c r="AX38" i="4"/>
  <c r="AY38" i="4" s="1"/>
  <c r="AX103" i="4"/>
  <c r="AY103" i="4" s="1"/>
  <c r="AU103" i="4"/>
  <c r="AV103" i="4" s="1"/>
  <c r="AX18" i="4"/>
  <c r="AY18" i="4" s="1"/>
  <c r="AU18" i="4"/>
  <c r="AV18" i="4" s="1"/>
  <c r="AU101" i="4"/>
  <c r="AV101" i="4" s="1"/>
  <c r="AX101" i="4"/>
  <c r="AY101" i="4" s="1"/>
  <c r="AU22" i="4"/>
  <c r="AV22" i="4" s="1"/>
  <c r="AX22" i="4"/>
  <c r="AY22" i="4" s="1"/>
  <c r="AU94" i="4"/>
  <c r="AV94" i="4" s="1"/>
  <c r="AX94" i="4"/>
  <c r="AY94" i="4" s="1"/>
  <c r="AU8" i="4"/>
  <c r="AX8" i="4"/>
  <c r="AX95" i="4"/>
  <c r="AY95" i="4" s="1"/>
  <c r="AU95" i="4"/>
  <c r="AV95" i="4" s="1"/>
  <c r="AU86" i="4"/>
  <c r="AV86" i="4" s="1"/>
  <c r="AX86" i="4"/>
  <c r="AY86" i="4" s="1"/>
  <c r="AU33" i="4"/>
  <c r="AV33" i="4" s="1"/>
  <c r="AX33" i="4"/>
  <c r="AY33" i="4" s="1"/>
  <c r="AU65" i="4"/>
  <c r="AV65" i="4" s="1"/>
  <c r="AX65" i="4"/>
  <c r="AY65" i="4" s="1"/>
  <c r="AX129" i="4"/>
  <c r="AY129" i="4" s="1"/>
  <c r="AU129" i="4"/>
  <c r="AV129" i="4" s="1"/>
  <c r="AX58" i="4"/>
  <c r="AY58" i="4" s="1"/>
  <c r="AU58" i="4"/>
  <c r="AV58" i="4" s="1"/>
  <c r="AX122" i="4"/>
  <c r="AY122" i="4" s="1"/>
  <c r="AU122" i="4"/>
  <c r="AV122" i="4" s="1"/>
  <c r="AX56" i="4"/>
  <c r="AY56" i="4" s="1"/>
  <c r="AU56" i="4"/>
  <c r="AV56" i="4" s="1"/>
  <c r="AU120" i="4"/>
  <c r="AV120" i="4" s="1"/>
  <c r="AX120" i="4"/>
  <c r="AY120" i="4" s="1"/>
  <c r="AU51" i="4"/>
  <c r="AV51" i="4" s="1"/>
  <c r="AX51" i="4"/>
  <c r="AY51" i="4" s="1"/>
  <c r="AU115" i="4"/>
  <c r="AV115" i="4" s="1"/>
  <c r="AX115" i="4"/>
  <c r="AY115" i="4" s="1"/>
  <c r="AX132" i="4"/>
  <c r="AY132" i="4" s="1"/>
  <c r="AU132" i="4"/>
  <c r="AV132" i="4" s="1"/>
  <c r="AU109" i="4"/>
  <c r="AV109" i="4" s="1"/>
  <c r="AX109" i="4"/>
  <c r="AY109" i="4" s="1"/>
  <c r="AX29" i="4"/>
  <c r="AY29" i="4" s="1"/>
  <c r="AU29" i="4"/>
  <c r="AV29" i="4" s="1"/>
  <c r="AU57" i="4"/>
  <c r="AV57" i="4" s="1"/>
  <c r="AX57" i="4"/>
  <c r="AY57" i="4" s="1"/>
  <c r="AX121" i="4"/>
  <c r="AY121" i="4" s="1"/>
  <c r="AU121" i="4"/>
  <c r="AV121" i="4" s="1"/>
  <c r="AX50" i="4"/>
  <c r="AY50" i="4" s="1"/>
  <c r="AU50" i="4"/>
  <c r="AV50" i="4" s="1"/>
  <c r="AX114" i="4"/>
  <c r="AY114" i="4" s="1"/>
  <c r="AU114" i="4"/>
  <c r="AV114" i="4" s="1"/>
  <c r="AX48" i="4"/>
  <c r="AY48" i="4" s="1"/>
  <c r="AU48" i="4"/>
  <c r="AV48" i="4" s="1"/>
  <c r="AU112" i="4"/>
  <c r="AV112" i="4" s="1"/>
  <c r="AX112" i="4"/>
  <c r="AY112" i="4" s="1"/>
  <c r="AU43" i="4"/>
  <c r="AV43" i="4" s="1"/>
  <c r="AX43" i="4"/>
  <c r="AY43" i="4" s="1"/>
  <c r="AU107" i="4"/>
  <c r="AV107" i="4" s="1"/>
  <c r="AX107" i="4"/>
  <c r="AY107" i="4" s="1"/>
  <c r="AU27" i="4"/>
  <c r="AV27" i="4" s="1"/>
  <c r="AX27" i="4"/>
  <c r="AY27" i="4" s="1"/>
  <c r="AX116" i="4"/>
  <c r="AY116" i="4" s="1"/>
  <c r="AU116" i="4"/>
  <c r="AV116" i="4" s="1"/>
  <c r="AX127" i="4"/>
  <c r="AY127" i="4" s="1"/>
  <c r="AU127" i="4"/>
  <c r="AV127" i="4" s="1"/>
  <c r="AU125" i="4"/>
  <c r="AV125" i="4" s="1"/>
  <c r="AX125" i="4"/>
  <c r="AY125" i="4" s="1"/>
  <c r="AU118" i="4"/>
  <c r="AV118" i="4" s="1"/>
  <c r="AX118" i="4"/>
  <c r="AY118" i="4" s="1"/>
  <c r="AY32" i="4"/>
  <c r="AY78" i="4"/>
  <c r="AY87" i="4"/>
  <c r="AY79" i="4"/>
  <c r="AU31" i="4"/>
  <c r="AV31" i="4" s="1"/>
  <c r="AX31" i="4"/>
  <c r="AY31" i="4" s="1"/>
  <c r="AU60" i="4"/>
  <c r="AV60" i="4" s="1"/>
  <c r="AX60" i="4"/>
  <c r="AY60" i="4" s="1"/>
  <c r="AX124" i="4"/>
  <c r="AY124" i="4" s="1"/>
  <c r="AU124" i="4"/>
  <c r="AV124" i="4" s="1"/>
  <c r="AU55" i="4"/>
  <c r="AV55" i="4" s="1"/>
  <c r="AX55" i="4"/>
  <c r="AY55" i="4" s="1"/>
  <c r="AX119" i="4"/>
  <c r="AY119" i="4" s="1"/>
  <c r="AU119" i="4"/>
  <c r="AV119" i="4" s="1"/>
  <c r="AX53" i="4"/>
  <c r="AU53" i="4"/>
  <c r="AV53" i="4" s="1"/>
  <c r="AU117" i="4"/>
  <c r="AV117" i="4" s="1"/>
  <c r="AX117" i="4"/>
  <c r="AU46" i="4"/>
  <c r="AV46" i="4" s="1"/>
  <c r="AX46" i="4"/>
  <c r="AY46" i="4" s="1"/>
  <c r="AU110" i="4"/>
  <c r="AV110" i="4" s="1"/>
  <c r="AX110" i="4"/>
  <c r="AY110" i="4" s="1"/>
  <c r="AU30" i="4"/>
  <c r="AV30" i="4" s="1"/>
  <c r="AX30" i="4"/>
  <c r="AY30" i="4" s="1"/>
  <c r="AU9" i="4"/>
  <c r="AV9" i="4" s="1"/>
  <c r="AX9" i="4"/>
  <c r="AY9" i="4" s="1"/>
  <c r="AU150" i="4"/>
  <c r="AV150" i="4" s="1"/>
  <c r="AX150" i="4"/>
  <c r="AY150" i="4" s="1"/>
  <c r="AU41" i="4"/>
  <c r="AV41" i="4" s="1"/>
  <c r="AX41" i="4"/>
  <c r="AY41" i="4" s="1"/>
  <c r="AX81" i="4"/>
  <c r="AY81" i="4" s="1"/>
  <c r="AU81" i="4"/>
  <c r="AV81" i="4" s="1"/>
  <c r="AU145" i="4"/>
  <c r="AV145" i="4" s="1"/>
  <c r="AX145" i="4"/>
  <c r="AY145" i="4" s="1"/>
  <c r="AX74" i="4"/>
  <c r="AY74" i="4" s="1"/>
  <c r="AU74" i="4"/>
  <c r="AV74" i="4" s="1"/>
  <c r="AX138" i="4"/>
  <c r="AY138" i="4" s="1"/>
  <c r="AU138" i="4"/>
  <c r="AV138" i="4" s="1"/>
  <c r="AU72" i="4"/>
  <c r="AV72" i="4" s="1"/>
  <c r="AX72" i="4"/>
  <c r="AY72" i="4" s="1"/>
  <c r="AU136" i="4"/>
  <c r="AV136" i="4" s="1"/>
  <c r="AX136" i="4"/>
  <c r="AY136" i="4" s="1"/>
  <c r="AU67" i="4"/>
  <c r="AV67" i="4" s="1"/>
  <c r="AX67" i="4"/>
  <c r="AY67" i="4" s="1"/>
  <c r="AU131" i="4"/>
  <c r="AV131" i="4" s="1"/>
  <c r="AX131" i="4"/>
  <c r="AY131" i="4" s="1"/>
  <c r="AU19" i="4"/>
  <c r="AV19" i="4" s="1"/>
  <c r="AX19" i="4"/>
  <c r="AY19" i="4" s="1"/>
  <c r="AU47" i="4"/>
  <c r="AV47" i="4" s="1"/>
  <c r="AX47" i="4"/>
  <c r="AY47" i="4" s="1"/>
  <c r="AX40" i="4"/>
  <c r="AY40" i="4" s="1"/>
  <c r="AU40" i="4"/>
  <c r="AV40" i="4" s="1"/>
  <c r="AX37" i="4"/>
  <c r="AY37" i="4" s="1"/>
  <c r="AU37" i="4"/>
  <c r="AV37" i="4" s="1"/>
  <c r="AX73" i="4"/>
  <c r="AY73" i="4" s="1"/>
  <c r="AU73" i="4"/>
  <c r="AV73" i="4" s="1"/>
  <c r="AX137" i="4"/>
  <c r="AY137" i="4" s="1"/>
  <c r="AU137" i="4"/>
  <c r="AV137" i="4" s="1"/>
  <c r="AX66" i="4"/>
  <c r="AY66" i="4" s="1"/>
  <c r="AU66" i="4"/>
  <c r="AV66" i="4" s="1"/>
  <c r="AX130" i="4"/>
  <c r="AY130" i="4" s="1"/>
  <c r="AU130" i="4"/>
  <c r="AV130" i="4" s="1"/>
  <c r="AX64" i="4"/>
  <c r="AY64" i="4" s="1"/>
  <c r="AU64" i="4"/>
  <c r="AV64" i="4" s="1"/>
  <c r="AU128" i="4"/>
  <c r="AV128" i="4" s="1"/>
  <c r="AX128" i="4"/>
  <c r="AY128" i="4" s="1"/>
  <c r="AU59" i="4"/>
  <c r="AV59" i="4" s="1"/>
  <c r="AX59" i="4"/>
  <c r="AY59" i="4" s="1"/>
  <c r="AU123" i="4"/>
  <c r="AV123" i="4" s="1"/>
  <c r="AX123" i="4"/>
  <c r="AY123" i="4" s="1"/>
  <c r="AU20" i="4"/>
  <c r="AV20" i="4" s="1"/>
  <c r="AX20" i="4"/>
  <c r="AY20" i="4" s="1"/>
  <c r="AU148" i="4"/>
  <c r="AV148" i="4" s="1"/>
  <c r="AX148" i="4"/>
  <c r="AY148" i="4" s="1"/>
  <c r="AX143" i="4"/>
  <c r="AY143" i="4" s="1"/>
  <c r="AU143" i="4"/>
  <c r="AV143" i="4" s="1"/>
  <c r="AU141" i="4"/>
  <c r="AV141" i="4" s="1"/>
  <c r="AX141" i="4"/>
  <c r="AY141" i="4" s="1"/>
  <c r="AU134" i="4"/>
  <c r="AV134" i="4" s="1"/>
  <c r="AX134" i="4"/>
  <c r="AY134" i="4" s="1"/>
  <c r="AY34" i="4"/>
  <c r="AY157" i="4"/>
  <c r="AY117" i="4"/>
  <c r="AY53" i="4"/>
  <c r="AU39" i="4"/>
  <c r="AV39" i="4" s="1"/>
  <c r="AX39" i="4"/>
  <c r="AY39" i="4" s="1"/>
  <c r="AX76" i="4"/>
  <c r="AY76" i="4" s="1"/>
  <c r="AU76" i="4"/>
  <c r="AV76" i="4" s="1"/>
  <c r="AX140" i="4"/>
  <c r="AY140" i="4" s="1"/>
  <c r="AU140" i="4"/>
  <c r="AV140" i="4" s="1"/>
  <c r="AX71" i="4"/>
  <c r="AY71" i="4" s="1"/>
  <c r="AU71" i="4"/>
  <c r="AV71" i="4" s="1"/>
  <c r="AX135" i="4"/>
  <c r="AY135" i="4" s="1"/>
  <c r="AU135" i="4"/>
  <c r="AV135" i="4" s="1"/>
  <c r="AU69" i="4"/>
  <c r="AV69" i="4" s="1"/>
  <c r="AX69" i="4"/>
  <c r="AY69" i="4" s="1"/>
  <c r="AU133" i="4"/>
  <c r="AV133" i="4" s="1"/>
  <c r="AX133" i="4"/>
  <c r="AY133" i="4" s="1"/>
  <c r="AU62" i="4"/>
  <c r="AV62" i="4" s="1"/>
  <c r="AX62" i="4"/>
  <c r="AY62" i="4" s="1"/>
  <c r="AU126" i="4"/>
  <c r="AV126" i="4" s="1"/>
  <c r="AX126" i="4"/>
  <c r="AY126" i="4" s="1"/>
  <c r="AX100" i="4"/>
  <c r="AY100" i="4" s="1"/>
  <c r="AU100" i="4"/>
  <c r="AV100" i="4" s="1"/>
  <c r="AU93" i="4"/>
  <c r="AV93" i="4" s="1"/>
  <c r="AX93" i="4"/>
  <c r="AY93" i="4" s="1"/>
  <c r="AU17" i="4"/>
  <c r="AV17" i="4" s="1"/>
  <c r="AX17" i="4"/>
  <c r="AY17" i="4" s="1"/>
  <c r="AX16" i="4"/>
  <c r="AY16" i="4" s="1"/>
  <c r="AU16" i="4"/>
  <c r="AV16" i="4" s="1"/>
  <c r="AX97" i="4"/>
  <c r="AY97" i="4" s="1"/>
  <c r="AU97" i="4"/>
  <c r="AV97" i="4" s="1"/>
  <c r="AU11" i="4"/>
  <c r="AV11" i="4" s="1"/>
  <c r="AX11" i="4"/>
  <c r="AY11" i="4" s="1"/>
  <c r="AX90" i="4"/>
  <c r="AY90" i="4" s="1"/>
  <c r="AU90" i="4"/>
  <c r="AV90" i="4" s="1"/>
  <c r="AX154" i="4"/>
  <c r="AY154" i="4" s="1"/>
  <c r="AU154" i="4"/>
  <c r="AV154" i="4" s="1"/>
  <c r="AU88" i="4"/>
  <c r="AV88" i="4" s="1"/>
  <c r="AX88" i="4"/>
  <c r="AY88" i="4" s="1"/>
  <c r="AU152" i="4"/>
  <c r="AV152" i="4" s="1"/>
  <c r="AX152" i="4"/>
  <c r="AY152" i="4" s="1"/>
  <c r="AU83" i="4"/>
  <c r="AV83" i="4" s="1"/>
  <c r="AX83" i="4"/>
  <c r="AY83" i="4" s="1"/>
  <c r="AU147" i="4"/>
  <c r="AV147" i="4" s="1"/>
  <c r="AX147" i="4"/>
  <c r="AY147" i="4" s="1"/>
  <c r="AU35" i="4"/>
  <c r="AV35" i="4" s="1"/>
  <c r="AX35" i="4"/>
  <c r="AY35" i="4" s="1"/>
  <c r="AX111" i="4"/>
  <c r="AY111" i="4" s="1"/>
  <c r="AU111" i="4"/>
  <c r="AV111" i="4" s="1"/>
  <c r="AU102" i="4"/>
  <c r="AV102" i="4" s="1"/>
  <c r="AX102" i="4"/>
  <c r="AY102" i="4" s="1"/>
  <c r="AU28" i="4"/>
  <c r="AV28" i="4" s="1"/>
  <c r="AX28" i="4"/>
  <c r="AY28" i="4" s="1"/>
  <c r="AX89" i="4"/>
  <c r="AY89" i="4" s="1"/>
  <c r="AU89" i="4"/>
  <c r="AV89" i="4" s="1"/>
  <c r="AU153" i="4"/>
  <c r="AV153" i="4" s="1"/>
  <c r="AX153" i="4"/>
  <c r="AY153" i="4" s="1"/>
  <c r="AX82" i="4"/>
  <c r="AY82" i="4" s="1"/>
  <c r="AU82" i="4"/>
  <c r="AV82" i="4" s="1"/>
  <c r="AX146" i="4"/>
  <c r="AY146" i="4" s="1"/>
  <c r="AU146" i="4"/>
  <c r="AV146" i="4" s="1"/>
  <c r="AU80" i="4"/>
  <c r="AV80" i="4" s="1"/>
  <c r="AX80" i="4"/>
  <c r="AY80" i="4" s="1"/>
  <c r="AU144" i="4"/>
  <c r="AV144" i="4" s="1"/>
  <c r="AX144" i="4"/>
  <c r="AY144" i="4" s="1"/>
  <c r="AU75" i="4"/>
  <c r="AV75" i="4" s="1"/>
  <c r="AX75" i="4"/>
  <c r="AY75" i="4" s="1"/>
  <c r="AU139" i="4"/>
  <c r="AV139" i="4" s="1"/>
  <c r="AX139" i="4"/>
  <c r="AY139" i="4" s="1"/>
  <c r="AU52" i="4"/>
  <c r="AV52" i="4" s="1"/>
  <c r="AX52" i="4"/>
  <c r="AY52" i="4" s="1"/>
  <c r="AU63" i="4"/>
  <c r="AV63" i="4" s="1"/>
  <c r="AX63" i="4"/>
  <c r="AY63" i="4" s="1"/>
  <c r="AX61" i="4"/>
  <c r="AY61" i="4" s="1"/>
  <c r="AU61" i="4"/>
  <c r="AV61" i="4" s="1"/>
  <c r="AU54" i="4"/>
  <c r="AV54" i="4" s="1"/>
  <c r="AX54" i="4"/>
  <c r="AY54" i="4" s="1"/>
  <c r="U7" i="4"/>
  <c r="V7" i="4" s="1"/>
  <c r="AI7" i="4"/>
  <c r="BW144" i="4"/>
  <c r="BR144" i="4"/>
  <c r="BT144" i="4" s="1"/>
  <c r="BG144" i="4"/>
  <c r="BR112" i="4"/>
  <c r="BT112" i="4" s="1"/>
  <c r="BG112" i="4"/>
  <c r="BG80" i="4"/>
  <c r="BR80" i="4"/>
  <c r="BT80" i="4" s="1"/>
  <c r="BG48" i="4"/>
  <c r="BR48" i="4"/>
  <c r="BT48" i="4" s="1"/>
  <c r="BG18" i="4"/>
  <c r="BR18" i="4"/>
  <c r="BT18" i="4" s="1"/>
  <c r="BR146" i="4"/>
  <c r="BT146" i="4" s="1"/>
  <c r="BG146" i="4"/>
  <c r="BG114" i="4"/>
  <c r="BR114" i="4"/>
  <c r="BT114" i="4" s="1"/>
  <c r="BG82" i="4"/>
  <c r="BR82" i="4"/>
  <c r="BT82" i="4" s="1"/>
  <c r="BG50" i="4"/>
  <c r="BR50" i="4"/>
  <c r="BT50" i="4" s="1"/>
  <c r="BG28" i="4"/>
  <c r="BR28" i="4"/>
  <c r="BT28" i="4" s="1"/>
  <c r="BG156" i="4"/>
  <c r="BR156" i="4"/>
  <c r="BT156" i="4" s="1"/>
  <c r="BG124" i="4"/>
  <c r="BR124" i="4"/>
  <c r="BT124" i="4" s="1"/>
  <c r="BG92" i="4"/>
  <c r="BR92" i="4"/>
  <c r="BT92" i="4" s="1"/>
  <c r="BR60" i="4"/>
  <c r="BT60" i="4" s="1"/>
  <c r="BG60" i="4"/>
  <c r="BR31" i="4"/>
  <c r="BT31" i="4" s="1"/>
  <c r="BG31" i="4"/>
  <c r="BR126" i="4"/>
  <c r="BT126" i="4" s="1"/>
  <c r="BG126" i="4"/>
  <c r="BR94" i="4"/>
  <c r="BT94" i="4" s="1"/>
  <c r="BG94" i="4"/>
  <c r="BR62" i="4"/>
  <c r="BT62" i="4" s="1"/>
  <c r="BG62" i="4"/>
  <c r="BG37" i="4"/>
  <c r="BR37" i="4"/>
  <c r="BT37" i="4" s="1"/>
  <c r="BR13" i="4"/>
  <c r="BT13" i="4" s="1"/>
  <c r="BG13" i="4"/>
  <c r="BG155" i="4"/>
  <c r="BR155" i="4"/>
  <c r="BT155" i="4" s="1"/>
  <c r="BW147" i="4"/>
  <c r="BG147" i="4"/>
  <c r="BR147" i="4"/>
  <c r="BT147" i="4" s="1"/>
  <c r="BG139" i="4"/>
  <c r="BR139" i="4"/>
  <c r="BT139" i="4" s="1"/>
  <c r="BG131" i="4"/>
  <c r="BR131" i="4"/>
  <c r="BT131" i="4" s="1"/>
  <c r="BG123" i="4"/>
  <c r="BR123" i="4"/>
  <c r="BT123" i="4" s="1"/>
  <c r="BG115" i="4"/>
  <c r="BR115" i="4"/>
  <c r="BT115" i="4" s="1"/>
  <c r="BG107" i="4"/>
  <c r="BR107" i="4"/>
  <c r="BT107" i="4" s="1"/>
  <c r="BG99" i="4"/>
  <c r="BR99" i="4"/>
  <c r="BT99" i="4" s="1"/>
  <c r="BG91" i="4"/>
  <c r="BR91" i="4"/>
  <c r="BT91" i="4" s="1"/>
  <c r="BG83" i="4"/>
  <c r="BR83" i="4"/>
  <c r="BT83" i="4" s="1"/>
  <c r="BG75" i="4"/>
  <c r="BR75" i="4"/>
  <c r="BT75" i="4" s="1"/>
  <c r="BG67" i="4"/>
  <c r="BR67" i="4"/>
  <c r="BT67" i="4" s="1"/>
  <c r="BG59" i="4"/>
  <c r="BR59" i="4"/>
  <c r="BT59" i="4" s="1"/>
  <c r="BG51" i="4"/>
  <c r="BR51" i="4"/>
  <c r="BT51" i="4" s="1"/>
  <c r="BG43" i="4"/>
  <c r="BR43" i="4"/>
  <c r="BT43" i="4" s="1"/>
  <c r="BW30" i="4"/>
  <c r="BG30" i="4"/>
  <c r="BR30" i="4"/>
  <c r="BT30" i="4" s="1"/>
  <c r="BG152" i="4"/>
  <c r="BR152" i="4"/>
  <c r="BT152" i="4" s="1"/>
  <c r="BR120" i="4"/>
  <c r="BT120" i="4" s="1"/>
  <c r="BG120" i="4"/>
  <c r="BR88" i="4"/>
  <c r="BT88" i="4" s="1"/>
  <c r="BG88" i="4"/>
  <c r="BR56" i="4"/>
  <c r="BT56" i="4" s="1"/>
  <c r="BG56" i="4"/>
  <c r="BG29" i="4"/>
  <c r="BR29" i="4"/>
  <c r="BT29" i="4" s="1"/>
  <c r="BG154" i="4"/>
  <c r="BR154" i="4"/>
  <c r="BT154" i="4" s="1"/>
  <c r="BG122" i="4"/>
  <c r="BR122" i="4"/>
  <c r="BT122" i="4" s="1"/>
  <c r="BG90" i="4"/>
  <c r="BR90" i="4"/>
  <c r="BT90" i="4" s="1"/>
  <c r="BG58" i="4"/>
  <c r="BR58" i="4"/>
  <c r="BT58" i="4" s="1"/>
  <c r="BG35" i="4"/>
  <c r="BR35" i="4"/>
  <c r="BT35" i="4" s="1"/>
  <c r="BG14" i="4"/>
  <c r="BR14" i="4"/>
  <c r="BT14" i="4" s="1"/>
  <c r="BG132" i="4"/>
  <c r="BR132" i="4"/>
  <c r="BT132" i="4" s="1"/>
  <c r="BG100" i="4"/>
  <c r="BR100" i="4"/>
  <c r="BT100" i="4" s="1"/>
  <c r="BG68" i="4"/>
  <c r="BR68" i="4"/>
  <c r="BT68" i="4" s="1"/>
  <c r="BR34" i="4"/>
  <c r="BT34" i="4" s="1"/>
  <c r="BG34" i="4"/>
  <c r="BR16" i="4"/>
  <c r="BT16" i="4" s="1"/>
  <c r="BG16" i="4"/>
  <c r="BG134" i="4"/>
  <c r="BR134" i="4"/>
  <c r="BT134" i="4" s="1"/>
  <c r="BG102" i="4"/>
  <c r="BR102" i="4"/>
  <c r="BT102" i="4" s="1"/>
  <c r="BG70" i="4"/>
  <c r="BR70" i="4"/>
  <c r="BT70" i="4" s="1"/>
  <c r="BG40" i="4"/>
  <c r="BR40" i="4"/>
  <c r="BT40" i="4" s="1"/>
  <c r="BG19" i="4"/>
  <c r="BR19" i="4"/>
  <c r="BT19" i="4" s="1"/>
  <c r="BG157" i="4"/>
  <c r="BR157" i="4"/>
  <c r="BT157" i="4" s="1"/>
  <c r="BG149" i="4"/>
  <c r="BR149" i="4"/>
  <c r="BT149" i="4" s="1"/>
  <c r="BG141" i="4"/>
  <c r="BR141" i="4"/>
  <c r="BT141" i="4" s="1"/>
  <c r="BG133" i="4"/>
  <c r="BR133" i="4"/>
  <c r="BT133" i="4" s="1"/>
  <c r="BG125" i="4"/>
  <c r="BR125" i="4"/>
  <c r="BT125" i="4" s="1"/>
  <c r="BG117" i="4"/>
  <c r="BR117" i="4"/>
  <c r="BT117" i="4" s="1"/>
  <c r="BG109" i="4"/>
  <c r="BR109" i="4"/>
  <c r="BT109" i="4" s="1"/>
  <c r="BG101" i="4"/>
  <c r="BR101" i="4"/>
  <c r="BT101" i="4" s="1"/>
  <c r="BG93" i="4"/>
  <c r="BR93" i="4"/>
  <c r="BT93" i="4" s="1"/>
  <c r="BG85" i="4"/>
  <c r="BR85" i="4"/>
  <c r="BT85" i="4" s="1"/>
  <c r="BG77" i="4"/>
  <c r="BR77" i="4"/>
  <c r="BT77" i="4" s="1"/>
  <c r="BR69" i="4"/>
  <c r="BT69" i="4" s="1"/>
  <c r="BG69" i="4"/>
  <c r="BG61" i="4"/>
  <c r="BR61" i="4"/>
  <c r="BT61" i="4" s="1"/>
  <c r="BG53" i="4"/>
  <c r="BR53" i="4"/>
  <c r="BT53" i="4" s="1"/>
  <c r="BG45" i="4"/>
  <c r="BR45" i="4"/>
  <c r="BT45" i="4" s="1"/>
  <c r="BR33" i="4"/>
  <c r="BT33" i="4" s="1"/>
  <c r="BG33" i="4"/>
  <c r="BR17" i="4"/>
  <c r="BT17" i="4" s="1"/>
  <c r="BG17" i="4"/>
  <c r="BG136" i="4"/>
  <c r="BR136" i="4"/>
  <c r="BT136" i="4" s="1"/>
  <c r="BG104" i="4"/>
  <c r="BR104" i="4"/>
  <c r="BT104" i="4" s="1"/>
  <c r="BG72" i="4"/>
  <c r="BR72" i="4"/>
  <c r="BT72" i="4" s="1"/>
  <c r="BG36" i="4"/>
  <c r="BR36" i="4"/>
  <c r="BT36" i="4" s="1"/>
  <c r="BW15" i="4"/>
  <c r="BR15" i="4"/>
  <c r="BT15" i="4" s="1"/>
  <c r="BG15" i="4"/>
  <c r="BR138" i="4"/>
  <c r="BT138" i="4" s="1"/>
  <c r="BG138" i="4"/>
  <c r="BG106" i="4"/>
  <c r="BR106" i="4"/>
  <c r="BT106" i="4" s="1"/>
  <c r="BW74" i="4"/>
  <c r="BR74" i="4"/>
  <c r="BT74" i="4" s="1"/>
  <c r="BG74" i="4"/>
  <c r="BG42" i="4"/>
  <c r="BR42" i="4"/>
  <c r="BT42" i="4" s="1"/>
  <c r="BR24" i="4"/>
  <c r="BT24" i="4" s="1"/>
  <c r="BG24" i="4"/>
  <c r="BR148" i="4"/>
  <c r="BT148" i="4" s="1"/>
  <c r="BG148" i="4"/>
  <c r="BG116" i="4"/>
  <c r="BR116" i="4"/>
  <c r="BT116" i="4" s="1"/>
  <c r="BR84" i="4"/>
  <c r="BT84" i="4" s="1"/>
  <c r="BG84" i="4"/>
  <c r="BG52" i="4"/>
  <c r="BR52" i="4"/>
  <c r="BT52" i="4" s="1"/>
  <c r="BG27" i="4"/>
  <c r="BR27" i="4"/>
  <c r="BT27" i="4" s="1"/>
  <c r="BW150" i="4"/>
  <c r="BG150" i="4"/>
  <c r="BR150" i="4"/>
  <c r="BT150" i="4" s="1"/>
  <c r="BR118" i="4"/>
  <c r="BT118" i="4" s="1"/>
  <c r="BG118" i="4"/>
  <c r="BG86" i="4"/>
  <c r="BR86" i="4"/>
  <c r="BT86" i="4" s="1"/>
  <c r="BR54" i="4"/>
  <c r="BT54" i="4" s="1"/>
  <c r="BG54" i="4"/>
  <c r="BG26" i="4"/>
  <c r="BR26" i="4"/>
  <c r="BT26" i="4" s="1"/>
  <c r="BG11" i="4"/>
  <c r="BR11" i="4"/>
  <c r="BT11" i="4" s="1"/>
  <c r="BG153" i="4"/>
  <c r="BR153" i="4"/>
  <c r="BT153" i="4" s="1"/>
  <c r="BG145" i="4"/>
  <c r="BR145" i="4"/>
  <c r="BT145" i="4" s="1"/>
  <c r="BR137" i="4"/>
  <c r="BT137" i="4" s="1"/>
  <c r="BG137" i="4"/>
  <c r="BG129" i="4"/>
  <c r="BR129" i="4"/>
  <c r="BT129" i="4" s="1"/>
  <c r="BG121" i="4"/>
  <c r="BR121" i="4"/>
  <c r="BT121" i="4" s="1"/>
  <c r="BG113" i="4"/>
  <c r="BR113" i="4"/>
  <c r="BT113" i="4" s="1"/>
  <c r="BR105" i="4"/>
  <c r="BT105" i="4" s="1"/>
  <c r="BG105" i="4"/>
  <c r="BR97" i="4"/>
  <c r="BT97" i="4" s="1"/>
  <c r="BG97" i="4"/>
  <c r="BG89" i="4"/>
  <c r="BR89" i="4"/>
  <c r="BT89" i="4" s="1"/>
  <c r="BG81" i="4"/>
  <c r="BR81" i="4"/>
  <c r="BT81" i="4" s="1"/>
  <c r="BR73" i="4"/>
  <c r="BT73" i="4" s="1"/>
  <c r="BG73" i="4"/>
  <c r="BG65" i="4"/>
  <c r="BR65" i="4"/>
  <c r="BT65" i="4" s="1"/>
  <c r="BG57" i="4"/>
  <c r="BR57" i="4"/>
  <c r="BT57" i="4" s="1"/>
  <c r="BG49" i="4"/>
  <c r="BR49" i="4"/>
  <c r="BT49" i="4" s="1"/>
  <c r="BW41" i="4"/>
  <c r="BR41" i="4"/>
  <c r="BT41" i="4" s="1"/>
  <c r="BG41" i="4"/>
  <c r="BG25" i="4"/>
  <c r="BR25" i="4"/>
  <c r="BT25" i="4" s="1"/>
  <c r="BG10" i="4"/>
  <c r="BR10" i="4"/>
  <c r="BT10" i="4" s="1"/>
  <c r="BG128" i="4"/>
  <c r="BR128" i="4"/>
  <c r="BT128" i="4" s="1"/>
  <c r="BG96" i="4"/>
  <c r="BR96" i="4"/>
  <c r="BT96" i="4" s="1"/>
  <c r="BG64" i="4"/>
  <c r="BR64" i="4"/>
  <c r="BT64" i="4" s="1"/>
  <c r="BR32" i="4"/>
  <c r="BT32" i="4" s="1"/>
  <c r="BG32" i="4"/>
  <c r="BR12" i="4"/>
  <c r="BT12" i="4" s="1"/>
  <c r="BG12" i="4"/>
  <c r="BG130" i="4"/>
  <c r="BR130" i="4"/>
  <c r="BT130" i="4" s="1"/>
  <c r="BR98" i="4"/>
  <c r="BT98" i="4" s="1"/>
  <c r="BG98" i="4"/>
  <c r="BG66" i="4"/>
  <c r="BR66" i="4"/>
  <c r="BT66" i="4" s="1"/>
  <c r="BR39" i="4"/>
  <c r="BT39" i="4" s="1"/>
  <c r="BG39" i="4"/>
  <c r="BG21" i="4"/>
  <c r="BR21" i="4"/>
  <c r="BT21" i="4" s="1"/>
  <c r="BG140" i="4"/>
  <c r="BR140" i="4"/>
  <c r="BT140" i="4" s="1"/>
  <c r="BG108" i="4"/>
  <c r="BR108" i="4"/>
  <c r="BT108" i="4" s="1"/>
  <c r="BG76" i="4"/>
  <c r="BR76" i="4"/>
  <c r="BT76" i="4" s="1"/>
  <c r="BG44" i="4"/>
  <c r="BR44" i="4"/>
  <c r="BT44" i="4" s="1"/>
  <c r="BR20" i="4"/>
  <c r="BT20" i="4" s="1"/>
  <c r="BG20" i="4"/>
  <c r="BG142" i="4"/>
  <c r="BR142" i="4"/>
  <c r="BT142" i="4" s="1"/>
  <c r="BG110" i="4"/>
  <c r="BR110" i="4"/>
  <c r="BT110" i="4" s="1"/>
  <c r="BG78" i="4"/>
  <c r="BR78" i="4"/>
  <c r="BT78" i="4" s="1"/>
  <c r="BG46" i="4"/>
  <c r="BR46" i="4"/>
  <c r="BT46" i="4" s="1"/>
  <c r="BG23" i="4"/>
  <c r="BR23" i="4"/>
  <c r="BT23" i="4" s="1"/>
  <c r="BG9" i="4"/>
  <c r="BR9" i="4"/>
  <c r="BT9" i="4" s="1"/>
  <c r="BG151" i="4"/>
  <c r="BR151" i="4"/>
  <c r="BT151" i="4" s="1"/>
  <c r="BG143" i="4"/>
  <c r="BR143" i="4"/>
  <c r="BT143" i="4" s="1"/>
  <c r="BG135" i="4"/>
  <c r="BR135" i="4"/>
  <c r="BT135" i="4" s="1"/>
  <c r="BG127" i="4"/>
  <c r="BR127" i="4"/>
  <c r="BT127" i="4" s="1"/>
  <c r="BG119" i="4"/>
  <c r="BR119" i="4"/>
  <c r="BT119" i="4" s="1"/>
  <c r="BG111" i="4"/>
  <c r="BR111" i="4"/>
  <c r="BT111" i="4" s="1"/>
  <c r="BG103" i="4"/>
  <c r="BR103" i="4"/>
  <c r="BT103" i="4" s="1"/>
  <c r="BG95" i="4"/>
  <c r="BR95" i="4"/>
  <c r="BT95" i="4" s="1"/>
  <c r="BG87" i="4"/>
  <c r="BR87" i="4"/>
  <c r="BT87" i="4" s="1"/>
  <c r="BG79" i="4"/>
  <c r="BR79" i="4"/>
  <c r="BT79" i="4" s="1"/>
  <c r="BG71" i="4"/>
  <c r="BR71" i="4"/>
  <c r="BT71" i="4" s="1"/>
  <c r="BG63" i="4"/>
  <c r="BR63" i="4"/>
  <c r="BT63" i="4" s="1"/>
  <c r="BG55" i="4"/>
  <c r="BR55" i="4"/>
  <c r="BT55" i="4" s="1"/>
  <c r="BG47" i="4"/>
  <c r="BR47" i="4"/>
  <c r="BT47" i="4" s="1"/>
  <c r="BR38" i="4"/>
  <c r="BT38" i="4" s="1"/>
  <c r="BG38" i="4"/>
  <c r="BR22" i="4"/>
  <c r="BT22" i="4" s="1"/>
  <c r="BG22" i="4"/>
  <c r="BW10" i="4"/>
  <c r="BW96" i="4"/>
  <c r="BW32" i="4"/>
  <c r="BW130" i="4"/>
  <c r="BW98" i="4"/>
  <c r="BW39" i="4"/>
  <c r="BW140" i="4"/>
  <c r="BW76" i="4"/>
  <c r="BW20" i="4"/>
  <c r="BW110" i="4"/>
  <c r="BW78" i="4"/>
  <c r="BW23" i="4"/>
  <c r="BW143" i="4"/>
  <c r="BW127" i="4"/>
  <c r="BW111" i="4"/>
  <c r="BW95" i="4"/>
  <c r="BW79" i="4"/>
  <c r="BW63" i="4"/>
  <c r="BW47" i="4"/>
  <c r="BW22" i="4"/>
  <c r="BW152" i="4"/>
  <c r="BW88" i="4"/>
  <c r="BW29" i="4"/>
  <c r="BW122" i="4"/>
  <c r="BW58" i="4"/>
  <c r="BW14" i="4"/>
  <c r="BW100" i="4"/>
  <c r="BW34" i="4"/>
  <c r="BW16" i="4"/>
  <c r="BW102" i="4"/>
  <c r="BW40" i="4"/>
  <c r="BW19" i="4"/>
  <c r="BW149" i="4"/>
  <c r="BW125" i="4"/>
  <c r="BW109" i="4"/>
  <c r="BW93" i="4"/>
  <c r="BW77" i="4"/>
  <c r="BW53" i="4"/>
  <c r="BW33" i="4"/>
  <c r="BW112" i="4"/>
  <c r="BW80" i="4"/>
  <c r="BW48" i="4"/>
  <c r="BW18" i="4"/>
  <c r="BW146" i="4"/>
  <c r="BW114" i="4"/>
  <c r="BW82" i="4"/>
  <c r="BW50" i="4"/>
  <c r="BW28" i="4"/>
  <c r="BW156" i="4"/>
  <c r="BW124" i="4"/>
  <c r="BW92" i="4"/>
  <c r="BW60" i="4"/>
  <c r="BW31" i="4"/>
  <c r="BR8" i="4"/>
  <c r="BW8" i="4"/>
  <c r="BW126" i="4"/>
  <c r="BW94" i="4"/>
  <c r="BW62" i="4"/>
  <c r="BW37" i="4"/>
  <c r="BW13" i="4"/>
  <c r="BW155" i="4"/>
  <c r="BW139" i="4"/>
  <c r="BW131" i="4"/>
  <c r="BW123" i="4"/>
  <c r="BW115" i="4"/>
  <c r="BW107" i="4"/>
  <c r="BW99" i="4"/>
  <c r="BW91" i="4"/>
  <c r="BW83" i="4"/>
  <c r="BW75" i="4"/>
  <c r="BW67" i="4"/>
  <c r="BW59" i="4"/>
  <c r="BW51" i="4"/>
  <c r="BW43" i="4"/>
  <c r="BW128" i="4"/>
  <c r="BW64" i="4"/>
  <c r="BW12" i="4"/>
  <c r="BW66" i="4"/>
  <c r="BW21" i="4"/>
  <c r="BW108" i="4"/>
  <c r="BW44" i="4"/>
  <c r="BW142" i="4"/>
  <c r="BW46" i="4"/>
  <c r="BW9" i="4"/>
  <c r="BW151" i="4"/>
  <c r="BW135" i="4"/>
  <c r="BW119" i="4"/>
  <c r="BW103" i="4"/>
  <c r="BW87" i="4"/>
  <c r="BW71" i="4"/>
  <c r="BW55" i="4"/>
  <c r="BW38" i="4"/>
  <c r="BW120" i="4"/>
  <c r="BW56" i="4"/>
  <c r="BW154" i="4"/>
  <c r="BW90" i="4"/>
  <c r="BW35" i="4"/>
  <c r="BW132" i="4"/>
  <c r="BW68" i="4"/>
  <c r="BW134" i="4"/>
  <c r="BW70" i="4"/>
  <c r="BW157" i="4"/>
  <c r="BW141" i="4"/>
  <c r="BW133" i="4"/>
  <c r="BW117" i="4"/>
  <c r="BW101" i="4"/>
  <c r="BW85" i="4"/>
  <c r="BW69" i="4"/>
  <c r="BW61" i="4"/>
  <c r="BW45" i="4"/>
  <c r="BW17" i="4"/>
  <c r="BW136" i="4"/>
  <c r="BW104" i="4"/>
  <c r="BW72" i="4"/>
  <c r="BW36" i="4"/>
  <c r="BW138" i="4"/>
  <c r="BW106" i="4"/>
  <c r="BW42" i="4"/>
  <c r="BW24" i="4"/>
  <c r="BW148" i="4"/>
  <c r="BW116" i="4"/>
  <c r="BW84" i="4"/>
  <c r="BW52" i="4"/>
  <c r="BW27" i="4"/>
  <c r="BW118" i="4"/>
  <c r="BW86" i="4"/>
  <c r="BW54" i="4"/>
  <c r="BW26" i="4"/>
  <c r="BW11" i="4"/>
  <c r="BW153" i="4"/>
  <c r="BW145" i="4"/>
  <c r="BW137" i="4"/>
  <c r="BW129" i="4"/>
  <c r="BW121" i="4"/>
  <c r="BW113" i="4"/>
  <c r="BW105" i="4"/>
  <c r="BW97" i="4"/>
  <c r="BW89" i="4"/>
  <c r="BW81" i="4"/>
  <c r="BW73" i="4"/>
  <c r="BW65" i="4"/>
  <c r="BW57" i="4"/>
  <c r="BW49" i="4"/>
  <c r="BW25" i="4"/>
  <c r="BG8" i="4"/>
  <c r="U112" i="4"/>
  <c r="U48" i="4"/>
  <c r="V48" i="4" s="1"/>
  <c r="U146" i="4"/>
  <c r="U82" i="4"/>
  <c r="U156" i="4"/>
  <c r="U92" i="4"/>
  <c r="U31" i="4"/>
  <c r="V31" i="4" s="1"/>
  <c r="U126" i="4"/>
  <c r="U62" i="4"/>
  <c r="U13" i="4"/>
  <c r="V13" i="4" s="1"/>
  <c r="U139" i="4"/>
  <c r="V139" i="4" s="1"/>
  <c r="U123" i="4"/>
  <c r="U107" i="4"/>
  <c r="U83" i="4"/>
  <c r="V83" i="4" s="1"/>
  <c r="U67" i="4"/>
  <c r="U43" i="4"/>
  <c r="V43" i="4" s="1"/>
  <c r="U136" i="4"/>
  <c r="V136" i="4" s="1"/>
  <c r="U72" i="4"/>
  <c r="V72" i="4" s="1"/>
  <c r="U15" i="4"/>
  <c r="V15" i="4" s="1"/>
  <c r="U106" i="4"/>
  <c r="U24" i="4"/>
  <c r="V24" i="4" s="1"/>
  <c r="U116" i="4"/>
  <c r="U27" i="4"/>
  <c r="V27" i="4" s="1"/>
  <c r="U86" i="4"/>
  <c r="V86" i="4" s="1"/>
  <c r="U11" i="4"/>
  <c r="V11" i="4" s="1"/>
  <c r="U145" i="4"/>
  <c r="U137" i="4"/>
  <c r="U121" i="4"/>
  <c r="V121" i="4" s="1"/>
  <c r="U105" i="4"/>
  <c r="V105" i="4" s="1"/>
  <c r="U89" i="4"/>
  <c r="U81" i="4"/>
  <c r="U65" i="4"/>
  <c r="U49" i="4"/>
  <c r="V49" i="4" s="1"/>
  <c r="U25" i="4"/>
  <c r="V25" i="4" s="1"/>
  <c r="U152" i="4"/>
  <c r="U120" i="4"/>
  <c r="U88" i="4"/>
  <c r="U56" i="4"/>
  <c r="U29" i="4"/>
  <c r="V29" i="4" s="1"/>
  <c r="U154" i="4"/>
  <c r="U122" i="4"/>
  <c r="U90" i="4"/>
  <c r="U58" i="4"/>
  <c r="V58" i="4" s="1"/>
  <c r="U35" i="4"/>
  <c r="V35" i="4" s="1"/>
  <c r="U14" i="4"/>
  <c r="V14" i="4" s="1"/>
  <c r="U132" i="4"/>
  <c r="U100" i="4"/>
  <c r="U68" i="4"/>
  <c r="U34" i="4"/>
  <c r="V34" i="4" s="1"/>
  <c r="U16" i="4"/>
  <c r="V16" i="4" s="1"/>
  <c r="U134" i="4"/>
  <c r="V134" i="4" s="1"/>
  <c r="U102" i="4"/>
  <c r="U70" i="4"/>
  <c r="V70" i="4" s="1"/>
  <c r="U40" i="4"/>
  <c r="U19" i="4"/>
  <c r="V19" i="4" s="1"/>
  <c r="U157" i="4"/>
  <c r="U149" i="4"/>
  <c r="V149" i="4" s="1"/>
  <c r="U141" i="4"/>
  <c r="V141" i="4" s="1"/>
  <c r="U133" i="4"/>
  <c r="U125" i="4"/>
  <c r="V125" i="4" s="1"/>
  <c r="U117" i="4"/>
  <c r="V117" i="4" s="1"/>
  <c r="U109" i="4"/>
  <c r="V109" i="4" s="1"/>
  <c r="U101" i="4"/>
  <c r="V101" i="4" s="1"/>
  <c r="U93" i="4"/>
  <c r="V93" i="4" s="1"/>
  <c r="U85" i="4"/>
  <c r="V85" i="4" s="1"/>
  <c r="U77" i="4"/>
  <c r="V77" i="4" s="1"/>
  <c r="U69" i="4"/>
  <c r="U61" i="4"/>
  <c r="U53" i="4"/>
  <c r="V53" i="4" s="1"/>
  <c r="U45" i="4"/>
  <c r="U33" i="4"/>
  <c r="V33" i="4" s="1"/>
  <c r="U17" i="4"/>
  <c r="V17" i="4" s="1"/>
  <c r="U144" i="4"/>
  <c r="V144" i="4" s="1"/>
  <c r="U80" i="4"/>
  <c r="V80" i="4" s="1"/>
  <c r="U18" i="4"/>
  <c r="V18" i="4" s="1"/>
  <c r="U114" i="4"/>
  <c r="U50" i="4"/>
  <c r="U28" i="4"/>
  <c r="V28" i="4" s="1"/>
  <c r="U124" i="4"/>
  <c r="U60" i="4"/>
  <c r="U8" i="4"/>
  <c r="AW8" i="4"/>
  <c r="U94" i="4"/>
  <c r="U37" i="4"/>
  <c r="U155" i="4"/>
  <c r="U147" i="4"/>
  <c r="U131" i="4"/>
  <c r="U115" i="4"/>
  <c r="V115" i="4" s="1"/>
  <c r="U99" i="4"/>
  <c r="V99" i="4" s="1"/>
  <c r="U91" i="4"/>
  <c r="U75" i="4"/>
  <c r="U59" i="4"/>
  <c r="U51" i="4"/>
  <c r="V51" i="4" s="1"/>
  <c r="U30" i="4"/>
  <c r="V30" i="4" s="1"/>
  <c r="U104" i="4"/>
  <c r="U36" i="4"/>
  <c r="V36" i="4" s="1"/>
  <c r="U138" i="4"/>
  <c r="V138" i="4" s="1"/>
  <c r="U74" i="4"/>
  <c r="U42" i="4"/>
  <c r="V42" i="4" s="1"/>
  <c r="U148" i="4"/>
  <c r="V148" i="4" s="1"/>
  <c r="U84" i="4"/>
  <c r="U52" i="4"/>
  <c r="U150" i="4"/>
  <c r="U118" i="4"/>
  <c r="V118" i="4" s="1"/>
  <c r="U54" i="4"/>
  <c r="U26" i="4"/>
  <c r="V26" i="4" s="1"/>
  <c r="U153" i="4"/>
  <c r="U129" i="4"/>
  <c r="U113" i="4"/>
  <c r="U97" i="4"/>
  <c r="U73" i="4"/>
  <c r="V73" i="4" s="1"/>
  <c r="U57" i="4"/>
  <c r="U41" i="4"/>
  <c r="U10" i="4"/>
  <c r="V10" i="4" s="1"/>
  <c r="U128" i="4"/>
  <c r="V128" i="4" s="1"/>
  <c r="U96" i="4"/>
  <c r="V96" i="4" s="1"/>
  <c r="U64" i="4"/>
  <c r="U32" i="4"/>
  <c r="V32" i="4" s="1"/>
  <c r="U12" i="4"/>
  <c r="V12" i="4" s="1"/>
  <c r="U130" i="4"/>
  <c r="U98" i="4"/>
  <c r="V98" i="4" s="1"/>
  <c r="U66" i="4"/>
  <c r="V66" i="4" s="1"/>
  <c r="U39" i="4"/>
  <c r="U21" i="4"/>
  <c r="V21" i="4" s="1"/>
  <c r="U140" i="4"/>
  <c r="U108" i="4"/>
  <c r="U76" i="4"/>
  <c r="U44" i="4"/>
  <c r="V44" i="4" s="1"/>
  <c r="U20" i="4"/>
  <c r="V20" i="4" s="1"/>
  <c r="U142" i="4"/>
  <c r="U110" i="4"/>
  <c r="U78" i="4"/>
  <c r="V78" i="4" s="1"/>
  <c r="U46" i="4"/>
  <c r="U23" i="4"/>
  <c r="V23" i="4" s="1"/>
  <c r="U9" i="4"/>
  <c r="V9" i="4" s="1"/>
  <c r="U151" i="4"/>
  <c r="V151" i="4" s="1"/>
  <c r="U143" i="4"/>
  <c r="U135" i="4"/>
  <c r="V135" i="4" s="1"/>
  <c r="U127" i="4"/>
  <c r="V127" i="4" s="1"/>
  <c r="U119" i="4"/>
  <c r="V119" i="4" s="1"/>
  <c r="U111" i="4"/>
  <c r="U103" i="4"/>
  <c r="V103" i="4" s="1"/>
  <c r="U95" i="4"/>
  <c r="V95" i="4" s="1"/>
  <c r="U87" i="4"/>
  <c r="V87" i="4" s="1"/>
  <c r="U79" i="4"/>
  <c r="U71" i="4"/>
  <c r="V71" i="4" s="1"/>
  <c r="U63" i="4"/>
  <c r="V63" i="4" s="1"/>
  <c r="U55" i="4"/>
  <c r="V55" i="4" s="1"/>
  <c r="U47" i="4"/>
  <c r="U38" i="4"/>
  <c r="V38" i="4" s="1"/>
  <c r="U22" i="4"/>
  <c r="V22" i="4" s="1"/>
  <c r="Z361" i="10"/>
  <c r="AB361" i="10" s="1"/>
  <c r="Z280" i="10"/>
  <c r="AA280" i="10" s="1"/>
  <c r="Z176" i="10"/>
  <c r="AA176" i="10" s="1"/>
  <c r="Z248" i="10"/>
  <c r="AA248" i="10" s="1"/>
  <c r="Z204" i="10"/>
  <c r="AA204" i="10" s="1"/>
  <c r="Z396" i="10"/>
  <c r="AA396" i="10" s="1"/>
  <c r="Z245" i="10"/>
  <c r="AB245" i="10" s="1"/>
  <c r="Z539" i="10"/>
  <c r="AA539" i="10" s="1"/>
  <c r="Z324" i="10"/>
  <c r="AB324" i="10" s="1"/>
  <c r="Z467" i="10"/>
  <c r="AB467" i="10" s="1"/>
  <c r="Z259" i="10"/>
  <c r="Z560" i="10"/>
  <c r="AB560" i="10" s="1"/>
  <c r="Z430" i="10"/>
  <c r="AB430" i="10" s="1"/>
  <c r="Z534" i="10"/>
  <c r="AA534" i="10" s="1"/>
  <c r="Z540" i="10"/>
  <c r="Z21" i="10"/>
  <c r="AB21" i="10" s="1"/>
  <c r="Z33" i="10"/>
  <c r="AB33" i="10" s="1"/>
  <c r="Z368" i="10"/>
  <c r="Z304" i="10"/>
  <c r="Z483" i="10"/>
  <c r="AB483" i="10" s="1"/>
  <c r="Z125" i="10"/>
  <c r="AA125" i="10" s="1"/>
  <c r="Z348" i="10"/>
  <c r="AA348" i="10" s="1"/>
  <c r="Z498" i="10"/>
  <c r="Z554" i="10"/>
  <c r="AA554" i="10" s="1"/>
  <c r="Z19" i="10"/>
  <c r="AB19" i="10" s="1"/>
  <c r="Z192" i="10"/>
  <c r="AB192" i="10" s="1"/>
  <c r="Z505" i="10"/>
  <c r="AB505" i="10" s="1"/>
  <c r="Z104" i="10"/>
  <c r="AA104" i="10" s="1"/>
  <c r="Z129" i="10"/>
  <c r="AA129" i="10" s="1"/>
  <c r="Z7" i="10"/>
  <c r="AA7" i="10" s="1"/>
  <c r="Z512" i="10"/>
  <c r="AA512" i="10" s="1"/>
  <c r="Z60" i="10"/>
  <c r="AB60" i="10" s="1"/>
  <c r="Z31" i="10"/>
  <c r="AA31" i="10" s="1"/>
  <c r="Z425" i="10"/>
  <c r="AA425" i="10" s="1"/>
  <c r="Z529" i="10"/>
  <c r="AA529" i="10" s="1"/>
  <c r="Z453" i="10"/>
  <c r="AB453" i="10" s="1"/>
  <c r="Z323" i="10"/>
  <c r="AB323" i="10" s="1"/>
  <c r="Z386" i="10"/>
  <c r="AB386" i="10" s="1"/>
  <c r="Z247" i="10"/>
  <c r="AA247" i="10" s="1"/>
  <c r="Z117" i="10"/>
  <c r="AA117" i="10" s="1"/>
  <c r="Z39" i="10"/>
  <c r="AB39" i="10" s="1"/>
  <c r="Z151" i="10"/>
  <c r="AA151" i="10" s="1"/>
  <c r="Z85" i="10"/>
  <c r="Z207" i="10"/>
  <c r="AB207" i="10" s="1"/>
  <c r="Z22" i="10"/>
  <c r="AB22" i="10" s="1"/>
  <c r="Z238" i="10"/>
  <c r="AA238" i="10" s="1"/>
  <c r="Z377" i="10"/>
  <c r="AB377" i="10" s="1"/>
  <c r="Z469" i="10"/>
  <c r="AA469" i="10" s="1"/>
  <c r="Z551" i="10"/>
  <c r="AA551" i="10" s="1"/>
  <c r="Z468" i="10"/>
  <c r="AA468" i="10" s="1"/>
  <c r="Z504" i="10"/>
  <c r="AA504" i="10" s="1"/>
  <c r="Z433" i="10"/>
  <c r="AB433" i="10" s="1"/>
  <c r="Z351" i="10"/>
  <c r="AA351" i="10" s="1"/>
  <c r="Z357" i="10"/>
  <c r="AA357" i="10" s="1"/>
  <c r="Z227" i="10"/>
  <c r="AA227" i="10" s="1"/>
  <c r="Z65" i="10"/>
  <c r="AB65" i="10" s="1"/>
  <c r="Z115" i="10"/>
  <c r="AA115" i="10" s="1"/>
  <c r="Z43" i="10"/>
  <c r="AA43" i="10" s="1"/>
  <c r="Z284" i="10"/>
  <c r="AB284" i="10" s="1"/>
  <c r="Z479" i="10"/>
  <c r="AA479" i="10" s="1"/>
  <c r="Z32" i="10"/>
  <c r="AB32" i="10" s="1"/>
  <c r="Z164" i="10"/>
  <c r="AB164" i="10" s="1"/>
  <c r="Z277" i="10"/>
  <c r="Z461" i="10"/>
  <c r="AA461" i="10" s="1"/>
  <c r="Z543" i="10"/>
  <c r="AB543" i="10" s="1"/>
  <c r="Z521" i="10"/>
  <c r="AA521" i="10" s="1"/>
  <c r="Z449" i="10"/>
  <c r="Z366" i="10"/>
  <c r="AB366" i="10" s="1"/>
  <c r="Z318" i="10"/>
  <c r="AB318" i="10" s="1"/>
  <c r="Z243" i="10"/>
  <c r="AB243" i="10" s="1"/>
  <c r="Z206" i="10"/>
  <c r="Z131" i="10"/>
  <c r="AA131" i="10" s="1"/>
  <c r="Z202" i="10"/>
  <c r="AA202" i="10" s="1"/>
  <c r="Z252" i="10"/>
  <c r="AB252" i="10" s="1"/>
  <c r="Z399" i="10"/>
  <c r="Z524" i="10"/>
  <c r="AA524" i="10" s="1"/>
  <c r="Z226" i="10"/>
  <c r="AA226" i="10" s="1"/>
  <c r="Z261" i="10"/>
  <c r="AB261" i="10" s="1"/>
  <c r="Z413" i="10"/>
  <c r="AB413" i="10" s="1"/>
  <c r="Z520" i="10"/>
  <c r="AB520" i="10" s="1"/>
  <c r="Z475" i="10"/>
  <c r="AB475" i="10" s="1"/>
  <c r="Z76" i="10"/>
  <c r="AA76" i="10" s="1"/>
  <c r="Z244" i="10"/>
  <c r="AA244" i="10" s="1"/>
  <c r="Z383" i="10"/>
  <c r="AB383" i="10" s="1"/>
  <c r="Z485" i="10"/>
  <c r="AA485" i="10" s="1"/>
  <c r="Z62" i="10"/>
  <c r="AA62" i="10" s="1"/>
  <c r="Z559" i="10"/>
  <c r="AA559" i="10" s="1"/>
  <c r="Z414" i="10"/>
  <c r="AB414" i="10" s="1"/>
  <c r="Z287" i="10"/>
  <c r="AB287" i="10" s="1"/>
  <c r="Z57" i="10"/>
  <c r="AB57" i="10" s="1"/>
  <c r="Z71" i="10"/>
  <c r="AB71" i="10" s="1"/>
  <c r="Z224" i="10"/>
  <c r="AB224" i="10" s="1"/>
  <c r="Z201" i="10"/>
  <c r="AB201" i="10" s="1"/>
  <c r="Z460" i="10"/>
  <c r="AB460" i="10" s="1"/>
  <c r="Z34" i="10"/>
  <c r="AA34" i="10" s="1"/>
  <c r="Z296" i="10"/>
  <c r="AB296" i="10" s="1"/>
  <c r="Z385" i="10"/>
  <c r="AA385" i="10" s="1"/>
  <c r="Z550" i="10"/>
  <c r="AB550" i="10" s="1"/>
  <c r="Z100" i="10"/>
  <c r="AA100" i="10" s="1"/>
  <c r="Z254" i="10"/>
  <c r="AB254" i="10" s="1"/>
  <c r="Z495" i="10"/>
  <c r="AA495" i="10" s="1"/>
  <c r="Z128" i="10"/>
  <c r="AB128" i="10" s="1"/>
  <c r="Z517" i="10"/>
  <c r="AA517" i="10" s="1"/>
  <c r="Z239" i="10"/>
  <c r="AB239" i="10" s="1"/>
  <c r="Z260" i="10"/>
  <c r="AB260" i="10" s="1"/>
  <c r="Z294" i="10"/>
  <c r="AB294" i="10" s="1"/>
  <c r="Z68" i="10"/>
  <c r="AB68" i="10" s="1"/>
  <c r="Z442" i="10"/>
  <c r="AA442" i="10" s="1"/>
  <c r="Z412" i="10"/>
  <c r="AA412" i="10" s="1"/>
  <c r="Z337" i="10"/>
  <c r="AA337" i="10" s="1"/>
  <c r="Z26" i="10"/>
  <c r="AA26" i="10" s="1"/>
  <c r="Z166" i="10"/>
  <c r="AB166" i="10" s="1"/>
  <c r="Z503" i="10"/>
  <c r="AB503" i="10" s="1"/>
  <c r="Z193" i="10"/>
  <c r="AA193" i="10" s="1"/>
  <c r="Z452" i="10"/>
  <c r="AB452" i="10" s="1"/>
  <c r="Z470" i="10"/>
  <c r="AB470" i="10" s="1"/>
  <c r="Z139" i="10"/>
  <c r="AB139" i="10" s="1"/>
  <c r="Z222" i="10"/>
  <c r="AB222" i="10" s="1"/>
  <c r="Z519" i="10"/>
  <c r="Z523" i="10"/>
  <c r="AA523" i="10" s="1"/>
  <c r="Z404" i="10"/>
  <c r="AB404" i="10" s="1"/>
  <c r="Z307" i="10"/>
  <c r="AB307" i="10" s="1"/>
  <c r="Z329" i="10"/>
  <c r="AB329" i="10" s="1"/>
  <c r="Z183" i="10"/>
  <c r="AB183" i="10" s="1"/>
  <c r="Z101" i="10"/>
  <c r="AA101" i="10" s="1"/>
  <c r="Z99" i="10"/>
  <c r="AB99" i="10" s="1"/>
  <c r="Z135" i="10"/>
  <c r="AB135" i="10" s="1"/>
  <c r="Z59" i="10"/>
  <c r="AB59" i="10" s="1"/>
  <c r="Z48" i="10"/>
  <c r="AA48" i="10" s="1"/>
  <c r="Z86" i="10"/>
  <c r="AB86" i="10" s="1"/>
  <c r="Z276" i="10"/>
  <c r="AA276" i="10" s="1"/>
  <c r="Z298" i="10"/>
  <c r="AA298" i="10" s="1"/>
  <c r="Z436" i="10"/>
  <c r="AB436" i="10" s="1"/>
  <c r="Z169" i="10"/>
  <c r="AB169" i="10" s="1"/>
  <c r="Z56" i="10"/>
  <c r="Z492" i="10"/>
  <c r="AB492" i="10" s="1"/>
  <c r="Z400" i="10"/>
  <c r="AB400" i="10" s="1"/>
  <c r="Z319" i="10"/>
  <c r="AA319" i="10" s="1"/>
  <c r="Z325" i="10"/>
  <c r="Z179" i="10"/>
  <c r="AB179" i="10" s="1"/>
  <c r="Z23" i="10"/>
  <c r="AB23" i="10" s="1"/>
  <c r="Z81" i="10"/>
  <c r="AB81" i="10" s="1"/>
  <c r="Z35" i="10"/>
  <c r="AB35" i="10" s="1"/>
  <c r="Z197" i="10"/>
  <c r="AA197" i="10" s="1"/>
  <c r="Z516" i="10"/>
  <c r="AA516" i="10" s="1"/>
  <c r="Z114" i="10"/>
  <c r="AB114" i="10" s="1"/>
  <c r="Z212" i="10"/>
  <c r="AA212" i="10" s="1"/>
  <c r="Z246" i="10"/>
  <c r="AA246" i="10" s="1"/>
  <c r="Z432" i="10"/>
  <c r="AB432" i="10" s="1"/>
  <c r="Z185" i="10"/>
  <c r="AB185" i="10" s="1"/>
  <c r="Z496" i="10"/>
  <c r="AB496" i="10" s="1"/>
  <c r="Z416" i="10"/>
  <c r="AB416" i="10" s="1"/>
  <c r="Z335" i="10"/>
  <c r="AB335" i="10" s="1"/>
  <c r="Z341" i="10"/>
  <c r="AB341" i="10" s="1"/>
  <c r="Z211" i="10"/>
  <c r="Z29" i="10"/>
  <c r="AB29" i="10" s="1"/>
  <c r="Z97" i="10"/>
  <c r="AA97" i="10" s="1"/>
  <c r="Z182" i="10"/>
  <c r="AB182" i="10" s="1"/>
  <c r="Z173" i="10"/>
  <c r="AB173" i="10" s="1"/>
  <c r="Z489" i="10"/>
  <c r="AA489" i="10" s="1"/>
  <c r="Z90" i="10"/>
  <c r="AB90" i="10" s="1"/>
  <c r="Z177" i="10"/>
  <c r="AB177" i="10" s="1"/>
  <c r="Z293" i="10"/>
  <c r="AB293" i="10" s="1"/>
  <c r="Z419" i="10"/>
  <c r="AB419" i="10" s="1"/>
  <c r="Z553" i="10"/>
  <c r="AB553" i="10" s="1"/>
  <c r="Z538" i="10"/>
  <c r="AB538" i="10" s="1"/>
  <c r="Z230" i="10"/>
  <c r="AA230" i="10" s="1"/>
  <c r="Z221" i="10"/>
  <c r="AB221" i="10" s="1"/>
  <c r="Z391" i="10"/>
  <c r="AB391" i="10" s="1"/>
  <c r="Z557" i="10"/>
  <c r="AA557" i="10" s="1"/>
  <c r="Z138" i="10"/>
  <c r="AB138" i="10" s="1"/>
  <c r="Z527" i="10"/>
  <c r="AA527" i="10" s="1"/>
  <c r="Z347" i="10"/>
  <c r="AA347" i="10" s="1"/>
  <c r="Z223" i="10"/>
  <c r="AB223" i="10" s="1"/>
  <c r="Z111" i="10"/>
  <c r="Z292" i="10"/>
  <c r="AA292" i="10" s="1"/>
  <c r="Z74" i="10"/>
  <c r="AB74" i="10" s="1"/>
  <c r="Z285" i="10"/>
  <c r="AA285" i="10" s="1"/>
  <c r="Z544" i="10"/>
  <c r="Z118" i="10"/>
  <c r="AA118" i="10" s="1"/>
  <c r="Z373" i="10"/>
  <c r="AB373" i="10" s="1"/>
  <c r="Z423" i="10"/>
  <c r="AB423" i="10" s="1"/>
  <c r="Z47" i="10"/>
  <c r="Z120" i="10"/>
  <c r="AB120" i="10" s="1"/>
  <c r="Z369" i="10"/>
  <c r="AB369" i="10" s="1"/>
  <c r="Z471" i="10"/>
  <c r="AA471" i="10" s="1"/>
  <c r="Z225" i="10"/>
  <c r="Z445" i="10"/>
  <c r="AA445" i="10" s="1"/>
  <c r="Z203" i="10"/>
  <c r="AB203" i="10" s="1"/>
  <c r="Z415" i="10"/>
  <c r="AB415" i="10" s="1"/>
  <c r="Z451" i="10"/>
  <c r="AA451" i="10" s="1"/>
  <c r="Z288" i="10"/>
  <c r="AA288" i="10" s="1"/>
  <c r="Z541" i="10"/>
  <c r="AA541" i="10" s="1"/>
  <c r="Z398" i="10"/>
  <c r="AA398" i="10" s="1"/>
  <c r="Z271" i="10"/>
  <c r="AB271" i="10" s="1"/>
  <c r="Z159" i="10"/>
  <c r="AA159" i="10" s="1"/>
  <c r="Z158" i="10"/>
  <c r="AA158" i="10" s="1"/>
  <c r="Z281" i="10"/>
  <c r="AB281" i="10" s="1"/>
  <c r="Z233" i="10"/>
  <c r="Z493" i="10"/>
  <c r="AA493" i="10" s="1"/>
  <c r="Z349" i="10"/>
  <c r="AB349" i="10" s="1"/>
  <c r="Z268" i="10"/>
  <c r="AA268" i="10" s="1"/>
  <c r="Z482" i="10"/>
  <c r="Z380" i="10"/>
  <c r="AB380" i="10" s="1"/>
  <c r="Z167" i="10"/>
  <c r="AB167" i="10" s="1"/>
  <c r="Z75" i="10"/>
  <c r="AB75" i="10" s="1"/>
  <c r="Z46" i="10"/>
  <c r="AB46" i="10" s="1"/>
  <c r="Z126" i="10"/>
  <c r="AB126" i="10" s="1"/>
  <c r="Z360" i="10"/>
  <c r="AA360" i="10" s="1"/>
  <c r="Z249" i="10"/>
  <c r="AA249" i="10" s="1"/>
  <c r="Z477" i="10"/>
  <c r="Z376" i="10"/>
  <c r="AB376" i="10" s="1"/>
  <c r="Z145" i="10"/>
  <c r="AB145" i="10" s="1"/>
  <c r="Z44" i="10"/>
  <c r="AB44" i="10" s="1"/>
  <c r="Z312" i="10"/>
  <c r="Z69" i="10"/>
  <c r="AB69" i="10" s="1"/>
  <c r="Z316" i="10"/>
  <c r="AA316" i="10" s="1"/>
  <c r="Z257" i="10"/>
  <c r="AA257" i="10" s="1"/>
  <c r="Z384" i="10"/>
  <c r="Z309" i="10"/>
  <c r="AB309" i="10" s="1"/>
  <c r="Z95" i="10"/>
  <c r="AB95" i="10" s="1"/>
  <c r="Z30" i="10"/>
  <c r="AB30" i="10" s="1"/>
  <c r="Z542" i="10"/>
  <c r="AA542" i="10" s="1"/>
  <c r="Z228" i="10"/>
  <c r="AB228" i="10" s="1"/>
  <c r="Z443" i="10"/>
  <c r="AA443" i="10" s="1"/>
  <c r="Z78" i="10"/>
  <c r="AB78" i="10" s="1"/>
  <c r="Z290" i="10"/>
  <c r="AB290" i="10" s="1"/>
  <c r="Z558" i="10"/>
  <c r="AA558" i="10" s="1"/>
  <c r="Z473" i="10"/>
  <c r="AA473" i="10" s="1"/>
  <c r="Z141" i="10"/>
  <c r="AB141" i="10" s="1"/>
  <c r="Z328" i="10"/>
  <c r="AA328" i="10" s="1"/>
  <c r="Z332" i="10"/>
  <c r="AB332" i="10" s="1"/>
  <c r="Z92" i="10"/>
  <c r="AA92" i="10" s="1"/>
  <c r="Z446" i="10"/>
  <c r="AB446" i="10" s="1"/>
  <c r="Z160" i="10"/>
  <c r="AA160" i="10" s="1"/>
  <c r="Z82" i="10"/>
  <c r="AB82" i="10" s="1"/>
  <c r="Z362" i="10"/>
  <c r="AB362" i="10" s="1"/>
  <c r="Z162" i="10"/>
  <c r="AB162" i="10" s="1"/>
  <c r="Z237" i="10"/>
  <c r="Z331" i="10"/>
  <c r="AA331" i="10" s="1"/>
  <c r="Z93" i="10"/>
  <c r="AB93" i="10" s="1"/>
  <c r="Z200" i="10"/>
  <c r="AA200" i="10" s="1"/>
  <c r="Z556" i="10"/>
  <c r="Z150" i="10"/>
  <c r="AA150" i="10" s="1"/>
  <c r="Z300" i="10"/>
  <c r="AA300" i="10" s="1"/>
  <c r="Z434" i="10"/>
  <c r="Z37" i="10"/>
  <c r="AA37" i="10" s="1"/>
  <c r="Z124" i="10"/>
  <c r="AA124" i="10" s="1"/>
  <c r="Z389" i="10"/>
  <c r="AA389" i="10" s="1"/>
  <c r="Z533" i="10"/>
  <c r="AB533" i="10" s="1"/>
  <c r="Z378" i="10"/>
  <c r="AB378" i="10" s="1"/>
  <c r="Z255" i="10"/>
  <c r="AB255" i="10" s="1"/>
  <c r="Z143" i="10"/>
  <c r="AA143" i="10" s="1"/>
  <c r="Z156" i="10"/>
  <c r="Z427" i="10"/>
  <c r="Z253" i="10"/>
  <c r="AA253" i="10" s="1"/>
  <c r="Z522" i="10"/>
  <c r="AB522" i="10" s="1"/>
  <c r="Z94" i="10"/>
  <c r="AB94" i="10" s="1"/>
  <c r="Z165" i="10"/>
  <c r="AA165" i="10" s="1"/>
  <c r="Z417" i="10"/>
  <c r="AA417" i="10" s="1"/>
  <c r="Z122" i="10"/>
  <c r="AA122" i="10" s="1"/>
  <c r="Z502" i="10"/>
  <c r="AA502" i="10" s="1"/>
  <c r="Z435" i="10"/>
  <c r="AA435" i="10" s="1"/>
  <c r="Z53" i="10"/>
  <c r="AB53" i="10" s="1"/>
  <c r="Z532" i="10"/>
  <c r="AB532" i="10" s="1"/>
  <c r="Z526" i="10"/>
  <c r="AB526" i="10" s="1"/>
  <c r="Z181" i="10"/>
  <c r="Z536" i="10"/>
  <c r="AA536" i="10" s="1"/>
  <c r="Z116" i="10"/>
  <c r="AB116" i="10" s="1"/>
  <c r="Z154" i="10"/>
  <c r="AA154" i="10" s="1"/>
  <c r="Z356" i="10"/>
  <c r="AA356" i="10" s="1"/>
  <c r="Z545" i="10"/>
  <c r="AA545" i="10" s="1"/>
  <c r="Z67" i="10"/>
  <c r="AB67" i="10" s="1"/>
  <c r="Z381" i="10"/>
  <c r="AB381" i="10" s="1"/>
  <c r="Z478" i="10"/>
  <c r="AB478" i="10" s="1"/>
  <c r="Z161" i="10"/>
  <c r="AA161" i="10" s="1"/>
  <c r="Z219" i="10"/>
  <c r="AA219" i="10" s="1"/>
  <c r="Z282" i="10"/>
  <c r="AB282" i="10" s="1"/>
  <c r="Z481" i="10"/>
  <c r="AB481" i="10" s="1"/>
  <c r="Z322" i="10"/>
  <c r="AA322" i="10" s="1"/>
  <c r="Z149" i="10"/>
  <c r="AB149" i="10" s="1"/>
  <c r="Z52" i="10"/>
  <c r="AB52" i="10" s="1"/>
  <c r="Z170" i="10"/>
  <c r="AA170" i="10" s="1"/>
  <c r="Z132" i="10"/>
  <c r="AB132" i="10" s="1"/>
  <c r="Z379" i="10"/>
  <c r="AB379" i="10" s="1"/>
  <c r="Z465" i="10"/>
  <c r="AB465" i="10" s="1"/>
  <c r="Z480" i="10"/>
  <c r="AB480" i="10" s="1"/>
  <c r="Z334" i="10"/>
  <c r="AA334" i="10" s="1"/>
  <c r="Z113" i="10"/>
  <c r="AA113" i="10" s="1"/>
  <c r="Z87" i="10"/>
  <c r="AA87" i="10" s="1"/>
  <c r="Z393" i="10"/>
  <c r="AA393" i="10" s="1"/>
  <c r="Z152" i="10"/>
  <c r="AB152" i="10" s="1"/>
  <c r="Z367" i="10"/>
  <c r="AB367" i="10" s="1"/>
  <c r="Z547" i="10"/>
  <c r="AA547" i="10" s="1"/>
  <c r="Z402" i="10"/>
  <c r="AB402" i="10" s="1"/>
  <c r="Z275" i="10"/>
  <c r="AB275" i="10" s="1"/>
  <c r="Z163" i="10"/>
  <c r="AB163" i="10" s="1"/>
  <c r="Z142" i="10"/>
  <c r="AA142" i="10" s="1"/>
  <c r="Z265" i="10"/>
  <c r="Z217" i="10"/>
  <c r="AA217" i="10" s="1"/>
  <c r="Z487" i="10"/>
  <c r="AA487" i="10" s="1"/>
  <c r="Z134" i="10"/>
  <c r="AA134" i="10" s="1"/>
  <c r="Z352" i="10"/>
  <c r="Z27" i="10"/>
  <c r="AB27" i="10" s="1"/>
  <c r="Z428" i="10"/>
  <c r="AA428" i="10" s="1"/>
  <c r="Z63" i="10"/>
  <c r="AB63" i="10" s="1"/>
  <c r="Z463" i="10"/>
  <c r="Z403" i="10"/>
  <c r="AB403" i="10" s="1"/>
  <c r="Z256" i="10"/>
  <c r="AB256" i="10" s="1"/>
  <c r="Z530" i="10"/>
  <c r="AB530" i="10" s="1"/>
  <c r="Z188" i="10"/>
  <c r="Z80" i="10"/>
  <c r="AA80" i="10" s="1"/>
  <c r="Z314" i="10"/>
  <c r="AB314" i="10" s="1"/>
  <c r="Z236" i="10"/>
  <c r="AB236" i="10" s="1"/>
  <c r="Z375" i="10"/>
  <c r="AA375" i="10" s="1"/>
  <c r="Z346" i="10"/>
  <c r="AB346" i="10" s="1"/>
  <c r="Z186" i="10"/>
  <c r="AA186" i="10" s="1"/>
  <c r="Z136" i="10"/>
  <c r="AB136" i="10" s="1"/>
  <c r="Z270" i="10"/>
  <c r="AA270" i="10" s="1"/>
  <c r="Z148" i="10"/>
  <c r="AB148" i="10" s="1"/>
  <c r="Z274" i="10"/>
  <c r="AA274" i="10" s="1"/>
  <c r="Z455" i="10"/>
  <c r="Z106" i="10"/>
  <c r="Z218" i="10"/>
  <c r="AB218" i="10" s="1"/>
  <c r="Z444" i="10"/>
  <c r="AB444" i="10" s="1"/>
  <c r="Z488" i="10"/>
  <c r="AB488" i="10" s="1"/>
  <c r="Z315" i="10"/>
  <c r="AA315" i="10" s="1"/>
  <c r="Z175" i="10"/>
  <c r="AA175" i="10" s="1"/>
  <c r="Z77" i="10"/>
  <c r="AB77" i="10" s="1"/>
  <c r="Z213" i="10"/>
  <c r="Z130" i="10"/>
  <c r="AA130" i="10" s="1"/>
  <c r="Z262" i="10"/>
  <c r="AA262" i="10" s="1"/>
  <c r="Z232" i="10"/>
  <c r="AA232" i="10" s="1"/>
  <c r="Z196" i="10"/>
  <c r="AA196" i="10" s="1"/>
  <c r="Z205" i="10"/>
  <c r="Z438" i="10"/>
  <c r="AA438" i="10" s="1"/>
  <c r="Z112" i="10"/>
  <c r="AB112" i="10" s="1"/>
  <c r="Z546" i="10"/>
  <c r="AB546" i="10" s="1"/>
  <c r="Z303" i="10"/>
  <c r="AA303" i="10" s="1"/>
  <c r="Z42" i="10"/>
  <c r="AB42" i="10" s="1"/>
  <c r="Z242" i="10"/>
  <c r="AB242" i="10" s="1"/>
  <c r="Z308" i="10"/>
  <c r="Z320" i="10"/>
  <c r="Z96" i="10"/>
  <c r="AB96" i="10" s="1"/>
  <c r="Z98" i="10"/>
  <c r="AA98" i="10" s="1"/>
  <c r="Z172" i="10"/>
  <c r="Z20" i="10"/>
  <c r="AA20" i="10" s="1"/>
  <c r="Z548" i="10"/>
  <c r="AA548" i="10" s="1"/>
  <c r="Z422" i="10"/>
  <c r="AB422" i="10" s="1"/>
  <c r="Z295" i="10"/>
  <c r="AA295" i="10" s="1"/>
  <c r="Z195" i="10"/>
  <c r="Z119" i="10"/>
  <c r="AB119" i="10" s="1"/>
  <c r="Z190" i="10"/>
  <c r="AA190" i="10" s="1"/>
  <c r="Z184" i="10"/>
  <c r="AA184" i="10" s="1"/>
  <c r="Z491" i="10"/>
  <c r="AB491" i="10" s="1"/>
  <c r="Z418" i="10"/>
  <c r="AB418" i="10" s="1"/>
  <c r="Z291" i="10"/>
  <c r="AA291" i="10" s="1"/>
  <c r="Z66" i="10"/>
  <c r="AA66" i="10" s="1"/>
  <c r="Z216" i="10"/>
  <c r="AA216" i="10" s="1"/>
  <c r="Z459" i="10"/>
  <c r="AB459" i="10" s="1"/>
  <c r="Z457" i="10"/>
  <c r="AA457" i="10" s="1"/>
  <c r="Z439" i="10"/>
  <c r="AB439" i="10" s="1"/>
  <c r="Z102" i="10"/>
  <c r="AB102" i="10" s="1"/>
  <c r="Z474" i="10"/>
  <c r="AA474" i="10" s="1"/>
  <c r="Z214" i="10"/>
  <c r="AA214" i="10" s="1"/>
  <c r="Z409" i="10"/>
  <c r="AA409" i="10" s="1"/>
  <c r="Z476" i="10"/>
  <c r="Z518" i="10"/>
  <c r="AA518" i="10" s="1"/>
  <c r="Z301" i="10"/>
  <c r="AA301" i="10" s="1"/>
  <c r="Z241" i="10"/>
  <c r="AB241" i="10" s="1"/>
  <c r="Z64" i="10"/>
  <c r="AB64" i="10" s="1"/>
  <c r="Z24" i="10"/>
  <c r="AA24" i="10" s="1"/>
  <c r="Z272" i="10"/>
  <c r="AB272" i="10" s="1"/>
  <c r="Z250" i="10"/>
  <c r="AA250" i="10" s="1"/>
  <c r="Z395" i="10"/>
  <c r="Z382" i="10"/>
  <c r="AB382" i="10" s="1"/>
  <c r="Z390" i="10"/>
  <c r="AB390" i="10" s="1"/>
  <c r="Z421" i="10"/>
  <c r="AA421" i="10" s="1"/>
  <c r="Z464" i="10"/>
  <c r="AA464" i="10" s="1"/>
  <c r="Z429" i="10"/>
  <c r="AB429" i="10" s="1"/>
  <c r="Z91" i="10"/>
  <c r="AB91" i="10" s="1"/>
  <c r="Z340" i="10"/>
  <c r="AB340" i="10" s="1"/>
  <c r="Z363" i="10"/>
  <c r="Z515" i="10"/>
  <c r="AB515" i="10" s="1"/>
  <c r="Z220" i="10"/>
  <c r="AA220" i="10" s="1"/>
  <c r="Z28" i="10"/>
  <c r="AB28" i="10" s="1"/>
  <c r="Z321" i="10"/>
  <c r="Z501" i="10"/>
  <c r="AB501" i="10" s="1"/>
  <c r="Z108" i="10"/>
  <c r="AB108" i="10" s="1"/>
  <c r="Z401" i="10"/>
  <c r="AA401" i="10" s="1"/>
  <c r="Z70" i="10"/>
  <c r="AB70" i="10" s="1"/>
  <c r="Z365" i="10"/>
  <c r="AB365" i="10" s="1"/>
  <c r="Z458" i="10"/>
  <c r="AA458" i="10" s="1"/>
  <c r="Z199" i="10"/>
  <c r="Z490" i="10"/>
  <c r="Z336" i="10"/>
  <c r="AA336" i="10" s="1"/>
  <c r="Z180" i="10"/>
  <c r="AA180" i="10" s="1"/>
  <c r="Z353" i="10"/>
  <c r="Z450" i="10"/>
  <c r="Z297" i="10"/>
  <c r="AA297" i="10" s="1"/>
  <c r="Z88" i="10"/>
  <c r="AA88" i="10" s="1"/>
  <c r="Z194" i="10"/>
  <c r="AB194" i="10" s="1"/>
  <c r="Z462" i="10"/>
  <c r="Z140" i="10"/>
  <c r="AB140" i="10" s="1"/>
  <c r="Z525" i="10"/>
  <c r="AA525" i="10" s="1"/>
  <c r="Z103" i="10"/>
  <c r="AA103" i="10" s="1"/>
  <c r="Z549" i="10"/>
  <c r="Z289" i="10"/>
  <c r="AB289" i="10" s="1"/>
  <c r="Z266" i="10"/>
  <c r="AA266" i="10" s="1"/>
  <c r="Z528" i="10"/>
  <c r="AB528" i="10" s="1"/>
  <c r="Z397" i="10"/>
  <c r="AB397" i="10" s="1"/>
  <c r="Z109" i="10"/>
  <c r="AA109" i="10" s="1"/>
  <c r="Z209" i="10"/>
  <c r="AB209" i="10" s="1"/>
  <c r="Z264" i="10"/>
  <c r="AA264" i="10" s="1"/>
  <c r="Z191" i="10"/>
  <c r="Z405" i="10"/>
  <c r="AB405" i="10" s="1"/>
  <c r="Z273" i="10"/>
  <c r="AA273" i="10" s="1"/>
  <c r="Z61" i="10"/>
  <c r="AB61" i="10" s="1"/>
  <c r="Z278" i="10"/>
  <c r="Z350" i="10"/>
  <c r="AB350" i="10" s="1"/>
  <c r="Z38" i="10"/>
  <c r="AB38" i="10" s="1"/>
  <c r="Z144" i="10"/>
  <c r="AB144" i="10" s="1"/>
  <c r="Z407" i="10"/>
  <c r="AB407" i="10" s="1"/>
  <c r="Z269" i="10"/>
  <c r="AB269" i="10" s="1"/>
  <c r="Z157" i="10"/>
  <c r="AB157" i="10" s="1"/>
  <c r="Z234" i="10"/>
  <c r="AB234" i="10" s="1"/>
  <c r="Z306" i="10"/>
  <c r="Z302" i="10"/>
  <c r="AA302" i="10" s="1"/>
  <c r="Z210" i="10"/>
  <c r="AB210" i="10" s="1"/>
  <c r="Z50" i="10"/>
  <c r="AB50" i="10" s="1"/>
  <c r="Z330" i="10"/>
  <c r="AB330" i="10" s="1"/>
  <c r="Z494" i="10"/>
  <c r="AA494" i="10" s="1"/>
  <c r="Z208" i="10"/>
  <c r="AB208" i="10" s="1"/>
  <c r="Z364" i="10"/>
  <c r="AB364" i="10" s="1"/>
  <c r="Z509" i="10"/>
  <c r="Z189" i="10"/>
  <c r="AA189" i="10" s="1"/>
  <c r="Z506" i="10"/>
  <c r="AA506" i="10" s="1"/>
  <c r="Z127" i="10"/>
  <c r="AA127" i="10" s="1"/>
  <c r="Z411" i="10"/>
  <c r="Z258" i="10"/>
  <c r="AA258" i="10" s="1"/>
  <c r="Z72" i="10"/>
  <c r="AA72" i="10" s="1"/>
  <c r="Z372" i="10"/>
  <c r="AA372" i="10" s="1"/>
  <c r="Z440" i="10"/>
  <c r="Z305" i="10"/>
  <c r="AB305" i="10" s="1"/>
  <c r="Z146" i="10"/>
  <c r="AB146" i="10" s="1"/>
  <c r="Z55" i="10"/>
  <c r="AB55" i="10" s="1"/>
  <c r="Z499" i="10"/>
  <c r="Z147" i="10"/>
  <c r="AA147" i="10" s="1"/>
  <c r="Z497" i="10"/>
  <c r="AB497" i="10" s="1"/>
  <c r="Z36" i="10"/>
  <c r="AB36" i="10" s="1"/>
  <c r="Z45" i="10"/>
  <c r="Z155" i="10"/>
  <c r="AA155" i="10" s="1"/>
  <c r="Z327" i="10"/>
  <c r="AA327" i="10" s="1"/>
  <c r="T157" i="4"/>
  <c r="Z370" i="10"/>
  <c r="AA370" i="10" s="1"/>
  <c r="Z437" i="10"/>
  <c r="AA437" i="10" s="1"/>
  <c r="Z510" i="10"/>
  <c r="AB510" i="10" s="1"/>
  <c r="Z447" i="10"/>
  <c r="AA447" i="10" s="1"/>
  <c r="Z344" i="10"/>
  <c r="AA344" i="10" s="1"/>
  <c r="Z49" i="10"/>
  <c r="AB49" i="10" s="1"/>
  <c r="Z107" i="10"/>
  <c r="AB107" i="10" s="1"/>
  <c r="Z121" i="10"/>
  <c r="AB121" i="10" s="1"/>
  <c r="Z343" i="10"/>
  <c r="AA343" i="10" s="1"/>
  <c r="T136" i="4"/>
  <c r="T72" i="4"/>
  <c r="T15" i="4"/>
  <c r="T74" i="4"/>
  <c r="T148" i="4"/>
  <c r="T116" i="4"/>
  <c r="T27" i="4"/>
  <c r="T118" i="4"/>
  <c r="T54" i="4"/>
  <c r="T153" i="4"/>
  <c r="T137" i="4"/>
  <c r="T113" i="4"/>
  <c r="T97" i="4"/>
  <c r="T81" i="4"/>
  <c r="T57" i="4"/>
  <c r="T41" i="4"/>
  <c r="BW7" i="4"/>
  <c r="T7" i="4"/>
  <c r="T144" i="4"/>
  <c r="T112" i="4"/>
  <c r="T80" i="4"/>
  <c r="T48" i="4"/>
  <c r="T18" i="4"/>
  <c r="T146" i="4"/>
  <c r="T114" i="4"/>
  <c r="T82" i="4"/>
  <c r="T50" i="4"/>
  <c r="T28" i="4"/>
  <c r="T156" i="4"/>
  <c r="T124" i="4"/>
  <c r="T92" i="4"/>
  <c r="T60" i="4"/>
  <c r="T31" i="4"/>
  <c r="T8" i="4"/>
  <c r="T126" i="4"/>
  <c r="T94" i="4"/>
  <c r="T62" i="4"/>
  <c r="T37" i="4"/>
  <c r="T13" i="4"/>
  <c r="T155" i="4"/>
  <c r="T147" i="4"/>
  <c r="T139" i="4"/>
  <c r="T131" i="4"/>
  <c r="T123" i="4"/>
  <c r="T115" i="4"/>
  <c r="T107" i="4"/>
  <c r="T99" i="4"/>
  <c r="T91" i="4"/>
  <c r="T83" i="4"/>
  <c r="T75" i="4"/>
  <c r="T67" i="4"/>
  <c r="T59" i="4"/>
  <c r="T51" i="4"/>
  <c r="T43" i="4"/>
  <c r="T30" i="4"/>
  <c r="T36" i="4"/>
  <c r="T106" i="4"/>
  <c r="T24" i="4"/>
  <c r="T52" i="4"/>
  <c r="T86" i="4"/>
  <c r="T11" i="4"/>
  <c r="T129" i="4"/>
  <c r="T105" i="4"/>
  <c r="T73" i="4"/>
  <c r="T49" i="4"/>
  <c r="T10" i="4"/>
  <c r="T128" i="4"/>
  <c r="T96" i="4"/>
  <c r="T64" i="4"/>
  <c r="T32" i="4"/>
  <c r="T12" i="4"/>
  <c r="T130" i="4"/>
  <c r="T98" i="4"/>
  <c r="T66" i="4"/>
  <c r="T39" i="4"/>
  <c r="T21" i="4"/>
  <c r="T140" i="4"/>
  <c r="T108" i="4"/>
  <c r="T76" i="4"/>
  <c r="T44" i="4"/>
  <c r="T20" i="4"/>
  <c r="T142" i="4"/>
  <c r="T110" i="4"/>
  <c r="T78" i="4"/>
  <c r="T46" i="4"/>
  <c r="T23" i="4"/>
  <c r="T9" i="4"/>
  <c r="T151" i="4"/>
  <c r="T143" i="4"/>
  <c r="T135" i="4"/>
  <c r="T127" i="4"/>
  <c r="T119" i="4"/>
  <c r="T111" i="4"/>
  <c r="T103" i="4"/>
  <c r="T95" i="4"/>
  <c r="T87" i="4"/>
  <c r="T79" i="4"/>
  <c r="T71" i="4"/>
  <c r="T63" i="4"/>
  <c r="T55" i="4"/>
  <c r="T47" i="4"/>
  <c r="T38" i="4"/>
  <c r="T22" i="4"/>
  <c r="T104" i="4"/>
  <c r="T138" i="4"/>
  <c r="T42" i="4"/>
  <c r="T84" i="4"/>
  <c r="T150" i="4"/>
  <c r="T26" i="4"/>
  <c r="T145" i="4"/>
  <c r="T121" i="4"/>
  <c r="T89" i="4"/>
  <c r="T65" i="4"/>
  <c r="T25" i="4"/>
  <c r="T152" i="4"/>
  <c r="T120" i="4"/>
  <c r="T88" i="4"/>
  <c r="T56" i="4"/>
  <c r="T29" i="4"/>
  <c r="T154" i="4"/>
  <c r="T122" i="4"/>
  <c r="T90" i="4"/>
  <c r="T58" i="4"/>
  <c r="T35" i="4"/>
  <c r="T14" i="4"/>
  <c r="T132" i="4"/>
  <c r="T100" i="4"/>
  <c r="T68" i="4"/>
  <c r="T34" i="4"/>
  <c r="T16" i="4"/>
  <c r="T134" i="4"/>
  <c r="T102" i="4"/>
  <c r="T70" i="4"/>
  <c r="T40" i="4"/>
  <c r="T19" i="4"/>
  <c r="T149" i="4"/>
  <c r="T141" i="4"/>
  <c r="T133" i="4"/>
  <c r="T125" i="4"/>
  <c r="T117" i="4"/>
  <c r="T109" i="4"/>
  <c r="T101" i="4"/>
  <c r="T93" i="4"/>
  <c r="T85" i="4"/>
  <c r="T77" i="4"/>
  <c r="T69" i="4"/>
  <c r="T61" i="4"/>
  <c r="T53" i="4"/>
  <c r="T45" i="4"/>
  <c r="T33" i="4"/>
  <c r="T17" i="4"/>
  <c r="Z133" i="10"/>
  <c r="AB133" i="10" s="1"/>
  <c r="Z231" i="10"/>
  <c r="AB231" i="10" s="1"/>
  <c r="Z313" i="10"/>
  <c r="AB313" i="10" s="1"/>
  <c r="Z338" i="10"/>
  <c r="AB338" i="10" s="1"/>
  <c r="Z355" i="10"/>
  <c r="Z388" i="10"/>
  <c r="AA388" i="10" s="1"/>
  <c r="Z484" i="10"/>
  <c r="AA484" i="10" s="1"/>
  <c r="Z508" i="10"/>
  <c r="AB508" i="10" s="1"/>
  <c r="Z40" i="10"/>
  <c r="AB40" i="10" s="1"/>
  <c r="Z456" i="10"/>
  <c r="AB456" i="10" s="1"/>
  <c r="Z168" i="10"/>
  <c r="AA168" i="10" s="1"/>
  <c r="Z25" i="10"/>
  <c r="AB25" i="10" s="1"/>
  <c r="Z51" i="10"/>
  <c r="AB51" i="10" s="1"/>
  <c r="Z41" i="10"/>
  <c r="AA41" i="10" s="1"/>
  <c r="Z317" i="10"/>
  <c r="AB317" i="10" s="1"/>
  <c r="Z410" i="10"/>
  <c r="AA410" i="10" s="1"/>
  <c r="Z215" i="10"/>
  <c r="AA215" i="10" s="1"/>
  <c r="Z279" i="10"/>
  <c r="AA279" i="10" s="1"/>
  <c r="Z345" i="10"/>
  <c r="AB345" i="10" s="1"/>
  <c r="Z354" i="10"/>
  <c r="AA354" i="10" s="1"/>
  <c r="Z339" i="10"/>
  <c r="AB339" i="10" s="1"/>
  <c r="Z406" i="10"/>
  <c r="AB406" i="10" s="1"/>
  <c r="Z420" i="10"/>
  <c r="AA420" i="10" s="1"/>
  <c r="Z466" i="10"/>
  <c r="AA466" i="10" s="1"/>
  <c r="Z500" i="10"/>
  <c r="AA500" i="10" s="1"/>
  <c r="Z537" i="10"/>
  <c r="AA537" i="10" s="1"/>
  <c r="Z240" i="10"/>
  <c r="AA240" i="10" s="1"/>
  <c r="Z448" i="10"/>
  <c r="AB448" i="10" s="1"/>
  <c r="Z229" i="10"/>
  <c r="AA229" i="10" s="1"/>
  <c r="Z110" i="10"/>
  <c r="AB110" i="10" s="1"/>
  <c r="Z58" i="10"/>
  <c r="AB58" i="10" s="1"/>
  <c r="Z73" i="10"/>
  <c r="AA73" i="10" s="1"/>
  <c r="Z174" i="10"/>
  <c r="Z187" i="10"/>
  <c r="AA187" i="10" s="1"/>
  <c r="Z326" i="10"/>
  <c r="AA326" i="10" s="1"/>
  <c r="Z441" i="10"/>
  <c r="AA441" i="10" s="1"/>
  <c r="Z286" i="10"/>
  <c r="AA286" i="10" s="1"/>
  <c r="Z513" i="10"/>
  <c r="AA513" i="10" s="1"/>
  <c r="Z371" i="10"/>
  <c r="AA371" i="10" s="1"/>
  <c r="Z387" i="10"/>
  <c r="AA387" i="10" s="1"/>
  <c r="Z84" i="10"/>
  <c r="AB84" i="10" s="1"/>
  <c r="Z83" i="10"/>
  <c r="AA83" i="10" s="1"/>
  <c r="Z178" i="10"/>
  <c r="AA178" i="10" s="1"/>
  <c r="Z89" i="10"/>
  <c r="AB89" i="10" s="1"/>
  <c r="Z54" i="10"/>
  <c r="AA54" i="10" s="1"/>
  <c r="Z105" i="10"/>
  <c r="AB105" i="10" s="1"/>
  <c r="Z267" i="10"/>
  <c r="AB267" i="10" s="1"/>
  <c r="Z311" i="10"/>
  <c r="AB311" i="10" s="1"/>
  <c r="Z392" i="10"/>
  <c r="AB392" i="10" s="1"/>
  <c r="Z12" i="10"/>
  <c r="AA12" i="10" s="1"/>
  <c r="Z531" i="10"/>
  <c r="AA531" i="10" s="1"/>
  <c r="Z13" i="10"/>
  <c r="AB13" i="10" s="1"/>
  <c r="Z171" i="10"/>
  <c r="AB171" i="10" s="1"/>
  <c r="Z283" i="10"/>
  <c r="AA283" i="10" s="1"/>
  <c r="Z342" i="10"/>
  <c r="AA342" i="10" s="1"/>
  <c r="Z394" i="10"/>
  <c r="AA394" i="10" s="1"/>
  <c r="Z454" i="10"/>
  <c r="AB454" i="10" s="1"/>
  <c r="Z535" i="10"/>
  <c r="AB535" i="10" s="1"/>
  <c r="Z137" i="10"/>
  <c r="AA137" i="10" s="1"/>
  <c r="Z251" i="10"/>
  <c r="AB251" i="10" s="1"/>
  <c r="Z333" i="10"/>
  <c r="AA333" i="10" s="1"/>
  <c r="Z358" i="10"/>
  <c r="AB358" i="10" s="1"/>
  <c r="Z374" i="10"/>
  <c r="AA374" i="10" s="1"/>
  <c r="Z408" i="10"/>
  <c r="AB408" i="10" s="1"/>
  <c r="Z507" i="10"/>
  <c r="AB507" i="10" s="1"/>
  <c r="Z10" i="10"/>
  <c r="AB10" i="10" s="1"/>
  <c r="Z123" i="10"/>
  <c r="AB123" i="10" s="1"/>
  <c r="Z79" i="10"/>
  <c r="AB79" i="10" s="1"/>
  <c r="Z198" i="10"/>
  <c r="Z153" i="10"/>
  <c r="AB153" i="10" s="1"/>
  <c r="Z235" i="10"/>
  <c r="AA235" i="10" s="1"/>
  <c r="Z299" i="10"/>
  <c r="AA299" i="10" s="1"/>
  <c r="Z310" i="10"/>
  <c r="Z431" i="10"/>
  <c r="AA431" i="10" s="1"/>
  <c r="Z359" i="10"/>
  <c r="AA359" i="10" s="1"/>
  <c r="Z426" i="10"/>
  <c r="AA426" i="10" s="1"/>
  <c r="Z472" i="10"/>
  <c r="Z514" i="10"/>
  <c r="AB514" i="10" s="1"/>
  <c r="Z552" i="10"/>
  <c r="AB552" i="10" s="1"/>
  <c r="Z8" i="10"/>
  <c r="AA8" i="10" s="1"/>
  <c r="Z424" i="10"/>
  <c r="Z486" i="10"/>
  <c r="AB486" i="10" s="1"/>
  <c r="Z511" i="10"/>
  <c r="AB511" i="10" s="1"/>
  <c r="Z555" i="10"/>
  <c r="AA555" i="10" s="1"/>
  <c r="AT12" i="10"/>
  <c r="AU12" i="10"/>
  <c r="AT13" i="10"/>
  <c r="AU13" i="10"/>
  <c r="B41" i="10"/>
  <c r="P19" i="10" s="1"/>
  <c r="B42" i="10"/>
  <c r="Q231" i="10" s="1"/>
  <c r="V10" i="10"/>
  <c r="U10" i="10"/>
  <c r="AH10" i="10"/>
  <c r="AI10" i="10"/>
  <c r="AL10" i="10"/>
  <c r="AK10" i="10"/>
  <c r="AQ10" i="10"/>
  <c r="AR10" i="10"/>
  <c r="AN10" i="10"/>
  <c r="AO10" i="10"/>
  <c r="AS10" i="10"/>
  <c r="W10" i="10"/>
  <c r="W7" i="10"/>
  <c r="W13" i="10"/>
  <c r="W12" i="10"/>
  <c r="W8" i="10"/>
  <c r="AB263" i="10"/>
  <c r="AA263" i="10"/>
  <c r="W544" i="10"/>
  <c r="W540" i="10"/>
  <c r="W539" i="10"/>
  <c r="W543" i="10"/>
  <c r="W519" i="10"/>
  <c r="W515" i="10"/>
  <c r="W503" i="10"/>
  <c r="W499" i="10"/>
  <c r="W495" i="10"/>
  <c r="W538" i="10"/>
  <c r="W518" i="10"/>
  <c r="W498" i="10"/>
  <c r="W486" i="10"/>
  <c r="W489" i="10"/>
  <c r="W479" i="10"/>
  <c r="W475" i="10"/>
  <c r="W452" i="10"/>
  <c r="W448" i="10"/>
  <c r="W444" i="10"/>
  <c r="W440" i="10"/>
  <c r="W434" i="10"/>
  <c r="W494" i="10"/>
  <c r="W467" i="10"/>
  <c r="W459" i="10"/>
  <c r="W463" i="10"/>
  <c r="W455" i="10"/>
  <c r="W385" i="10"/>
  <c r="W383" i="10"/>
  <c r="W379" i="10"/>
  <c r="W375" i="10"/>
  <c r="W371" i="10"/>
  <c r="W429" i="10"/>
  <c r="W425" i="10"/>
  <c r="W421" i="10"/>
  <c r="W417" i="10"/>
  <c r="W413" i="10"/>
  <c r="W409" i="10"/>
  <c r="W405" i="10"/>
  <c r="W401" i="10"/>
  <c r="W397" i="10"/>
  <c r="W393" i="10"/>
  <c r="W389" i="10"/>
  <c r="W387" i="10"/>
  <c r="W367" i="10"/>
  <c r="W363" i="10"/>
  <c r="W306" i="10"/>
  <c r="W302" i="10"/>
  <c r="W298" i="10"/>
  <c r="W294" i="10"/>
  <c r="W290" i="10"/>
  <c r="W286" i="10"/>
  <c r="W282" i="10"/>
  <c r="W278" i="10"/>
  <c r="W274" i="10"/>
  <c r="W270" i="10"/>
  <c r="W266" i="10"/>
  <c r="W262" i="10"/>
  <c r="W258" i="10"/>
  <c r="W254" i="10"/>
  <c r="W250" i="10"/>
  <c r="W246" i="10"/>
  <c r="W241" i="10"/>
  <c r="W237" i="10"/>
  <c r="W233" i="10"/>
  <c r="W229" i="10"/>
  <c r="W225" i="10"/>
  <c r="W221" i="10"/>
  <c r="W217" i="10"/>
  <c r="W213" i="10"/>
  <c r="W209" i="10"/>
  <c r="W244" i="10"/>
  <c r="W240" i="10"/>
  <c r="W236" i="10"/>
  <c r="W232" i="10"/>
  <c r="W228" i="10"/>
  <c r="W224" i="10"/>
  <c r="W220" i="10"/>
  <c r="W216" i="10"/>
  <c r="W212" i="10"/>
  <c r="W193" i="10"/>
  <c r="W189" i="10"/>
  <c r="W185" i="10"/>
  <c r="W181" i="10"/>
  <c r="W177" i="10"/>
  <c r="W173" i="10"/>
  <c r="W169" i="10"/>
  <c r="W165" i="10"/>
  <c r="W201" i="10"/>
  <c r="W162" i="10"/>
  <c r="W154" i="10"/>
  <c r="W102" i="10"/>
  <c r="W192" i="10"/>
  <c r="W188" i="10"/>
  <c r="W184" i="10"/>
  <c r="W180" i="10"/>
  <c r="W176" i="10"/>
  <c r="W172" i="10"/>
  <c r="W168" i="10"/>
  <c r="W164" i="10"/>
  <c r="B46" i="10"/>
  <c r="W142" i="10"/>
  <c r="W138" i="10"/>
  <c r="W126" i="10"/>
  <c r="W118" i="10"/>
  <c r="W110" i="10"/>
  <c r="W106" i="10"/>
  <c r="W242" i="10"/>
  <c r="W238" i="10"/>
  <c r="W234" i="10"/>
  <c r="W230" i="10"/>
  <c r="W226" i="10"/>
  <c r="W222" i="10"/>
  <c r="W218" i="10"/>
  <c r="W214" i="10"/>
  <c r="W210" i="10"/>
  <c r="W205" i="10"/>
  <c r="W197" i="10"/>
  <c r="W61" i="10"/>
  <c r="W158" i="10"/>
  <c r="W150" i="10"/>
  <c r="W146" i="10"/>
  <c r="W134" i="10"/>
  <c r="W130" i="10"/>
  <c r="W122" i="10"/>
  <c r="W114" i="10"/>
  <c r="W40" i="10"/>
  <c r="W37" i="10"/>
  <c r="W34" i="10"/>
  <c r="W27" i="10"/>
  <c r="O9" i="10"/>
  <c r="W32" i="10"/>
  <c r="W30" i="10"/>
  <c r="W21" i="10"/>
  <c r="W200" i="10"/>
  <c r="W69" i="10"/>
  <c r="W74" i="10"/>
  <c r="W90" i="10"/>
  <c r="W47" i="10"/>
  <c r="W23" i="10"/>
  <c r="W31" i="10"/>
  <c r="W43" i="10"/>
  <c r="W58" i="10"/>
  <c r="W49" i="10"/>
  <c r="W22" i="10"/>
  <c r="W33" i="10"/>
  <c r="W46" i="10"/>
  <c r="W80" i="10"/>
  <c r="W96" i="10"/>
  <c r="W204" i="10"/>
  <c r="W65" i="10"/>
  <c r="W75" i="10"/>
  <c r="W91" i="10"/>
  <c r="W147" i="10"/>
  <c r="W163" i="10"/>
  <c r="W73" i="10"/>
  <c r="W89" i="10"/>
  <c r="W101" i="10"/>
  <c r="W109" i="10"/>
  <c r="W117" i="10"/>
  <c r="W125" i="10"/>
  <c r="W133" i="10"/>
  <c r="W149" i="10"/>
  <c r="W198" i="10"/>
  <c r="W206" i="10"/>
  <c r="W373" i="10"/>
  <c r="W171" i="10"/>
  <c r="W187" i="10"/>
  <c r="W203" i="10"/>
  <c r="W219" i="10"/>
  <c r="W235" i="10"/>
  <c r="W316" i="10"/>
  <c r="W332" i="10"/>
  <c r="W348" i="10"/>
  <c r="W310" i="10"/>
  <c r="W318" i="10"/>
  <c r="W326" i="10"/>
  <c r="W334" i="10"/>
  <c r="W342" i="10"/>
  <c r="W350" i="10"/>
  <c r="W358" i="10"/>
  <c r="W376" i="10"/>
  <c r="W465" i="10"/>
  <c r="W247" i="10"/>
  <c r="W263" i="10"/>
  <c r="W279" i="10"/>
  <c r="W295" i="10"/>
  <c r="W403" i="10"/>
  <c r="W419" i="10"/>
  <c r="W370" i="10"/>
  <c r="W433" i="10"/>
  <c r="W442" i="10"/>
  <c r="W450" i="10"/>
  <c r="W451" i="10"/>
  <c r="W483" i="10"/>
  <c r="W476" i="10"/>
  <c r="W484" i="10"/>
  <c r="W493" i="10"/>
  <c r="W466" i="10"/>
  <c r="W474" i="10"/>
  <c r="W492" i="10"/>
  <c r="W516" i="10"/>
  <c r="W500" i="10"/>
  <c r="W527" i="10"/>
  <c r="W532" i="10"/>
  <c r="W521" i="10"/>
  <c r="W535" i="10"/>
  <c r="W533" i="10"/>
  <c r="W542" i="10"/>
  <c r="W553" i="10"/>
  <c r="W548" i="10"/>
  <c r="W557" i="10"/>
  <c r="W559" i="10"/>
  <c r="W549" i="10"/>
  <c r="W199" i="10"/>
  <c r="W368" i="10"/>
  <c r="W337" i="10"/>
  <c r="W345" i="10"/>
  <c r="W369" i="10"/>
  <c r="W259" i="10"/>
  <c r="W307" i="10"/>
  <c r="W331" i="10"/>
  <c r="W399" i="10"/>
  <c r="W388" i="10"/>
  <c r="W420" i="10"/>
  <c r="W382" i="10"/>
  <c r="W406" i="10"/>
  <c r="W456" i="10"/>
  <c r="W485" i="10"/>
  <c r="W462" i="10"/>
  <c r="W508" i="10"/>
  <c r="W526" i="10"/>
  <c r="W555" i="10"/>
  <c r="W42" i="10"/>
  <c r="W208" i="10"/>
  <c r="W50" i="10"/>
  <c r="W54" i="10"/>
  <c r="W57" i="10"/>
  <c r="W78" i="10"/>
  <c r="W94" i="10"/>
  <c r="W56" i="10"/>
  <c r="W64" i="10"/>
  <c r="W166" i="10"/>
  <c r="W174" i="10"/>
  <c r="W182" i="10"/>
  <c r="W190" i="10"/>
  <c r="W25" i="10"/>
  <c r="W35" i="10"/>
  <c r="W41" i="10"/>
  <c r="W24" i="10"/>
  <c r="W29" i="10"/>
  <c r="W36" i="10"/>
  <c r="W53" i="10"/>
  <c r="W84" i="10"/>
  <c r="W67" i="10"/>
  <c r="W87" i="10"/>
  <c r="W143" i="10"/>
  <c r="W159" i="10"/>
  <c r="W248" i="10"/>
  <c r="W256" i="10"/>
  <c r="W264" i="10"/>
  <c r="W272" i="10"/>
  <c r="W280" i="10"/>
  <c r="W288" i="10"/>
  <c r="W296" i="10"/>
  <c r="W100" i="10"/>
  <c r="W108" i="10"/>
  <c r="W116" i="10"/>
  <c r="W124" i="10"/>
  <c r="W132" i="10"/>
  <c r="W140" i="10"/>
  <c r="W148" i="10"/>
  <c r="W156" i="10"/>
  <c r="W77" i="10"/>
  <c r="W93" i="10"/>
  <c r="W145" i="10"/>
  <c r="W161" i="10"/>
  <c r="W245" i="10"/>
  <c r="W249" i="10"/>
  <c r="W253" i="10"/>
  <c r="W257" i="10"/>
  <c r="W261" i="10"/>
  <c r="W265" i="10"/>
  <c r="W269" i="10"/>
  <c r="W273" i="10"/>
  <c r="W277" i="10"/>
  <c r="W281" i="10"/>
  <c r="W285" i="10"/>
  <c r="W289" i="10"/>
  <c r="W293" i="10"/>
  <c r="W297" i="10"/>
  <c r="W301" i="10"/>
  <c r="W300" i="10"/>
  <c r="W175" i="10"/>
  <c r="W191" i="10"/>
  <c r="W207" i="10"/>
  <c r="W223" i="10"/>
  <c r="W239" i="10"/>
  <c r="W320" i="10"/>
  <c r="W336" i="10"/>
  <c r="W352" i="10"/>
  <c r="W364" i="10"/>
  <c r="W309" i="10"/>
  <c r="W317" i="10"/>
  <c r="W325" i="10"/>
  <c r="W333" i="10"/>
  <c r="W341" i="10"/>
  <c r="W349" i="10"/>
  <c r="W357" i="10"/>
  <c r="W365" i="10"/>
  <c r="W380" i="10"/>
  <c r="W435" i="10"/>
  <c r="W251" i="10"/>
  <c r="W267" i="10"/>
  <c r="W283" i="10"/>
  <c r="W299" i="10"/>
  <c r="W311" i="10"/>
  <c r="W319" i="10"/>
  <c r="W327" i="10"/>
  <c r="W335" i="10"/>
  <c r="W343" i="10"/>
  <c r="W351" i="10"/>
  <c r="W359" i="10"/>
  <c r="W469" i="10"/>
  <c r="W391" i="10"/>
  <c r="W407" i="10"/>
  <c r="W423" i="10"/>
  <c r="W384" i="10"/>
  <c r="W392" i="10"/>
  <c r="W400" i="10"/>
  <c r="W408" i="10"/>
  <c r="W416" i="10"/>
  <c r="W432" i="10"/>
  <c r="W436" i="10"/>
  <c r="W374" i="10"/>
  <c r="W386" i="10"/>
  <c r="W394" i="10"/>
  <c r="W402" i="10"/>
  <c r="W410" i="10"/>
  <c r="W418" i="10"/>
  <c r="W426" i="10"/>
  <c r="W437" i="10"/>
  <c r="W441" i="10"/>
  <c r="W445" i="10"/>
  <c r="W449" i="10"/>
  <c r="W453" i="10"/>
  <c r="W460" i="10"/>
  <c r="W468" i="10"/>
  <c r="W490" i="10"/>
  <c r="W439" i="10"/>
  <c r="W454" i="10"/>
  <c r="W470" i="10"/>
  <c r="W505" i="10"/>
  <c r="W497" i="10"/>
  <c r="W506" i="10"/>
  <c r="W514" i="10"/>
  <c r="W504" i="10"/>
  <c r="W523" i="10"/>
  <c r="W524" i="10"/>
  <c r="W551" i="10"/>
  <c r="W531" i="10"/>
  <c r="W550" i="10"/>
  <c r="W541" i="10"/>
  <c r="W558" i="10"/>
  <c r="W556" i="10"/>
  <c r="W153" i="10"/>
  <c r="W381" i="10"/>
  <c r="W304" i="10"/>
  <c r="W215" i="10"/>
  <c r="W312" i="10"/>
  <c r="W344" i="10"/>
  <c r="W360" i="10"/>
  <c r="W321" i="10"/>
  <c r="W291" i="10"/>
  <c r="W323" i="10"/>
  <c r="W347" i="10"/>
  <c r="W396" i="10"/>
  <c r="W390" i="10"/>
  <c r="W422" i="10"/>
  <c r="W477" i="10"/>
  <c r="W491" i="10"/>
  <c r="W501" i="10"/>
  <c r="W510" i="10"/>
  <c r="W517" i="10"/>
  <c r="W536" i="10"/>
  <c r="W537" i="10"/>
  <c r="W552" i="10"/>
  <c r="W82" i="10"/>
  <c r="W98" i="10"/>
  <c r="W66" i="10"/>
  <c r="W48" i="10"/>
  <c r="W19" i="10"/>
  <c r="W20" i="10"/>
  <c r="W44" i="10"/>
  <c r="W59" i="10"/>
  <c r="W72" i="10"/>
  <c r="W88" i="10"/>
  <c r="W196" i="10"/>
  <c r="W60" i="10"/>
  <c r="W83" i="10"/>
  <c r="W99" i="10"/>
  <c r="W103" i="10"/>
  <c r="W107" i="10"/>
  <c r="W111" i="10"/>
  <c r="W115" i="10"/>
  <c r="W119" i="10"/>
  <c r="W123" i="10"/>
  <c r="W127" i="10"/>
  <c r="W131" i="10"/>
  <c r="W139" i="10"/>
  <c r="W155" i="10"/>
  <c r="W81" i="10"/>
  <c r="W97" i="10"/>
  <c r="W105" i="10"/>
  <c r="W113" i="10"/>
  <c r="W121" i="10"/>
  <c r="W129" i="10"/>
  <c r="W141" i="10"/>
  <c r="W157" i="10"/>
  <c r="W202" i="10"/>
  <c r="W305" i="10"/>
  <c r="W377" i="10"/>
  <c r="W179" i="10"/>
  <c r="W195" i="10"/>
  <c r="W211" i="10"/>
  <c r="W227" i="10"/>
  <c r="W243" i="10"/>
  <c r="W308" i="10"/>
  <c r="W324" i="10"/>
  <c r="W340" i="10"/>
  <c r="W356" i="10"/>
  <c r="W361" i="10"/>
  <c r="W314" i="10"/>
  <c r="W322" i="10"/>
  <c r="W330" i="10"/>
  <c r="W338" i="10"/>
  <c r="W346" i="10"/>
  <c r="W354" i="10"/>
  <c r="W255" i="10"/>
  <c r="W271" i="10"/>
  <c r="W287" i="10"/>
  <c r="W303" i="10"/>
  <c r="W461" i="10"/>
  <c r="W395" i="10"/>
  <c r="W411" i="10"/>
  <c r="W427" i="10"/>
  <c r="W431" i="10"/>
  <c r="W457" i="10"/>
  <c r="W424" i="10"/>
  <c r="W428" i="10"/>
  <c r="W362" i="10"/>
  <c r="W378" i="10"/>
  <c r="W430" i="10"/>
  <c r="W502" i="10"/>
  <c r="W438" i="10"/>
  <c r="W446" i="10"/>
  <c r="W471" i="10"/>
  <c r="W443" i="10"/>
  <c r="W472" i="10"/>
  <c r="W480" i="10"/>
  <c r="W458" i="10"/>
  <c r="W482" i="10"/>
  <c r="W487" i="10"/>
  <c r="W488" i="10"/>
  <c r="W520" i="10"/>
  <c r="W513" i="10"/>
  <c r="W522" i="10"/>
  <c r="W507" i="10"/>
  <c r="W511" i="10"/>
  <c r="W534" i="10"/>
  <c r="W512" i="10"/>
  <c r="W530" i="10"/>
  <c r="W529" i="10"/>
  <c r="W546" i="10"/>
  <c r="W547" i="10"/>
  <c r="W554" i="10"/>
  <c r="W545" i="10"/>
  <c r="W45" i="10"/>
  <c r="W52" i="10"/>
  <c r="W70" i="10"/>
  <c r="W86" i="10"/>
  <c r="W62" i="10"/>
  <c r="W71" i="10"/>
  <c r="W170" i="10"/>
  <c r="W178" i="10"/>
  <c r="W186" i="10"/>
  <c r="W194" i="10"/>
  <c r="W28" i="10"/>
  <c r="W38" i="10"/>
  <c r="W39" i="10"/>
  <c r="W26" i="10"/>
  <c r="W51" i="10"/>
  <c r="W55" i="10"/>
  <c r="W68" i="10"/>
  <c r="W76" i="10"/>
  <c r="W92" i="10"/>
  <c r="W63" i="10"/>
  <c r="W79" i="10"/>
  <c r="W95" i="10"/>
  <c r="W135" i="10"/>
  <c r="W151" i="10"/>
  <c r="W252" i="10"/>
  <c r="W260" i="10"/>
  <c r="W268" i="10"/>
  <c r="W276" i="10"/>
  <c r="W284" i="10"/>
  <c r="W292" i="10"/>
  <c r="W104" i="10"/>
  <c r="W112" i="10"/>
  <c r="W120" i="10"/>
  <c r="W128" i="10"/>
  <c r="W136" i="10"/>
  <c r="W144" i="10"/>
  <c r="W152" i="10"/>
  <c r="W160" i="10"/>
  <c r="W85" i="10"/>
  <c r="W137" i="10"/>
  <c r="W167" i="10"/>
  <c r="W183" i="10"/>
  <c r="W231" i="10"/>
  <c r="W328" i="10"/>
  <c r="W313" i="10"/>
  <c r="W329" i="10"/>
  <c r="W353" i="10"/>
  <c r="W372" i="10"/>
  <c r="W275" i="10"/>
  <c r="W315" i="10"/>
  <c r="W339" i="10"/>
  <c r="W355" i="10"/>
  <c r="W415" i="10"/>
  <c r="W404" i="10"/>
  <c r="W412" i="10"/>
  <c r="W366" i="10"/>
  <c r="W398" i="10"/>
  <c r="W414" i="10"/>
  <c r="W464" i="10"/>
  <c r="W447" i="10"/>
  <c r="W473" i="10"/>
  <c r="W481" i="10"/>
  <c r="W478" i="10"/>
  <c r="W509" i="10"/>
  <c r="W496" i="10"/>
  <c r="W528" i="10"/>
  <c r="W525" i="10"/>
  <c r="W560" i="10"/>
  <c r="Z7" i="5"/>
  <c r="P7" i="5"/>
  <c r="Q7" i="5"/>
  <c r="S7" i="5" s="1"/>
  <c r="B42" i="5"/>
  <c r="Q508" i="5" s="1"/>
  <c r="R508" i="5" s="1"/>
  <c r="B181" i="2"/>
  <c r="B260" i="2" s="1"/>
  <c r="B261" i="2" s="1"/>
  <c r="B41" i="5"/>
  <c r="P455" i="5" s="1"/>
  <c r="B187" i="2"/>
  <c r="B122" i="2" s="1"/>
  <c r="W7" i="5"/>
  <c r="B82" i="2"/>
  <c r="H26" i="1" s="1"/>
  <c r="B90" i="2"/>
  <c r="B86" i="2"/>
  <c r="Z10" i="5"/>
  <c r="AB10" i="5" s="1"/>
  <c r="W59" i="5"/>
  <c r="X59" i="5" s="1"/>
  <c r="H36" i="1"/>
  <c r="W525" i="5"/>
  <c r="Y525" i="5" s="1"/>
  <c r="W376" i="5"/>
  <c r="X376" i="5" s="1"/>
  <c r="W515" i="5"/>
  <c r="Y515" i="5" s="1"/>
  <c r="W190" i="5"/>
  <c r="X190" i="5" s="1"/>
  <c r="W554" i="5"/>
  <c r="X554" i="5" s="1"/>
  <c r="W415" i="5"/>
  <c r="X415" i="5" s="1"/>
  <c r="W544" i="5"/>
  <c r="X544" i="5" s="1"/>
  <c r="W536" i="5"/>
  <c r="Y536" i="5" s="1"/>
  <c r="W339" i="5"/>
  <c r="X339" i="5" s="1"/>
  <c r="W154" i="5"/>
  <c r="X154" i="5" s="1"/>
  <c r="W448" i="5"/>
  <c r="Y448" i="5" s="1"/>
  <c r="W214" i="5"/>
  <c r="Y214" i="5" s="1"/>
  <c r="W524" i="5"/>
  <c r="X524" i="5" s="1"/>
  <c r="W373" i="5"/>
  <c r="X373" i="5" s="1"/>
  <c r="W206" i="5"/>
  <c r="X206" i="5" s="1"/>
  <c r="W107" i="5"/>
  <c r="X107" i="5" s="1"/>
  <c r="W379" i="5"/>
  <c r="X379" i="5" s="1"/>
  <c r="W464" i="5"/>
  <c r="X464" i="5" s="1"/>
  <c r="W484" i="5"/>
  <c r="Y484" i="5" s="1"/>
  <c r="W337" i="5"/>
  <c r="X337" i="5" s="1"/>
  <c r="W216" i="5"/>
  <c r="X216" i="5" s="1"/>
  <c r="W45" i="5"/>
  <c r="X45" i="5" s="1"/>
  <c r="W40" i="5"/>
  <c r="Y40" i="5" s="1"/>
  <c r="W94" i="5"/>
  <c r="Y94" i="5" s="1"/>
  <c r="W102" i="5"/>
  <c r="Y102" i="5" s="1"/>
  <c r="W132" i="5"/>
  <c r="Y132" i="5" s="1"/>
  <c r="W150" i="5"/>
  <c r="X150" i="5" s="1"/>
  <c r="W103" i="5"/>
  <c r="Y103" i="5" s="1"/>
  <c r="W194" i="5"/>
  <c r="Y194" i="5" s="1"/>
  <c r="W200" i="5"/>
  <c r="X200" i="5" s="1"/>
  <c r="W211" i="5"/>
  <c r="X211" i="5" s="1"/>
  <c r="W267" i="5"/>
  <c r="X267" i="5" s="1"/>
  <c r="W329" i="5"/>
  <c r="Y329" i="5" s="1"/>
  <c r="W273" i="5"/>
  <c r="Y273" i="5" s="1"/>
  <c r="W332" i="5"/>
  <c r="X332" i="5" s="1"/>
  <c r="W323" i="5"/>
  <c r="X323" i="5" s="1"/>
  <c r="W335" i="5"/>
  <c r="Y335" i="5" s="1"/>
  <c r="W395" i="5"/>
  <c r="X395" i="5" s="1"/>
  <c r="W320" i="5"/>
  <c r="Y320" i="5" s="1"/>
  <c r="W381" i="5"/>
  <c r="X381" i="5" s="1"/>
  <c r="W410" i="5"/>
  <c r="X410" i="5" s="1"/>
  <c r="W285" i="5"/>
  <c r="Y285" i="5" s="1"/>
  <c r="W375" i="5"/>
  <c r="Y375" i="5" s="1"/>
  <c r="W405" i="5"/>
  <c r="X405" i="5" s="1"/>
  <c r="W361" i="5"/>
  <c r="X361" i="5" s="1"/>
  <c r="W455" i="5"/>
  <c r="Y455" i="5" s="1"/>
  <c r="W479" i="5"/>
  <c r="Y479" i="5" s="1"/>
  <c r="W506" i="5"/>
  <c r="X506" i="5" s="1"/>
  <c r="W535" i="5"/>
  <c r="Y535" i="5" s="1"/>
  <c r="W411" i="5"/>
  <c r="X411" i="5" s="1"/>
  <c r="W447" i="5"/>
  <c r="Y447" i="5" s="1"/>
  <c r="W489" i="5"/>
  <c r="X489" i="5" s="1"/>
  <c r="W514" i="5"/>
  <c r="X514" i="5" s="1"/>
  <c r="W404" i="5"/>
  <c r="Y404" i="5" s="1"/>
  <c r="W460" i="5"/>
  <c r="X460" i="5" s="1"/>
  <c r="W496" i="5"/>
  <c r="Y496" i="5" s="1"/>
  <c r="W523" i="5"/>
  <c r="X523" i="5" s="1"/>
  <c r="W558" i="5"/>
  <c r="X558" i="5" s="1"/>
  <c r="W531" i="5"/>
  <c r="X531" i="5" s="1"/>
  <c r="W457" i="5"/>
  <c r="Y457" i="5" s="1"/>
  <c r="W546" i="5"/>
  <c r="Y546" i="5" s="1"/>
  <c r="W500" i="5"/>
  <c r="X500" i="5" s="1"/>
  <c r="W553" i="5"/>
  <c r="Y553" i="5" s="1"/>
  <c r="W442" i="5"/>
  <c r="Y442" i="5" s="1"/>
  <c r="W492" i="5"/>
  <c r="X492" i="5" s="1"/>
  <c r="W549" i="5"/>
  <c r="Y549" i="5" s="1"/>
  <c r="W19" i="5"/>
  <c r="Y19" i="5" s="1"/>
  <c r="W10" i="5"/>
  <c r="W44" i="5"/>
  <c r="Y44" i="5" s="1"/>
  <c r="W43" i="5"/>
  <c r="Y43" i="5" s="1"/>
  <c r="W76" i="5"/>
  <c r="X76" i="5" s="1"/>
  <c r="W66" i="5"/>
  <c r="X66" i="5" s="1"/>
  <c r="W158" i="5"/>
  <c r="X158" i="5" s="1"/>
  <c r="W128" i="5"/>
  <c r="Y128" i="5" s="1"/>
  <c r="W176" i="5"/>
  <c r="X176" i="5" s="1"/>
  <c r="W184" i="5"/>
  <c r="Y184" i="5" s="1"/>
  <c r="W248" i="5"/>
  <c r="Y248" i="5" s="1"/>
  <c r="W227" i="5"/>
  <c r="Y227" i="5" s="1"/>
  <c r="W207" i="5"/>
  <c r="Y207" i="5" s="1"/>
  <c r="W309" i="5"/>
  <c r="Y309" i="5" s="1"/>
  <c r="W255" i="5"/>
  <c r="X255" i="5" s="1"/>
  <c r="W308" i="5"/>
  <c r="X308" i="5" s="1"/>
  <c r="W292" i="5"/>
  <c r="Y292" i="5" s="1"/>
  <c r="W355" i="5"/>
  <c r="Y355" i="5" s="1"/>
  <c r="W370" i="5"/>
  <c r="Y370" i="5" s="1"/>
  <c r="W434" i="5"/>
  <c r="Y434" i="5" s="1"/>
  <c r="W366" i="5"/>
  <c r="X366" i="5" s="1"/>
  <c r="W400" i="5"/>
  <c r="Y400" i="5" s="1"/>
  <c r="W253" i="5"/>
  <c r="X253" i="5" s="1"/>
  <c r="W369" i="5"/>
  <c r="X369" i="5" s="1"/>
  <c r="W391" i="5"/>
  <c r="X391" i="5" s="1"/>
  <c r="W269" i="5"/>
  <c r="X269" i="5" s="1"/>
  <c r="W444" i="5"/>
  <c r="X444" i="5" s="1"/>
  <c r="W470" i="5"/>
  <c r="Y470" i="5" s="1"/>
  <c r="W495" i="5"/>
  <c r="Y495" i="5" s="1"/>
  <c r="W526" i="5"/>
  <c r="X526" i="5" s="1"/>
  <c r="W353" i="5"/>
  <c r="X353" i="5" s="1"/>
  <c r="W430" i="5"/>
  <c r="X430" i="5" s="1"/>
  <c r="W469" i="5"/>
  <c r="X469" i="5" s="1"/>
  <c r="W507" i="5"/>
  <c r="Y507" i="5" s="1"/>
  <c r="W365" i="5"/>
  <c r="X365" i="5" s="1"/>
  <c r="W453" i="5"/>
  <c r="Y453" i="5" s="1"/>
  <c r="W480" i="5"/>
  <c r="X480" i="5" s="1"/>
  <c r="W516" i="5"/>
  <c r="Y516" i="5" s="1"/>
  <c r="W545" i="5"/>
  <c r="X545" i="5" s="1"/>
  <c r="W462" i="5"/>
  <c r="Y462" i="5" s="1"/>
  <c r="W422" i="5"/>
  <c r="Y422" i="5" s="1"/>
  <c r="W539" i="5"/>
  <c r="X539" i="5" s="1"/>
  <c r="W474" i="5"/>
  <c r="Y474" i="5" s="1"/>
  <c r="W552" i="5"/>
  <c r="Y552" i="5" s="1"/>
  <c r="W425" i="5"/>
  <c r="X425" i="5" s="1"/>
  <c r="W482" i="5"/>
  <c r="Y482" i="5" s="1"/>
  <c r="W533" i="5"/>
  <c r="Y533" i="5" s="1"/>
  <c r="W560" i="5"/>
  <c r="Y560" i="5" s="1"/>
  <c r="W559" i="5"/>
  <c r="Y559" i="5" s="1"/>
  <c r="W459" i="5"/>
  <c r="X459" i="5" s="1"/>
  <c r="W551" i="5"/>
  <c r="Y551" i="5" s="1"/>
  <c r="W534" i="5"/>
  <c r="Y534" i="5" s="1"/>
  <c r="W439" i="5"/>
  <c r="X439" i="5" s="1"/>
  <c r="W512" i="5"/>
  <c r="Y512" i="5" s="1"/>
  <c r="W438" i="5"/>
  <c r="Y438" i="5" s="1"/>
  <c r="W502" i="5"/>
  <c r="X502" i="5" s="1"/>
  <c r="W429" i="5"/>
  <c r="X429" i="5" s="1"/>
  <c r="W520" i="5"/>
  <c r="X520" i="5" s="1"/>
  <c r="W467" i="5"/>
  <c r="X467" i="5" s="1"/>
  <c r="W236" i="5"/>
  <c r="X236" i="5" s="1"/>
  <c r="W354" i="5"/>
  <c r="X354" i="5" s="1"/>
  <c r="W398" i="5"/>
  <c r="Y398" i="5" s="1"/>
  <c r="W427" i="5"/>
  <c r="Y427" i="5" s="1"/>
  <c r="W345" i="5"/>
  <c r="X345" i="5" s="1"/>
  <c r="W301" i="5"/>
  <c r="Y301" i="5" s="1"/>
  <c r="W297" i="5"/>
  <c r="X297" i="5" s="1"/>
  <c r="W223" i="5"/>
  <c r="Y223" i="5" s="1"/>
  <c r="W181" i="5"/>
  <c r="X181" i="5" s="1"/>
  <c r="W123" i="5"/>
  <c r="Y123" i="5" s="1"/>
  <c r="W99" i="5"/>
  <c r="X99" i="5" s="1"/>
  <c r="W27" i="5"/>
  <c r="Y27" i="5" s="1"/>
  <c r="W556" i="5"/>
  <c r="X556" i="5" s="1"/>
  <c r="W452" i="5"/>
  <c r="X452" i="5" s="1"/>
  <c r="W521" i="5"/>
  <c r="X521" i="5" s="1"/>
  <c r="W486" i="5"/>
  <c r="X486" i="5" s="1"/>
  <c r="W310" i="5"/>
  <c r="Y310" i="5" s="1"/>
  <c r="W498" i="5"/>
  <c r="Y498" i="5" s="1"/>
  <c r="W431" i="5"/>
  <c r="Y431" i="5" s="1"/>
  <c r="W491" i="5"/>
  <c r="Y491" i="5" s="1"/>
  <c r="W414" i="5"/>
  <c r="Y414" i="5" s="1"/>
  <c r="W509" i="5"/>
  <c r="Y509" i="5" s="1"/>
  <c r="W461" i="5"/>
  <c r="X461" i="5" s="1"/>
  <c r="W407" i="5"/>
  <c r="X407" i="5" s="1"/>
  <c r="W305" i="5"/>
  <c r="Y305" i="5" s="1"/>
  <c r="W387" i="5"/>
  <c r="Y387" i="5" s="1"/>
  <c r="W401" i="5"/>
  <c r="W328" i="5"/>
  <c r="Y328" i="5" s="1"/>
  <c r="W277" i="5"/>
  <c r="X277" i="5" s="1"/>
  <c r="W275" i="5"/>
  <c r="Y275" i="5" s="1"/>
  <c r="W203" i="5"/>
  <c r="Y203" i="5" s="1"/>
  <c r="W139" i="5"/>
  <c r="W97" i="5"/>
  <c r="X97" i="5" s="1"/>
  <c r="W85" i="5"/>
  <c r="Y85" i="5" s="1"/>
  <c r="W34" i="5"/>
  <c r="Y34" i="5" s="1"/>
  <c r="W530" i="5"/>
  <c r="X530" i="5" s="1"/>
  <c r="W385" i="5"/>
  <c r="X385" i="5" s="1"/>
  <c r="W446" i="5"/>
  <c r="X446" i="5" s="1"/>
  <c r="W388" i="5"/>
  <c r="X388" i="5" s="1"/>
  <c r="W540" i="5"/>
  <c r="Y540" i="5" s="1"/>
  <c r="W475" i="5"/>
  <c r="Y475" i="5" s="1"/>
  <c r="W296" i="5"/>
  <c r="Y296" i="5" s="1"/>
  <c r="W466" i="5"/>
  <c r="X466" i="5" s="1"/>
  <c r="W343" i="5"/>
  <c r="X343" i="5" s="1"/>
  <c r="W490" i="5"/>
  <c r="X490" i="5" s="1"/>
  <c r="W440" i="5"/>
  <c r="X440" i="5" s="1"/>
  <c r="W390" i="5"/>
  <c r="Y390" i="5" s="1"/>
  <c r="W186" i="5"/>
  <c r="X186" i="5" s="1"/>
  <c r="W364" i="5"/>
  <c r="Y364" i="5" s="1"/>
  <c r="W360" i="5"/>
  <c r="Y360" i="5" s="1"/>
  <c r="W288" i="5"/>
  <c r="X288" i="5" s="1"/>
  <c r="W252" i="5"/>
  <c r="X252" i="5" s="1"/>
  <c r="W243" i="5"/>
  <c r="Y243" i="5" s="1"/>
  <c r="W246" i="5"/>
  <c r="X246" i="5" s="1"/>
  <c r="W164" i="5"/>
  <c r="Y164" i="5" s="1"/>
  <c r="W152" i="5"/>
  <c r="Y152" i="5" s="1"/>
  <c r="W58" i="5"/>
  <c r="Y58" i="5" s="1"/>
  <c r="W29" i="5"/>
  <c r="X29" i="5" s="1"/>
  <c r="AN10" i="5"/>
  <c r="AO10" i="5"/>
  <c r="AH10" i="5"/>
  <c r="AI10" i="5"/>
  <c r="AP10" i="5"/>
  <c r="AQ13" i="5"/>
  <c r="AR13" i="5"/>
  <c r="O9" i="5"/>
  <c r="W8" i="5"/>
  <c r="W12" i="5"/>
  <c r="W13" i="5"/>
  <c r="W35" i="5"/>
  <c r="Y35" i="5" s="1"/>
  <c r="W21" i="5"/>
  <c r="Y21" i="5" s="1"/>
  <c r="W49" i="5"/>
  <c r="Y49" i="5" s="1"/>
  <c r="W64" i="5"/>
  <c r="Y64" i="5" s="1"/>
  <c r="W65" i="5"/>
  <c r="X65" i="5" s="1"/>
  <c r="W74" i="5"/>
  <c r="Y74" i="5" s="1"/>
  <c r="W73" i="5"/>
  <c r="Y73" i="5" s="1"/>
  <c r="W87" i="5"/>
  <c r="X87" i="5" s="1"/>
  <c r="W119" i="5"/>
  <c r="X119" i="5" s="1"/>
  <c r="W115" i="5"/>
  <c r="Y115" i="5" s="1"/>
  <c r="W110" i="5"/>
  <c r="W134" i="5"/>
  <c r="X134" i="5" s="1"/>
  <c r="W137" i="5"/>
  <c r="Y137" i="5" s="1"/>
  <c r="W171" i="5"/>
  <c r="X171" i="5" s="1"/>
  <c r="W148" i="5"/>
  <c r="X148" i="5" s="1"/>
  <c r="W202" i="5"/>
  <c r="Y202" i="5" s="1"/>
  <c r="W226" i="5"/>
  <c r="Y226" i="5" s="1"/>
  <c r="W172" i="5"/>
  <c r="X172" i="5" s="1"/>
  <c r="W209" i="5"/>
  <c r="X209" i="5" s="1"/>
  <c r="W239" i="5"/>
  <c r="X239" i="5" s="1"/>
  <c r="W229" i="5"/>
  <c r="X229" i="5" s="1"/>
  <c r="W225" i="5"/>
  <c r="Y225" i="5" s="1"/>
  <c r="W283" i="5"/>
  <c r="Y283" i="5" s="1"/>
  <c r="W315" i="5"/>
  <c r="Y315" i="5" s="1"/>
  <c r="W213" i="5"/>
  <c r="X213" i="5" s="1"/>
  <c r="W260" i="5"/>
  <c r="Y260" i="5" s="1"/>
  <c r="W279" i="5"/>
  <c r="X279" i="5" s="1"/>
  <c r="W318" i="5"/>
  <c r="X318" i="5" s="1"/>
  <c r="W251" i="5"/>
  <c r="X251" i="5" s="1"/>
  <c r="W302" i="5"/>
  <c r="Y302" i="5" s="1"/>
  <c r="W333" i="5"/>
  <c r="Y333" i="5" s="1"/>
  <c r="W268" i="5"/>
  <c r="X268" i="5" s="1"/>
  <c r="W351" i="5"/>
  <c r="Y351" i="5" s="1"/>
  <c r="W377" i="5"/>
  <c r="Y377" i="5" s="1"/>
  <c r="W412" i="5"/>
  <c r="X412" i="5" s="1"/>
  <c r="W259" i="5"/>
  <c r="Y259" i="5" s="1"/>
  <c r="W346" i="5"/>
  <c r="X346" i="5" s="1"/>
  <c r="W367" i="5"/>
  <c r="Y367" i="5" s="1"/>
  <c r="W394" i="5"/>
  <c r="X394" i="5" s="1"/>
  <c r="W403" i="5"/>
  <c r="W420" i="5"/>
  <c r="Y420" i="5" s="1"/>
  <c r="W256" i="5"/>
  <c r="Y256" i="5" s="1"/>
  <c r="W341" i="5"/>
  <c r="Y341" i="5" s="1"/>
  <c r="W371" i="5"/>
  <c r="X371" i="5" s="1"/>
  <c r="W380" i="5"/>
  <c r="X380" i="5" s="1"/>
  <c r="W393" i="5"/>
  <c r="Y393" i="5" s="1"/>
  <c r="W409" i="5"/>
  <c r="W281" i="5"/>
  <c r="X281" i="5" s="1"/>
  <c r="W423" i="5"/>
  <c r="X423" i="5" s="1"/>
  <c r="W445" i="5"/>
  <c r="Y445" i="5" s="1"/>
  <c r="W463" i="5"/>
  <c r="W473" i="5"/>
  <c r="X473" i="5" s="1"/>
  <c r="W487" i="5"/>
  <c r="X487" i="5" s="1"/>
  <c r="W497" i="5"/>
  <c r="Y497" i="5" s="1"/>
  <c r="W510" i="5"/>
  <c r="W528" i="5"/>
  <c r="Y528" i="5" s="1"/>
  <c r="W217" i="5"/>
  <c r="X217" i="5" s="1"/>
  <c r="W363" i="5"/>
  <c r="Y363" i="5" s="1"/>
  <c r="W417" i="5"/>
  <c r="X417" i="5" s="1"/>
  <c r="W441" i="5"/>
  <c r="Y441" i="5" s="1"/>
  <c r="W450" i="5"/>
  <c r="X450" i="5" s="1"/>
  <c r="W478" i="5"/>
  <c r="Y478" i="5" s="1"/>
  <c r="W494" i="5"/>
  <c r="X494" i="5" s="1"/>
  <c r="W508" i="5"/>
  <c r="Y508" i="5" s="1"/>
  <c r="W284" i="5"/>
  <c r="X284" i="5" s="1"/>
  <c r="W383" i="5"/>
  <c r="X383" i="5" s="1"/>
  <c r="W433" i="5"/>
  <c r="X433" i="5" s="1"/>
  <c r="W456" i="5"/>
  <c r="X456" i="5" s="1"/>
  <c r="W471" i="5"/>
  <c r="Y471" i="5" s="1"/>
  <c r="W483" i="5"/>
  <c r="Y483" i="5" s="1"/>
  <c r="W501" i="5"/>
  <c r="Y501" i="5" s="1"/>
  <c r="W517" i="5"/>
  <c r="W527" i="5"/>
  <c r="X527" i="5" s="1"/>
  <c r="W550" i="5"/>
  <c r="Y550" i="5" s="1"/>
  <c r="W435" i="5"/>
  <c r="Y435" i="5" s="1"/>
  <c r="W468" i="5"/>
  <c r="Y468" i="5" s="1"/>
  <c r="W557" i="5"/>
  <c r="Y557" i="5" s="1"/>
  <c r="W424" i="5"/>
  <c r="X424" i="5" s="1"/>
  <c r="W511" i="5"/>
  <c r="W541" i="5"/>
  <c r="Y541" i="5" s="1"/>
  <c r="W538" i="5"/>
  <c r="Y538" i="5" s="1"/>
  <c r="W477" i="5"/>
  <c r="X477" i="5" s="1"/>
  <c r="W522" i="5"/>
  <c r="W41" i="5"/>
  <c r="X41" i="5" s="1"/>
  <c r="W31" i="5"/>
  <c r="Y31" i="5" s="1"/>
  <c r="W69" i="5"/>
  <c r="Y69" i="5" s="1"/>
  <c r="W22" i="5"/>
  <c r="X22" i="5" s="1"/>
  <c r="W72" i="5"/>
  <c r="X72" i="5" s="1"/>
  <c r="W86" i="5"/>
  <c r="Y86" i="5" s="1"/>
  <c r="W96" i="5"/>
  <c r="Y96" i="5" s="1"/>
  <c r="W92" i="5"/>
  <c r="X92" i="5" s="1"/>
  <c r="W143" i="5"/>
  <c r="X143" i="5" s="1"/>
  <c r="W126" i="5"/>
  <c r="X126" i="5" s="1"/>
  <c r="W116" i="5"/>
  <c r="X116" i="5" s="1"/>
  <c r="W147" i="5"/>
  <c r="X147" i="5" s="1"/>
  <c r="W160" i="5"/>
  <c r="Y160" i="5" s="1"/>
  <c r="W177" i="5"/>
  <c r="Y177" i="5" s="1"/>
  <c r="W169" i="5"/>
  <c r="X169" i="5" s="1"/>
  <c r="W167" i="5"/>
  <c r="W231" i="5"/>
  <c r="Y231" i="5" s="1"/>
  <c r="W196" i="5"/>
  <c r="X196" i="5" s="1"/>
  <c r="W218" i="5"/>
  <c r="X218" i="5" s="1"/>
  <c r="W189" i="5"/>
  <c r="X189" i="5" s="1"/>
  <c r="W238" i="5"/>
  <c r="Y238" i="5" s="1"/>
  <c r="W235" i="5"/>
  <c r="X235" i="5" s="1"/>
  <c r="W287" i="5"/>
  <c r="X287" i="5" s="1"/>
  <c r="W319" i="5"/>
  <c r="W240" i="5"/>
  <c r="W265" i="5"/>
  <c r="X265" i="5" s="1"/>
  <c r="W289" i="5"/>
  <c r="Y289" i="5" s="1"/>
  <c r="W324" i="5"/>
  <c r="Y324" i="5" s="1"/>
  <c r="W266" i="5"/>
  <c r="X266" i="5" s="1"/>
  <c r="W313" i="5"/>
  <c r="Y313" i="5" s="1"/>
  <c r="W340" i="5"/>
  <c r="Y340" i="5" s="1"/>
  <c r="W298" i="5"/>
  <c r="X298" i="5" s="1"/>
  <c r="W357" i="5"/>
  <c r="X357" i="5" s="1"/>
  <c r="W384" i="5"/>
  <c r="X384" i="5" s="1"/>
  <c r="W416" i="5"/>
  <c r="X416" i="5" s="1"/>
  <c r="W300" i="5"/>
  <c r="W356" i="5"/>
  <c r="W378" i="5"/>
  <c r="Y378" i="5" s="1"/>
  <c r="W397" i="5"/>
  <c r="X397" i="5" s="1"/>
  <c r="W406" i="5"/>
  <c r="W421" i="5"/>
  <c r="X421" i="5" s="1"/>
  <c r="W261" i="5"/>
  <c r="Y261" i="5" s="1"/>
  <c r="W349" i="5"/>
  <c r="Y349" i="5" s="1"/>
  <c r="W372" i="5"/>
  <c r="Y372" i="5" s="1"/>
  <c r="W386" i="5"/>
  <c r="X386" i="5" s="1"/>
  <c r="W396" i="5"/>
  <c r="X396" i="5" s="1"/>
  <c r="W418" i="5"/>
  <c r="X418" i="5" s="1"/>
  <c r="W293" i="5"/>
  <c r="X293" i="5" s="1"/>
  <c r="W426" i="5"/>
  <c r="W449" i="5"/>
  <c r="Y449" i="5" s="1"/>
  <c r="W465" i="5"/>
  <c r="Y465" i="5" s="1"/>
  <c r="W476" i="5"/>
  <c r="W488" i="5"/>
  <c r="Y488" i="5" s="1"/>
  <c r="W503" i="5"/>
  <c r="X503" i="5" s="1"/>
  <c r="W518" i="5"/>
  <c r="X518" i="5" s="1"/>
  <c r="W529" i="5"/>
  <c r="W307" i="5"/>
  <c r="X307" i="5" s="1"/>
  <c r="W402" i="5"/>
  <c r="X402" i="5" s="1"/>
  <c r="W428" i="5"/>
  <c r="Y428" i="5" s="1"/>
  <c r="W443" i="5"/>
  <c r="X443" i="5" s="1"/>
  <c r="W451" i="5"/>
  <c r="Y451" i="5" s="1"/>
  <c r="W481" i="5"/>
  <c r="Y481" i="5" s="1"/>
  <c r="W499" i="5"/>
  <c r="Y499" i="5" s="1"/>
  <c r="W513" i="5"/>
  <c r="X513" i="5" s="1"/>
  <c r="W290" i="5"/>
  <c r="W389" i="5"/>
  <c r="X389" i="5" s="1"/>
  <c r="W436" i="5"/>
  <c r="X436" i="5" s="1"/>
  <c r="W458" i="5"/>
  <c r="W472" i="5"/>
  <c r="Y472" i="5" s="1"/>
  <c r="W485" i="5"/>
  <c r="X485" i="5" s="1"/>
  <c r="W504" i="5"/>
  <c r="Y504" i="5" s="1"/>
  <c r="W519" i="5"/>
  <c r="W537" i="5"/>
  <c r="Y537" i="5" s="1"/>
  <c r="W555" i="5"/>
  <c r="X555" i="5" s="1"/>
  <c r="W437" i="5"/>
  <c r="X437" i="5" s="1"/>
  <c r="W505" i="5"/>
  <c r="Y505" i="5" s="1"/>
  <c r="W547" i="5"/>
  <c r="Y547" i="5" s="1"/>
  <c r="W454" i="5"/>
  <c r="X454" i="5" s="1"/>
  <c r="W532" i="5"/>
  <c r="Y532" i="5" s="1"/>
  <c r="W542" i="5"/>
  <c r="Y542" i="5" s="1"/>
  <c r="W543" i="5"/>
  <c r="W493" i="5"/>
  <c r="X493" i="5" s="1"/>
  <c r="W548" i="5"/>
  <c r="Y548" i="5" s="1"/>
  <c r="AQ12" i="5"/>
  <c r="AR12" i="5"/>
  <c r="Z8" i="5"/>
  <c r="Z12" i="5"/>
  <c r="Z13" i="5"/>
  <c r="AK10" i="5"/>
  <c r="AL10" i="5"/>
  <c r="U10" i="5"/>
  <c r="V10" i="5"/>
  <c r="Z34" i="5"/>
  <c r="AA34" i="5" s="1"/>
  <c r="Z540" i="5"/>
  <c r="AB540" i="5" s="1"/>
  <c r="W23" i="5"/>
  <c r="Y23" i="5" s="1"/>
  <c r="Z482" i="5"/>
  <c r="AB482" i="5" s="1"/>
  <c r="Z244" i="5"/>
  <c r="Z497" i="5"/>
  <c r="Z426" i="5"/>
  <c r="AA426" i="5" s="1"/>
  <c r="Z232" i="5"/>
  <c r="AA232" i="5" s="1"/>
  <c r="Z559" i="5"/>
  <c r="Z308" i="5"/>
  <c r="Z94" i="5"/>
  <c r="Z488" i="5"/>
  <c r="Z276" i="5"/>
  <c r="Z110" i="5"/>
  <c r="AA110" i="5" s="1"/>
  <c r="Z551" i="5"/>
  <c r="AA551" i="5" s="1"/>
  <c r="Z491" i="5"/>
  <c r="AB491" i="5" s="1"/>
  <c r="Z428" i="5"/>
  <c r="Z424" i="5"/>
  <c r="Z373" i="5"/>
  <c r="AB373" i="5" s="1"/>
  <c r="Z249" i="5"/>
  <c r="AB249" i="5" s="1"/>
  <c r="Z79" i="5"/>
  <c r="AA79" i="5" s="1"/>
  <c r="Z534" i="5"/>
  <c r="Z512" i="5"/>
  <c r="Z470" i="5"/>
  <c r="Z359" i="5"/>
  <c r="Z229" i="5"/>
  <c r="Z160" i="5"/>
  <c r="AA160" i="5" s="1"/>
  <c r="Z22" i="5"/>
  <c r="AA22" i="5" s="1"/>
  <c r="Z496" i="5"/>
  <c r="Z480" i="5"/>
  <c r="Z552" i="5"/>
  <c r="Z543" i="5"/>
  <c r="Z372" i="5"/>
  <c r="Z381" i="5"/>
  <c r="Z211" i="5"/>
  <c r="AA211" i="5" s="1"/>
  <c r="Z413" i="5"/>
  <c r="AB413" i="5" s="1"/>
  <c r="Z353" i="5"/>
  <c r="Z296" i="5"/>
  <c r="Z210" i="5"/>
  <c r="Z162" i="5"/>
  <c r="AB162" i="5" s="1"/>
  <c r="Z64" i="5"/>
  <c r="W241" i="5"/>
  <c r="W197" i="5"/>
  <c r="X197" i="5" s="1"/>
  <c r="W191" i="5"/>
  <c r="Y191" i="5" s="1"/>
  <c r="W163" i="5"/>
  <c r="W179" i="5"/>
  <c r="W168" i="5"/>
  <c r="W112" i="5"/>
  <c r="W140" i="5"/>
  <c r="Y140" i="5" s="1"/>
  <c r="W118" i="5"/>
  <c r="Y118" i="5" s="1"/>
  <c r="W141" i="5"/>
  <c r="X141" i="5" s="1"/>
  <c r="W108" i="5"/>
  <c r="Y108" i="5" s="1"/>
  <c r="W130" i="5"/>
  <c r="W95" i="5"/>
  <c r="W106" i="5"/>
  <c r="X106" i="5" s="1"/>
  <c r="W91" i="5"/>
  <c r="Y91" i="5" s="1"/>
  <c r="W81" i="5"/>
  <c r="X81" i="5" s="1"/>
  <c r="W79" i="5"/>
  <c r="W50" i="5"/>
  <c r="Y50" i="5" s="1"/>
  <c r="W53" i="5"/>
  <c r="X53" i="5" s="1"/>
  <c r="W60" i="5"/>
  <c r="Y60" i="5" s="1"/>
  <c r="W39" i="5"/>
  <c r="W33" i="5"/>
  <c r="X33" i="5" s="1"/>
  <c r="Z550" i="5"/>
  <c r="Z434" i="5"/>
  <c r="Z549" i="5"/>
  <c r="AB549" i="5" s="1"/>
  <c r="Z502" i="5"/>
  <c r="Z495" i="5"/>
  <c r="AB495" i="5" s="1"/>
  <c r="Z504" i="5"/>
  <c r="AB504" i="5" s="1"/>
  <c r="Z382" i="5"/>
  <c r="Z371" i="5"/>
  <c r="Z278" i="5"/>
  <c r="AA278" i="5" s="1"/>
  <c r="Z223" i="5"/>
  <c r="Z136" i="5"/>
  <c r="AB136" i="5" s="1"/>
  <c r="Z104" i="5"/>
  <c r="AB104" i="5" s="1"/>
  <c r="Z44" i="5"/>
  <c r="AB44" i="5" s="1"/>
  <c r="W20" i="5"/>
  <c r="W37" i="5"/>
  <c r="X37" i="5" s="1"/>
  <c r="W30" i="5"/>
  <c r="X30" i="5" s="1"/>
  <c r="W46" i="5"/>
  <c r="W32" i="5"/>
  <c r="Y32" i="5" s="1"/>
  <c r="W51" i="5"/>
  <c r="X51" i="5" s="1"/>
  <c r="W57" i="5"/>
  <c r="W71" i="5"/>
  <c r="W52" i="5"/>
  <c r="W68" i="5"/>
  <c r="X68" i="5" s="1"/>
  <c r="W48" i="5"/>
  <c r="X48" i="5" s="1"/>
  <c r="W62" i="5"/>
  <c r="W75" i="5"/>
  <c r="X75" i="5" s="1"/>
  <c r="W70" i="5"/>
  <c r="X70" i="5" s="1"/>
  <c r="W77" i="5"/>
  <c r="X77" i="5" s="1"/>
  <c r="W90" i="5"/>
  <c r="X90" i="5" s="1"/>
  <c r="W88" i="5"/>
  <c r="W82" i="5"/>
  <c r="X82" i="5" s="1"/>
  <c r="W104" i="5"/>
  <c r="Y104" i="5" s="1"/>
  <c r="W84" i="5"/>
  <c r="X84" i="5" s="1"/>
  <c r="W93" i="5"/>
  <c r="X93" i="5" s="1"/>
  <c r="W105" i="5"/>
  <c r="X105" i="5" s="1"/>
  <c r="W122" i="5"/>
  <c r="Y122" i="5" s="1"/>
  <c r="W146" i="5"/>
  <c r="Y146" i="5" s="1"/>
  <c r="W159" i="5"/>
  <c r="W121" i="5"/>
  <c r="X121" i="5" s="1"/>
  <c r="W136" i="5"/>
  <c r="Y136" i="5" s="1"/>
  <c r="W101" i="5"/>
  <c r="Y101" i="5" s="1"/>
  <c r="W117" i="5"/>
  <c r="Y117" i="5" s="1"/>
  <c r="W125" i="5"/>
  <c r="Y125" i="5" s="1"/>
  <c r="W135" i="5"/>
  <c r="Y135" i="5" s="1"/>
  <c r="W149" i="5"/>
  <c r="W155" i="5"/>
  <c r="W156" i="5"/>
  <c r="Y156" i="5" s="1"/>
  <c r="W166" i="5"/>
  <c r="Y166" i="5" s="1"/>
  <c r="W180" i="5"/>
  <c r="X180" i="5" s="1"/>
  <c r="W178" i="5"/>
  <c r="Y178" i="5" s="1"/>
  <c r="W124" i="5"/>
  <c r="Y124" i="5" s="1"/>
  <c r="W151" i="5"/>
  <c r="Y151" i="5" s="1"/>
  <c r="W170" i="5"/>
  <c r="Y170" i="5" s="1"/>
  <c r="W188" i="5"/>
  <c r="W205" i="5"/>
  <c r="X205" i="5" s="1"/>
  <c r="W195" i="5"/>
  <c r="Y195" i="5" s="1"/>
  <c r="W219" i="5"/>
  <c r="W237" i="5"/>
  <c r="X237" i="5" s="1"/>
  <c r="W247" i="5"/>
  <c r="Y247" i="5" s="1"/>
  <c r="W175" i="5"/>
  <c r="X175" i="5" s="1"/>
  <c r="W201" i="5"/>
  <c r="W215" i="5"/>
  <c r="W224" i="5"/>
  <c r="Y224" i="5" s="1"/>
  <c r="W245" i="5"/>
  <c r="X245" i="5" s="1"/>
  <c r="W212" i="5"/>
  <c r="Y212" i="5" s="1"/>
  <c r="W232" i="5"/>
  <c r="W129" i="5"/>
  <c r="Y129" i="5" s="1"/>
  <c r="W230" i="5"/>
  <c r="X230" i="5" s="1"/>
  <c r="W272" i="5"/>
  <c r="Y272" i="5" s="1"/>
  <c r="W286" i="5"/>
  <c r="W304" i="5"/>
  <c r="Y304" i="5" s="1"/>
  <c r="W317" i="5"/>
  <c r="Y317" i="5" s="1"/>
  <c r="W330" i="5"/>
  <c r="X330" i="5" s="1"/>
  <c r="W221" i="5"/>
  <c r="X221" i="5" s="1"/>
  <c r="W254" i="5"/>
  <c r="Y254" i="5" s="1"/>
  <c r="W263" i="5"/>
  <c r="Y263" i="5" s="1"/>
  <c r="W274" i="5"/>
  <c r="X274" i="5" s="1"/>
  <c r="W282" i="5"/>
  <c r="W306" i="5"/>
  <c r="Y306" i="5" s="1"/>
  <c r="W322" i="5"/>
  <c r="W185" i="5"/>
  <c r="X185" i="5" s="1"/>
  <c r="W258" i="5"/>
  <c r="X258" i="5" s="1"/>
  <c r="W291" i="5"/>
  <c r="Y291" i="5" s="1"/>
  <c r="W311" i="5"/>
  <c r="Y311" i="5" s="1"/>
  <c r="W325" i="5"/>
  <c r="Y325" i="5" s="1"/>
  <c r="W336" i="5"/>
  <c r="W347" i="5"/>
  <c r="X347" i="5" s="1"/>
  <c r="W271" i="5"/>
  <c r="Y271" i="5" s="1"/>
  <c r="W338" i="5"/>
  <c r="W352" i="5"/>
  <c r="X352" i="5" s="1"/>
  <c r="W368" i="5"/>
  <c r="Y368" i="5" s="1"/>
  <c r="W382" i="5"/>
  <c r="Y382" i="5" s="1"/>
  <c r="W399" i="5"/>
  <c r="X399" i="5" s="1"/>
  <c r="W413" i="5"/>
  <c r="W432" i="5"/>
  <c r="Y432" i="5" s="1"/>
  <c r="W264" i="5"/>
  <c r="X264" i="5" s="1"/>
  <c r="W334" i="5"/>
  <c r="W350" i="5"/>
  <c r="Y350" i="5" s="1"/>
  <c r="W25" i="5"/>
  <c r="Y25" i="5" s="1"/>
  <c r="W28" i="5"/>
  <c r="X28" i="5" s="1"/>
  <c r="W38" i="5"/>
  <c r="W24" i="5"/>
  <c r="Y24" i="5" s="1"/>
  <c r="W42" i="5"/>
  <c r="W47" i="5"/>
  <c r="X47" i="5" s="1"/>
  <c r="W61" i="5"/>
  <c r="X61" i="5" s="1"/>
  <c r="W36" i="5"/>
  <c r="Y36" i="5" s="1"/>
  <c r="W54" i="5"/>
  <c r="W26" i="5"/>
  <c r="X26" i="5" s="1"/>
  <c r="W56" i="5"/>
  <c r="W67" i="5"/>
  <c r="W55" i="5"/>
  <c r="X55" i="5" s="1"/>
  <c r="W80" i="5"/>
  <c r="W83" i="5"/>
  <c r="W78" i="5"/>
  <c r="W63" i="5"/>
  <c r="X63" i="5" s="1"/>
  <c r="W98" i="5"/>
  <c r="X98" i="5" s="1"/>
  <c r="W109" i="5"/>
  <c r="W89" i="5"/>
  <c r="W100" i="5"/>
  <c r="W114" i="5"/>
  <c r="Y114" i="5" s="1"/>
  <c r="W138" i="5"/>
  <c r="W157" i="5"/>
  <c r="X157" i="5" s="1"/>
  <c r="W113" i="5"/>
  <c r="W127" i="5"/>
  <c r="X127" i="5" s="1"/>
  <c r="W145" i="5"/>
  <c r="W111" i="5"/>
  <c r="W120" i="5"/>
  <c r="Y120" i="5" s="1"/>
  <c r="W133" i="5"/>
  <c r="Y133" i="5" s="1"/>
  <c r="W144" i="5"/>
  <c r="W153" i="5"/>
  <c r="W131" i="5"/>
  <c r="X131" i="5" s="1"/>
  <c r="W162" i="5"/>
  <c r="X162" i="5" s="1"/>
  <c r="W174" i="5"/>
  <c r="W173" i="5"/>
  <c r="W183" i="5"/>
  <c r="W142" i="5"/>
  <c r="X142" i="5" s="1"/>
  <c r="W165" i="5"/>
  <c r="Y165" i="5" s="1"/>
  <c r="W182" i="5"/>
  <c r="W199" i="5"/>
  <c r="W187" i="5"/>
  <c r="X187" i="5" s="1"/>
  <c r="W204" i="5"/>
  <c r="W228" i="5"/>
  <c r="W244" i="5"/>
  <c r="X244" i="5" s="1"/>
  <c r="W161" i="5"/>
  <c r="Y161" i="5" s="1"/>
  <c r="W198" i="5"/>
  <c r="W208" i="5"/>
  <c r="W220" i="5"/>
  <c r="X220" i="5" s="1"/>
  <c r="W234" i="5"/>
  <c r="X234" i="5" s="1"/>
  <c r="W193" i="5"/>
  <c r="W222" i="5"/>
  <c r="Y222" i="5" s="1"/>
  <c r="W242" i="5"/>
  <c r="W210" i="5"/>
  <c r="Y210" i="5" s="1"/>
  <c r="W262" i="5"/>
  <c r="W280" i="5"/>
  <c r="Y280" i="5" s="1"/>
  <c r="W294" i="5"/>
  <c r="W312" i="5"/>
  <c r="Y312" i="5" s="1"/>
  <c r="W326" i="5"/>
  <c r="X326" i="5" s="1"/>
  <c r="W192" i="5"/>
  <c r="W249" i="5"/>
  <c r="X249" i="5" s="1"/>
  <c r="W257" i="5"/>
  <c r="W270" i="5"/>
  <c r="W278" i="5"/>
  <c r="W295" i="5"/>
  <c r="Y295" i="5" s="1"/>
  <c r="W314" i="5"/>
  <c r="X314" i="5" s="1"/>
  <c r="W327" i="5"/>
  <c r="Y327" i="5" s="1"/>
  <c r="W250" i="5"/>
  <c r="W276" i="5"/>
  <c r="W299" i="5"/>
  <c r="X299" i="5" s="1"/>
  <c r="W316" i="5"/>
  <c r="Y316" i="5" s="1"/>
  <c r="W331" i="5"/>
  <c r="W344" i="5"/>
  <c r="W359" i="5"/>
  <c r="X359" i="5" s="1"/>
  <c r="W321" i="5"/>
  <c r="X321" i="5" s="1"/>
  <c r="W348" i="5"/>
  <c r="Y348" i="5" s="1"/>
  <c r="W358" i="5"/>
  <c r="X358" i="5" s="1"/>
  <c r="W374" i="5"/>
  <c r="X374" i="5" s="1"/>
  <c r="W392" i="5"/>
  <c r="W408" i="5"/>
  <c r="Y408" i="5" s="1"/>
  <c r="W419" i="5"/>
  <c r="X419" i="5" s="1"/>
  <c r="W233" i="5"/>
  <c r="X233" i="5" s="1"/>
  <c r="W303" i="5"/>
  <c r="Y303" i="5" s="1"/>
  <c r="W342" i="5"/>
  <c r="W362" i="5"/>
  <c r="Z485" i="5"/>
  <c r="Z532" i="5"/>
  <c r="Z464" i="5"/>
  <c r="Z529" i="5"/>
  <c r="AB529" i="5" s="1"/>
  <c r="Z535" i="5"/>
  <c r="Z448" i="5"/>
  <c r="Z538" i="5"/>
  <c r="Z469" i="5"/>
  <c r="AB469" i="5" s="1"/>
  <c r="Z246" i="5"/>
  <c r="AB246" i="5" s="1"/>
  <c r="Z463" i="5"/>
  <c r="Z313" i="5"/>
  <c r="Z474" i="5"/>
  <c r="AA474" i="5" s="1"/>
  <c r="Z415" i="5"/>
  <c r="AA415" i="5" s="1"/>
  <c r="Z350" i="5"/>
  <c r="Z401" i="5"/>
  <c r="Z431" i="5"/>
  <c r="AB431" i="5" s="1"/>
  <c r="Z334" i="5"/>
  <c r="AA334" i="5" s="1"/>
  <c r="Z317" i="5"/>
  <c r="Z271" i="5"/>
  <c r="AA271" i="5" s="1"/>
  <c r="Z226" i="5"/>
  <c r="Z182" i="5"/>
  <c r="AA182" i="5" s="1"/>
  <c r="Z186" i="5"/>
  <c r="Z150" i="5"/>
  <c r="AA150" i="5" s="1"/>
  <c r="Z95" i="5"/>
  <c r="AA95" i="5" s="1"/>
  <c r="Z52" i="5"/>
  <c r="AA52" i="5" s="1"/>
  <c r="Z43" i="5"/>
  <c r="Z19" i="5"/>
  <c r="AA19" i="5" s="1"/>
  <c r="Z554" i="5"/>
  <c r="Z514" i="5"/>
  <c r="Z436" i="5"/>
  <c r="AB436" i="5" s="1"/>
  <c r="Z501" i="5"/>
  <c r="Z555" i="5"/>
  <c r="AA555" i="5" s="1"/>
  <c r="Z342" i="5"/>
  <c r="Z513" i="5"/>
  <c r="Z443" i="5"/>
  <c r="AB443" i="5" s="1"/>
  <c r="Z509" i="5"/>
  <c r="AA509" i="5" s="1"/>
  <c r="Z446" i="5"/>
  <c r="Z525" i="5"/>
  <c r="Z453" i="5"/>
  <c r="AA453" i="5" s="1"/>
  <c r="Z397" i="5"/>
  <c r="AB397" i="5" s="1"/>
  <c r="Z328" i="5"/>
  <c r="Z384" i="5"/>
  <c r="AA384" i="5" s="1"/>
  <c r="Z390" i="5"/>
  <c r="AA390" i="5" s="1"/>
  <c r="Z295" i="5"/>
  <c r="Z272" i="5"/>
  <c r="Z216" i="5"/>
  <c r="Z169" i="5"/>
  <c r="Z178" i="5"/>
  <c r="AB178" i="5" s="1"/>
  <c r="Z137" i="5"/>
  <c r="Z120" i="5"/>
  <c r="AB120" i="5" s="1"/>
  <c r="Z76" i="5"/>
  <c r="Z58" i="5"/>
  <c r="Z528" i="5"/>
  <c r="AA528" i="5" s="1"/>
  <c r="Z456" i="5"/>
  <c r="Z546" i="5"/>
  <c r="AB546" i="5" s="1"/>
  <c r="Z527" i="5"/>
  <c r="AA527" i="5" s="1"/>
  <c r="Z490" i="5"/>
  <c r="Z460" i="5"/>
  <c r="Z545" i="5"/>
  <c r="AB545" i="5" s="1"/>
  <c r="Z523" i="5"/>
  <c r="Z475" i="5"/>
  <c r="Z560" i="5"/>
  <c r="Z526" i="5"/>
  <c r="Z433" i="5"/>
  <c r="Z557" i="5"/>
  <c r="Z536" i="5"/>
  <c r="Z499" i="5"/>
  <c r="AB499" i="5" s="1"/>
  <c r="Z466" i="5"/>
  <c r="Z427" i="5"/>
  <c r="Z521" i="5"/>
  <c r="Z484" i="5"/>
  <c r="Z461" i="5"/>
  <c r="Z405" i="5"/>
  <c r="Z258" i="5"/>
  <c r="AA258" i="5" s="1"/>
  <c r="Z500" i="5"/>
  <c r="Z468" i="5"/>
  <c r="AA468" i="5" s="1"/>
  <c r="Z391" i="5"/>
  <c r="AB391" i="5" s="1"/>
  <c r="Z406" i="5"/>
  <c r="Z378" i="5"/>
  <c r="Z348" i="5"/>
  <c r="AA348" i="5" s="1"/>
  <c r="Z266" i="5"/>
  <c r="AB266" i="5" s="1"/>
  <c r="Z399" i="5"/>
  <c r="AA399" i="5" s="1"/>
  <c r="Z370" i="5"/>
  <c r="Z423" i="5"/>
  <c r="AB423" i="5" s="1"/>
  <c r="Z363" i="5"/>
  <c r="AA363" i="5" s="1"/>
  <c r="Z322" i="5"/>
  <c r="AA322" i="5" s="1"/>
  <c r="Z273" i="5"/>
  <c r="AB273" i="5" s="1"/>
  <c r="Z298" i="5"/>
  <c r="AA298" i="5" s="1"/>
  <c r="Z323" i="5"/>
  <c r="AA323" i="5" s="1"/>
  <c r="Z261" i="5"/>
  <c r="AB261" i="5" s="1"/>
  <c r="Z215" i="5"/>
  <c r="AB215" i="5" s="1"/>
  <c r="Z205" i="5"/>
  <c r="Z235" i="5"/>
  <c r="AA235" i="5" s="1"/>
  <c r="Z207" i="5"/>
  <c r="Z109" i="5"/>
  <c r="AA109" i="5" s="1"/>
  <c r="Z172" i="5"/>
  <c r="AB172" i="5" s="1"/>
  <c r="Z152" i="5"/>
  <c r="AB152" i="5" s="1"/>
  <c r="Z144" i="5"/>
  <c r="AA144" i="5" s="1"/>
  <c r="Z105" i="5"/>
  <c r="AA105" i="5" s="1"/>
  <c r="Z84" i="5"/>
  <c r="AB84" i="5" s="1"/>
  <c r="Z71" i="5"/>
  <c r="Z69" i="5"/>
  <c r="Z30" i="5"/>
  <c r="AB30" i="5" s="1"/>
  <c r="Z47" i="5"/>
  <c r="Z35" i="5"/>
  <c r="Z46" i="5"/>
  <c r="AB46" i="5" s="1"/>
  <c r="Z73" i="5"/>
  <c r="AA73" i="5" s="1"/>
  <c r="Z53" i="5"/>
  <c r="Z77" i="5"/>
  <c r="Z42" i="5"/>
  <c r="AB42" i="5" s="1"/>
  <c r="Z87" i="5"/>
  <c r="AB87" i="5" s="1"/>
  <c r="Z88" i="5"/>
  <c r="Z97" i="5"/>
  <c r="Z111" i="5"/>
  <c r="AB111" i="5" s="1"/>
  <c r="Z131" i="5"/>
  <c r="Z153" i="5"/>
  <c r="AB153" i="5" s="1"/>
  <c r="Z130" i="5"/>
  <c r="AA130" i="5" s="1"/>
  <c r="Z100" i="5"/>
  <c r="AA100" i="5" s="1"/>
  <c r="Z151" i="5"/>
  <c r="AB151" i="5" s="1"/>
  <c r="Z99" i="5"/>
  <c r="Z174" i="5"/>
  <c r="AA174" i="5" s="1"/>
  <c r="Z145" i="5"/>
  <c r="AB145" i="5" s="1"/>
  <c r="Z193" i="5"/>
  <c r="AA193" i="5" s="1"/>
  <c r="Z190" i="5"/>
  <c r="Z222" i="5"/>
  <c r="AB222" i="5" s="1"/>
  <c r="Z250" i="5"/>
  <c r="AA250" i="5" s="1"/>
  <c r="Z194" i="5"/>
  <c r="AB194" i="5" s="1"/>
  <c r="Z228" i="5"/>
  <c r="Z200" i="5"/>
  <c r="AB200" i="5" s="1"/>
  <c r="Z224" i="5"/>
  <c r="AB224" i="5" s="1"/>
  <c r="Z247" i="5"/>
  <c r="Z281" i="5"/>
  <c r="Z305" i="5"/>
  <c r="AA305" i="5" s="1"/>
  <c r="Z248" i="5"/>
  <c r="AB248" i="5" s="1"/>
  <c r="Z284" i="5"/>
  <c r="AB284" i="5" s="1"/>
  <c r="Z326" i="5"/>
  <c r="Z260" i="5"/>
  <c r="AA260" i="5" s="1"/>
  <c r="Z279" i="5"/>
  <c r="Z312" i="5"/>
  <c r="AA312" i="5" s="1"/>
  <c r="Z337" i="5"/>
  <c r="AA337" i="5" s="1"/>
  <c r="Z318" i="5"/>
  <c r="Z375" i="5"/>
  <c r="Z414" i="5"/>
  <c r="AB414" i="5" s="1"/>
  <c r="Z435" i="5"/>
  <c r="Z338" i="5"/>
  <c r="AB338" i="5" s="1"/>
  <c r="Z377" i="5"/>
  <c r="Z392" i="5"/>
  <c r="Z408" i="5"/>
  <c r="Z419" i="5"/>
  <c r="AA419" i="5" s="1"/>
  <c r="Z311" i="5"/>
  <c r="Z344" i="5"/>
  <c r="Z356" i="5"/>
  <c r="Z366" i="5"/>
  <c r="Z388" i="5"/>
  <c r="Z400" i="5"/>
  <c r="Z420" i="5"/>
  <c r="Z367" i="5"/>
  <c r="Z437" i="5"/>
  <c r="Z459" i="5"/>
  <c r="Z477" i="5"/>
  <c r="Z492" i="5"/>
  <c r="Z505" i="5"/>
  <c r="Z537" i="5"/>
  <c r="Z341" i="5"/>
  <c r="AB341" i="5" s="1"/>
  <c r="Z393" i="5"/>
  <c r="Z432" i="5"/>
  <c r="Z454" i="5"/>
  <c r="Z465" i="5"/>
  <c r="Z476" i="5"/>
  <c r="AB476" i="5" s="1"/>
  <c r="Z503" i="5"/>
  <c r="Z519" i="5"/>
  <c r="Z327" i="5"/>
  <c r="Z407" i="5"/>
  <c r="AB407" i="5" s="1"/>
  <c r="Z429" i="5"/>
  <c r="Z450" i="5"/>
  <c r="Z481" i="5"/>
  <c r="AB481" i="5" s="1"/>
  <c r="Z493" i="5"/>
  <c r="Z508" i="5"/>
  <c r="Z522" i="5"/>
  <c r="AA522" i="5" s="1"/>
  <c r="Z539" i="5"/>
  <c r="Z548" i="5"/>
  <c r="Z316" i="5"/>
  <c r="Z362" i="5"/>
  <c r="Z458" i="5"/>
  <c r="Z31" i="5"/>
  <c r="AA31" i="5" s="1"/>
  <c r="Z20" i="5"/>
  <c r="AA20" i="5" s="1"/>
  <c r="Z29" i="5"/>
  <c r="AB29" i="5" s="1"/>
  <c r="Z39" i="5"/>
  <c r="AA39" i="5" s="1"/>
  <c r="Z60" i="5"/>
  <c r="AB60" i="5" s="1"/>
  <c r="Z61" i="5"/>
  <c r="AA61" i="5" s="1"/>
  <c r="Z65" i="5"/>
  <c r="AB65" i="5" s="1"/>
  <c r="Z70" i="5"/>
  <c r="Z83" i="5"/>
  <c r="AB83" i="5" s="1"/>
  <c r="Z108" i="5"/>
  <c r="AA108" i="5" s="1"/>
  <c r="Z103" i="5"/>
  <c r="AA103" i="5" s="1"/>
  <c r="Z118" i="5"/>
  <c r="AB118" i="5" s="1"/>
  <c r="Z140" i="5"/>
  <c r="AB140" i="5" s="1"/>
  <c r="Z161" i="5"/>
  <c r="AB161" i="5" s="1"/>
  <c r="Z146" i="5"/>
  <c r="AA146" i="5" s="1"/>
  <c r="Z129" i="5"/>
  <c r="Z167" i="5"/>
  <c r="AB167" i="5" s="1"/>
  <c r="Z159" i="5"/>
  <c r="AB159" i="5" s="1"/>
  <c r="Z106" i="5"/>
  <c r="AA106" i="5" s="1"/>
  <c r="Z177" i="5"/>
  <c r="Z203" i="5"/>
  <c r="AB203" i="5" s="1"/>
  <c r="Z206" i="5"/>
  <c r="Z233" i="5"/>
  <c r="AA233" i="5" s="1"/>
  <c r="Z132" i="5"/>
  <c r="Z204" i="5"/>
  <c r="AB204" i="5" s="1"/>
  <c r="Z241" i="5"/>
  <c r="AB241" i="5" s="1"/>
  <c r="Z209" i="5"/>
  <c r="Z239" i="5"/>
  <c r="Z259" i="5"/>
  <c r="Z291" i="5"/>
  <c r="AA291" i="5" s="1"/>
  <c r="Z321" i="5"/>
  <c r="AA321" i="5" s="1"/>
  <c r="Z268" i="5"/>
  <c r="Z294" i="5"/>
  <c r="AB294" i="5" s="1"/>
  <c r="Z212" i="5"/>
  <c r="AB212" i="5" s="1"/>
  <c r="Z270" i="5"/>
  <c r="AA270" i="5" s="1"/>
  <c r="Z289" i="5"/>
  <c r="Z320" i="5"/>
  <c r="Z351" i="5"/>
  <c r="Z347" i="5"/>
  <c r="AB347" i="5" s="1"/>
  <c r="Z385" i="5"/>
  <c r="Z422" i="5"/>
  <c r="AB422" i="5" s="1"/>
  <c r="Z442" i="5"/>
  <c r="Z360" i="5"/>
  <c r="Z380" i="5"/>
  <c r="Z395" i="5"/>
  <c r="Z412" i="5"/>
  <c r="AB412" i="5" s="1"/>
  <c r="Z251" i="5"/>
  <c r="Z325" i="5"/>
  <c r="AA325" i="5" s="1"/>
  <c r="Z345" i="5"/>
  <c r="Z358" i="5"/>
  <c r="AB358" i="5" s="1"/>
  <c r="Z374" i="5"/>
  <c r="AB374" i="5" s="1"/>
  <c r="Z394" i="5"/>
  <c r="Z403" i="5"/>
  <c r="AA403" i="5" s="1"/>
  <c r="Z421" i="5"/>
  <c r="Z376" i="5"/>
  <c r="Z452" i="5"/>
  <c r="Z462" i="5"/>
  <c r="Z478" i="5"/>
  <c r="Z498" i="5"/>
  <c r="Z507" i="5"/>
  <c r="Z189" i="5"/>
  <c r="Z355" i="5"/>
  <c r="Z396" i="5"/>
  <c r="Z444" i="5"/>
  <c r="AA444" i="5" s="1"/>
  <c r="Z455" i="5"/>
  <c r="Z467" i="5"/>
  <c r="Z479" i="5"/>
  <c r="Z506" i="5"/>
  <c r="Z520" i="5"/>
  <c r="Z349" i="5"/>
  <c r="Z410" i="5"/>
  <c r="Z441" i="5"/>
  <c r="Z451" i="5"/>
  <c r="AA451" i="5" s="1"/>
  <c r="Z487" i="5"/>
  <c r="Z494" i="5"/>
  <c r="Z510" i="5"/>
  <c r="Z530" i="5"/>
  <c r="Z541" i="5"/>
  <c r="Z553" i="5"/>
  <c r="Z340" i="5"/>
  <c r="Z368" i="5"/>
  <c r="AA368" i="5" s="1"/>
  <c r="Z472" i="5"/>
  <c r="Z533" i="5"/>
  <c r="Z558" i="5"/>
  <c r="Z447" i="5"/>
  <c r="Z517" i="5"/>
  <c r="Z409" i="5"/>
  <c r="Z542" i="5"/>
  <c r="Z524" i="5"/>
  <c r="Z483" i="5"/>
  <c r="Z438" i="5"/>
  <c r="Z547" i="5"/>
  <c r="Z515" i="5"/>
  <c r="Z471" i="5"/>
  <c r="Z556" i="5"/>
  <c r="Z516" i="5"/>
  <c r="Z354" i="5"/>
  <c r="Z544" i="5"/>
  <c r="AB544" i="5" s="1"/>
  <c r="Z518" i="5"/>
  <c r="AB518" i="5" s="1"/>
  <c r="Z489" i="5"/>
  <c r="AB489" i="5" s="1"/>
  <c r="Z445" i="5"/>
  <c r="Z386" i="5"/>
  <c r="Z511" i="5"/>
  <c r="AB511" i="5" s="1"/>
  <c r="Z473" i="5"/>
  <c r="Z449" i="5"/>
  <c r="Z387" i="5"/>
  <c r="AA387" i="5" s="1"/>
  <c r="Z531" i="5"/>
  <c r="Z486" i="5"/>
  <c r="AA486" i="5" s="1"/>
  <c r="Z457" i="5"/>
  <c r="Z299" i="5"/>
  <c r="Z398" i="5"/>
  <c r="AB398" i="5" s="1"/>
  <c r="Z364" i="5"/>
  <c r="AB364" i="5" s="1"/>
  <c r="Z336" i="5"/>
  <c r="Z416" i="5"/>
  <c r="AA416" i="5" s="1"/>
  <c r="Z389" i="5"/>
  <c r="AA389" i="5" s="1"/>
  <c r="Z335" i="5"/>
  <c r="AA335" i="5" s="1"/>
  <c r="Z411" i="5"/>
  <c r="Z304" i="5"/>
  <c r="AB304" i="5" s="1"/>
  <c r="Z306" i="5"/>
  <c r="Z257" i="5"/>
  <c r="AA257" i="5" s="1"/>
  <c r="Z283" i="5"/>
  <c r="Z303" i="5"/>
  <c r="AB303" i="5" s="1"/>
  <c r="Z245" i="5"/>
  <c r="Z199" i="5"/>
  <c r="AB199" i="5" s="1"/>
  <c r="Z188" i="5"/>
  <c r="AB188" i="5" s="1"/>
  <c r="Z221" i="5"/>
  <c r="AA221" i="5" s="1"/>
  <c r="Z187" i="5"/>
  <c r="AA187" i="5" s="1"/>
  <c r="Z168" i="5"/>
  <c r="AB168" i="5" s="1"/>
  <c r="Z148" i="5"/>
  <c r="Z122" i="5"/>
  <c r="AA122" i="5" s="1"/>
  <c r="Z128" i="5"/>
  <c r="Z96" i="5"/>
  <c r="AA96" i="5" s="1"/>
  <c r="Z85" i="5"/>
  <c r="Z56" i="5"/>
  <c r="AB56" i="5" s="1"/>
  <c r="Z66" i="5"/>
  <c r="Z26" i="5"/>
  <c r="AA26" i="5" s="1"/>
  <c r="Z36" i="5"/>
  <c r="AB36" i="5" s="1"/>
  <c r="Z48" i="5"/>
  <c r="Z23" i="5"/>
  <c r="Z37" i="5"/>
  <c r="Z33" i="5"/>
  <c r="Z21" i="5"/>
  <c r="Z59" i="5"/>
  <c r="AA59" i="5" s="1"/>
  <c r="Z24" i="5"/>
  <c r="Z45" i="5"/>
  <c r="AA45" i="5" s="1"/>
  <c r="Z54" i="5"/>
  <c r="Z68" i="5"/>
  <c r="AA68" i="5" s="1"/>
  <c r="Z78" i="5"/>
  <c r="Z72" i="5"/>
  <c r="Z50" i="5"/>
  <c r="Z80" i="5"/>
  <c r="AB80" i="5" s="1"/>
  <c r="Z91" i="5"/>
  <c r="AA91" i="5" s="1"/>
  <c r="Z90" i="5"/>
  <c r="AB90" i="5" s="1"/>
  <c r="Z89" i="5"/>
  <c r="Z74" i="5"/>
  <c r="AA74" i="5" s="1"/>
  <c r="Z98" i="5"/>
  <c r="AA98" i="5" s="1"/>
  <c r="Z107" i="5"/>
  <c r="Z116" i="5"/>
  <c r="Z123" i="5"/>
  <c r="AA123" i="5" s="1"/>
  <c r="Z133" i="5"/>
  <c r="AA133" i="5" s="1"/>
  <c r="Z147" i="5"/>
  <c r="AA147" i="5" s="1"/>
  <c r="Z154" i="5"/>
  <c r="Z114" i="5"/>
  <c r="AB114" i="5" s="1"/>
  <c r="Z134" i="5"/>
  <c r="Z157" i="5"/>
  <c r="AA157" i="5" s="1"/>
  <c r="Z112" i="5"/>
  <c r="Z139" i="5"/>
  <c r="AA139" i="5" s="1"/>
  <c r="Z156" i="5"/>
  <c r="Z175" i="5"/>
  <c r="Z115" i="5"/>
  <c r="Z164" i="5"/>
  <c r="AB164" i="5" s="1"/>
  <c r="Z176" i="5"/>
  <c r="AB176" i="5" s="1"/>
  <c r="Z121" i="5"/>
  <c r="Z171" i="5"/>
  <c r="AB171" i="5" s="1"/>
  <c r="Z179" i="5"/>
  <c r="AA179" i="5" s="1"/>
  <c r="Z195" i="5"/>
  <c r="Z113" i="5"/>
  <c r="Z191" i="5"/>
  <c r="Z213" i="5"/>
  <c r="AA213" i="5" s="1"/>
  <c r="Z225" i="5"/>
  <c r="Z236" i="5"/>
  <c r="AA236" i="5" s="1"/>
  <c r="Z252" i="5"/>
  <c r="AB252" i="5" s="1"/>
  <c r="Z181" i="5"/>
  <c r="AA181" i="5" s="1"/>
  <c r="Z197" i="5"/>
  <c r="AB197" i="5" s="1"/>
  <c r="Z214" i="5"/>
  <c r="AA214" i="5" s="1"/>
  <c r="Z231" i="5"/>
  <c r="Z163" i="5"/>
  <c r="Z201" i="5"/>
  <c r="Z218" i="5"/>
  <c r="Z227" i="5"/>
  <c r="Z238" i="5"/>
  <c r="Z253" i="5"/>
  <c r="Z264" i="5"/>
  <c r="AB264" i="5" s="1"/>
  <c r="Z285" i="5"/>
  <c r="Z300" i="5"/>
  <c r="Z307" i="5"/>
  <c r="AA307" i="5" s="1"/>
  <c r="Z331" i="5"/>
  <c r="AB331" i="5" s="1"/>
  <c r="Z262" i="5"/>
  <c r="AB262" i="5" s="1"/>
  <c r="Z275" i="5"/>
  <c r="AB275" i="5" s="1"/>
  <c r="Z290" i="5"/>
  <c r="Z309" i="5"/>
  <c r="Z329" i="5"/>
  <c r="Z254" i="5"/>
  <c r="Z263" i="5"/>
  <c r="Z274" i="5"/>
  <c r="AB274" i="5" s="1"/>
  <c r="Z282" i="5"/>
  <c r="Z297" i="5"/>
  <c r="AA297" i="5" s="1"/>
  <c r="Z314" i="5"/>
  <c r="AA314" i="5" s="1"/>
  <c r="Z324" i="5"/>
  <c r="Z339" i="5"/>
  <c r="Z361" i="5"/>
  <c r="AA361" i="5" s="1"/>
  <c r="Z333" i="5"/>
  <c r="Z365" i="5"/>
  <c r="Z379" i="5"/>
  <c r="Z402" i="5"/>
  <c r="Z417" i="5"/>
  <c r="Z425" i="5"/>
  <c r="Z439" i="5"/>
  <c r="AB439" i="5" s="1"/>
  <c r="Z286" i="5"/>
  <c r="AB286" i="5" s="1"/>
  <c r="Z352" i="5"/>
  <c r="Z27" i="5"/>
  <c r="Z40" i="5"/>
  <c r="AA40" i="5" s="1"/>
  <c r="Z49" i="5"/>
  <c r="Z25" i="5"/>
  <c r="AB25" i="5" s="1"/>
  <c r="Z41" i="5"/>
  <c r="Z38" i="5"/>
  <c r="AB38" i="5" s="1"/>
  <c r="Z28" i="5"/>
  <c r="AB28" i="5" s="1"/>
  <c r="Z63" i="5"/>
  <c r="AB63" i="5" s="1"/>
  <c r="Z55" i="5"/>
  <c r="AB55" i="5" s="1"/>
  <c r="Z51" i="5"/>
  <c r="AB51" i="5" s="1"/>
  <c r="Z57" i="5"/>
  <c r="Z32" i="5"/>
  <c r="AA32" i="5" s="1"/>
  <c r="Z62" i="5"/>
  <c r="Z75" i="5"/>
  <c r="Z67" i="5"/>
  <c r="AB67" i="5" s="1"/>
  <c r="Z82" i="5"/>
  <c r="AB82" i="5" s="1"/>
  <c r="Z93" i="5"/>
  <c r="AB93" i="5" s="1"/>
  <c r="Z92" i="5"/>
  <c r="AA92" i="5" s="1"/>
  <c r="Z101" i="5"/>
  <c r="Z86" i="5"/>
  <c r="Z102" i="5"/>
  <c r="AA102" i="5" s="1"/>
  <c r="Z81" i="5"/>
  <c r="AB81" i="5" s="1"/>
  <c r="Z117" i="5"/>
  <c r="AA117" i="5" s="1"/>
  <c r="Z125" i="5"/>
  <c r="AB125" i="5" s="1"/>
  <c r="Z135" i="5"/>
  <c r="Z149" i="5"/>
  <c r="AB149" i="5" s="1"/>
  <c r="Z155" i="5"/>
  <c r="Z119" i="5"/>
  <c r="Z138" i="5"/>
  <c r="AA138" i="5" s="1"/>
  <c r="Z158" i="5"/>
  <c r="Z124" i="5"/>
  <c r="AA124" i="5" s="1"/>
  <c r="Z142" i="5"/>
  <c r="Z141" i="5"/>
  <c r="AA141" i="5" s="1"/>
  <c r="Z185" i="5"/>
  <c r="AA185" i="5" s="1"/>
  <c r="Z143" i="5"/>
  <c r="Z166" i="5"/>
  <c r="AB166" i="5" s="1"/>
  <c r="Z180" i="5"/>
  <c r="Z127" i="5"/>
  <c r="Z173" i="5"/>
  <c r="Z183" i="5"/>
  <c r="Z196" i="5"/>
  <c r="Z170" i="5"/>
  <c r="AA170" i="5" s="1"/>
  <c r="Z192" i="5"/>
  <c r="Z217" i="5"/>
  <c r="Z230" i="5"/>
  <c r="Z240" i="5"/>
  <c r="AB240" i="5" s="1"/>
  <c r="Z126" i="5"/>
  <c r="AB126" i="5" s="1"/>
  <c r="Z184" i="5"/>
  <c r="AB184" i="5" s="1"/>
  <c r="Z202" i="5"/>
  <c r="Z219" i="5"/>
  <c r="Z237" i="5"/>
  <c r="Z198" i="5"/>
  <c r="Z208" i="5"/>
  <c r="Z220" i="5"/>
  <c r="AB220" i="5" s="1"/>
  <c r="Z234" i="5"/>
  <c r="AB234" i="5" s="1"/>
  <c r="Z242" i="5"/>
  <c r="AA242" i="5" s="1"/>
  <c r="Z256" i="5"/>
  <c r="Z269" i="5"/>
  <c r="Z288" i="5"/>
  <c r="Z302" i="5"/>
  <c r="AA302" i="5" s="1"/>
  <c r="Z310" i="5"/>
  <c r="Z165" i="5"/>
  <c r="Z267" i="5"/>
  <c r="Z280" i="5"/>
  <c r="AA280" i="5" s="1"/>
  <c r="Z293" i="5"/>
  <c r="Z315" i="5"/>
  <c r="Z330" i="5"/>
  <c r="Z255" i="5"/>
  <c r="AB255" i="5" s="1"/>
  <c r="Z265" i="5"/>
  <c r="AB265" i="5" s="1"/>
  <c r="Z277" i="5"/>
  <c r="AB277" i="5" s="1"/>
  <c r="Z287" i="5"/>
  <c r="Z301" i="5"/>
  <c r="Z319" i="5"/>
  <c r="Z332" i="5"/>
  <c r="Z346" i="5"/>
  <c r="Z243" i="5"/>
  <c r="AB243" i="5" s="1"/>
  <c r="Z343" i="5"/>
  <c r="AA343" i="5" s="1"/>
  <c r="Z369" i="5"/>
  <c r="AB369" i="5" s="1"/>
  <c r="Z383" i="5"/>
  <c r="AB383" i="5" s="1"/>
  <c r="Z404" i="5"/>
  <c r="AA404" i="5" s="1"/>
  <c r="Z418" i="5"/>
  <c r="Z430" i="5"/>
  <c r="Z440" i="5"/>
  <c r="Z292" i="5"/>
  <c r="AA292" i="5" s="1"/>
  <c r="Z357" i="5"/>
  <c r="V8" i="4" l="1"/>
  <c r="Y8" i="4" s="1"/>
  <c r="AI8" i="4" s="1"/>
  <c r="B144" i="2"/>
  <c r="V41" i="1" s="1"/>
  <c r="B136" i="2"/>
  <c r="N41" i="1" s="1"/>
  <c r="B128" i="2"/>
  <c r="H41" i="1" s="1"/>
  <c r="AB12" i="10"/>
  <c r="AB521" i="10"/>
  <c r="AB280" i="10"/>
  <c r="AA164" i="10"/>
  <c r="AB76" i="10"/>
  <c r="AA182" i="10"/>
  <c r="AB348" i="10"/>
  <c r="AB268" i="10"/>
  <c r="AB193" i="10"/>
  <c r="AA423" i="10"/>
  <c r="AA488" i="10"/>
  <c r="V112" i="4"/>
  <c r="W112" i="4" s="1"/>
  <c r="V156" i="4"/>
  <c r="Z156" i="4" s="1"/>
  <c r="V146" i="4"/>
  <c r="W146" i="4" s="1"/>
  <c r="V107" i="4"/>
  <c r="Y107" i="4" s="1"/>
  <c r="AI107" i="4" s="1"/>
  <c r="V62" i="4"/>
  <c r="W62" i="4" s="1"/>
  <c r="V67" i="4"/>
  <c r="W67" i="4" s="1"/>
  <c r="V152" i="4"/>
  <c r="W152" i="4" s="1"/>
  <c r="V69" i="4"/>
  <c r="W69" i="4" s="1"/>
  <c r="V137" i="4"/>
  <c r="W137" i="4" s="1"/>
  <c r="V84" i="4"/>
  <c r="Y84" i="4" s="1"/>
  <c r="V133" i="4"/>
  <c r="V147" i="4"/>
  <c r="Y147" i="4" s="1"/>
  <c r="V56" i="4"/>
  <c r="V129" i="4"/>
  <c r="Y129" i="4" s="1"/>
  <c r="V100" i="4"/>
  <c r="Y100" i="4" s="1"/>
  <c r="V54" i="4"/>
  <c r="W54" i="4" s="1"/>
  <c r="V47" i="4"/>
  <c r="W47" i="4" s="1"/>
  <c r="V39" i="4"/>
  <c r="V57" i="4"/>
  <c r="Y57" i="4" s="1"/>
  <c r="V74" i="4"/>
  <c r="Y74" i="4" s="1"/>
  <c r="V150" i="4"/>
  <c r="W150" i="4" s="1"/>
  <c r="V89" i="4"/>
  <c r="Y89" i="4" s="1"/>
  <c r="V50" i="4"/>
  <c r="Y50" i="4" s="1"/>
  <c r="V40" i="4"/>
  <c r="Y40" i="4" s="1"/>
  <c r="V143" i="4"/>
  <c r="Z143" i="4" s="1"/>
  <c r="V140" i="4"/>
  <c r="Z140" i="4" s="1"/>
  <c r="V145" i="4"/>
  <c r="W145" i="4" s="1"/>
  <c r="V113" i="4"/>
  <c r="W113" i="4" s="1"/>
  <c r="V126" i="4"/>
  <c r="W126" i="4" s="1"/>
  <c r="V131" i="4"/>
  <c r="Y131" i="4" s="1"/>
  <c r="V120" i="4"/>
  <c r="Y120" i="4" s="1"/>
  <c r="V111" i="4"/>
  <c r="W111" i="4" s="1"/>
  <c r="V75" i="4"/>
  <c r="V132" i="4"/>
  <c r="Y132" i="4" s="1"/>
  <c r="V79" i="4"/>
  <c r="W79" i="4" s="1"/>
  <c r="V64" i="4"/>
  <c r="W64" i="4" s="1"/>
  <c r="V52" i="4"/>
  <c r="W52" i="4" s="1"/>
  <c r="V157" i="4"/>
  <c r="Z157" i="4" s="1"/>
  <c r="V59" i="4"/>
  <c r="Z59" i="4" s="1"/>
  <c r="V102" i="4"/>
  <c r="W102" i="4" s="1"/>
  <c r="V122" i="4"/>
  <c r="Z122" i="4" s="1"/>
  <c r="V88" i="4"/>
  <c r="Y88" i="4" s="1"/>
  <c r="V142" i="4"/>
  <c r="W142" i="4" s="1"/>
  <c r="V76" i="4"/>
  <c r="Y76" i="4" s="1"/>
  <c r="V81" i="4"/>
  <c r="W81" i="4" s="1"/>
  <c r="V91" i="4"/>
  <c r="W91" i="4" s="1"/>
  <c r="V37" i="4"/>
  <c r="W37" i="4" s="1"/>
  <c r="V124" i="4"/>
  <c r="Z124" i="4" s="1"/>
  <c r="V108" i="4"/>
  <c r="Z108" i="4" s="1"/>
  <c r="V130" i="4"/>
  <c r="W130" i="4" s="1"/>
  <c r="V68" i="4"/>
  <c r="Y68" i="4" s="1"/>
  <c r="V41" i="4"/>
  <c r="V65" i="4"/>
  <c r="W65" i="4" s="1"/>
  <c r="V114" i="4"/>
  <c r="Y114" i="4" s="1"/>
  <c r="V92" i="4"/>
  <c r="Y92" i="4" s="1"/>
  <c r="V106" i="4"/>
  <c r="W106" i="4" s="1"/>
  <c r="V104" i="4"/>
  <c r="W104" i="4" s="1"/>
  <c r="V82" i="4"/>
  <c r="Z82" i="4" s="1"/>
  <c r="V123" i="4"/>
  <c r="W123" i="4" s="1"/>
  <c r="V155" i="4"/>
  <c r="Y155" i="4" s="1"/>
  <c r="V94" i="4"/>
  <c r="Z94" i="4" s="1"/>
  <c r="V60" i="4"/>
  <c r="Y60" i="4" s="1"/>
  <c r="V45" i="4"/>
  <c r="Y45" i="4" s="1"/>
  <c r="V61" i="4"/>
  <c r="Y61" i="4" s="1"/>
  <c r="V90" i="4"/>
  <c r="W90" i="4" s="1"/>
  <c r="V154" i="4"/>
  <c r="W154" i="4" s="1"/>
  <c r="V46" i="4"/>
  <c r="W46" i="4" s="1"/>
  <c r="V110" i="4"/>
  <c r="W110" i="4" s="1"/>
  <c r="V97" i="4"/>
  <c r="W97" i="4" s="1"/>
  <c r="V153" i="4"/>
  <c r="Y153" i="4" s="1"/>
  <c r="V116" i="4"/>
  <c r="W116" i="4" s="1"/>
  <c r="AB468" i="10"/>
  <c r="AA243" i="10"/>
  <c r="AB249" i="10"/>
  <c r="AB151" i="10"/>
  <c r="AB401" i="10"/>
  <c r="AA526" i="10"/>
  <c r="AB7" i="10"/>
  <c r="AB357" i="10"/>
  <c r="AA252" i="10"/>
  <c r="AB200" i="10"/>
  <c r="AB319" i="10"/>
  <c r="AB396" i="10"/>
  <c r="AA194" i="10"/>
  <c r="AA361" i="10"/>
  <c r="AB473" i="10"/>
  <c r="AA444" i="10"/>
  <c r="AB72" i="10"/>
  <c r="AB125" i="10"/>
  <c r="W25" i="4"/>
  <c r="X25" i="4" s="1"/>
  <c r="W55" i="4"/>
  <c r="X55" i="4" s="1"/>
  <c r="W20" i="4"/>
  <c r="W14" i="4"/>
  <c r="X14" i="4" s="1"/>
  <c r="W21" i="4"/>
  <c r="Y11" i="4"/>
  <c r="W15" i="4"/>
  <c r="W13" i="4"/>
  <c r="X13" i="4" s="1"/>
  <c r="W36" i="4"/>
  <c r="X36" i="4" s="1"/>
  <c r="W17" i="4"/>
  <c r="W19" i="4"/>
  <c r="W34" i="4"/>
  <c r="W29" i="4"/>
  <c r="X29" i="4" s="1"/>
  <c r="W63" i="4"/>
  <c r="X63" i="4" s="1"/>
  <c r="W9" i="4"/>
  <c r="W12" i="4"/>
  <c r="W10" i="4"/>
  <c r="W27" i="4"/>
  <c r="Y28" i="4"/>
  <c r="Y38" i="4"/>
  <c r="W71" i="4"/>
  <c r="X71" i="4" s="1"/>
  <c r="W87" i="4"/>
  <c r="X87" i="4" s="1"/>
  <c r="W30" i="4"/>
  <c r="W18" i="4"/>
  <c r="Y35" i="4"/>
  <c r="W26" i="4"/>
  <c r="W31" i="4"/>
  <c r="W33" i="4"/>
  <c r="W22" i="4"/>
  <c r="W23" i="4"/>
  <c r="X23" i="4" s="1"/>
  <c r="W32" i="4"/>
  <c r="W24" i="4"/>
  <c r="W7" i="4"/>
  <c r="X7" i="4" s="1"/>
  <c r="W80" i="4"/>
  <c r="X80" i="4" s="1"/>
  <c r="W70" i="4"/>
  <c r="X70" i="4" s="1"/>
  <c r="W44" i="4"/>
  <c r="X44" i="4" s="1"/>
  <c r="Y121" i="4"/>
  <c r="AP121" i="4" s="1"/>
  <c r="W83" i="4"/>
  <c r="X83" i="4" s="1"/>
  <c r="W77" i="4"/>
  <c r="X77" i="4" s="1"/>
  <c r="W95" i="4"/>
  <c r="X95" i="4" s="1"/>
  <c r="W127" i="4"/>
  <c r="X127" i="4" s="1"/>
  <c r="W78" i="4"/>
  <c r="X78" i="4" s="1"/>
  <c r="W98" i="4"/>
  <c r="X98" i="4" s="1"/>
  <c r="W96" i="4"/>
  <c r="X96" i="4" s="1"/>
  <c r="W86" i="4"/>
  <c r="X86" i="4" s="1"/>
  <c r="Y138" i="4"/>
  <c r="W115" i="4"/>
  <c r="X115" i="4" s="1"/>
  <c r="W139" i="4"/>
  <c r="X139" i="4" s="1"/>
  <c r="W85" i="4"/>
  <c r="X85" i="4" s="1"/>
  <c r="Y103" i="4"/>
  <c r="W119" i="4"/>
  <c r="X119" i="4" s="1"/>
  <c r="W135" i="4"/>
  <c r="X135" i="4" s="1"/>
  <c r="W151" i="4"/>
  <c r="X151" i="4" s="1"/>
  <c r="W66" i="4"/>
  <c r="X66" i="4" s="1"/>
  <c r="AA63" i="10"/>
  <c r="AA530" i="10"/>
  <c r="AA533" i="10"/>
  <c r="AA307" i="10"/>
  <c r="AB43" i="10"/>
  <c r="AA57" i="10"/>
  <c r="AA50" i="10"/>
  <c r="AA44" i="10"/>
  <c r="AA162" i="10"/>
  <c r="AB134" i="10"/>
  <c r="AA75" i="10"/>
  <c r="AA81" i="10"/>
  <c r="AA223" i="10"/>
  <c r="AB471" i="10"/>
  <c r="AB457" i="10"/>
  <c r="AA94" i="10"/>
  <c r="AB425" i="10"/>
  <c r="AB180" i="10"/>
  <c r="Y63" i="4"/>
  <c r="AA282" i="10"/>
  <c r="AB62" i="10"/>
  <c r="AB264" i="10"/>
  <c r="AA141" i="10"/>
  <c r="AB142" i="10"/>
  <c r="AB295" i="10"/>
  <c r="AA177" i="10"/>
  <c r="AA222" i="10"/>
  <c r="AB238" i="10"/>
  <c r="AA261" i="10"/>
  <c r="AB337" i="10"/>
  <c r="AA439" i="10"/>
  <c r="AB257" i="10"/>
  <c r="AA236" i="10"/>
  <c r="AA169" i="10"/>
  <c r="AA341" i="10"/>
  <c r="AB285" i="10"/>
  <c r="AA281" i="10"/>
  <c r="AB534" i="10"/>
  <c r="AB372" i="10"/>
  <c r="AB502" i="10"/>
  <c r="AB129" i="10"/>
  <c r="AA467" i="10"/>
  <c r="Y95" i="4"/>
  <c r="AA528" i="10"/>
  <c r="AB103" i="10"/>
  <c r="AB464" i="10"/>
  <c r="W105" i="4"/>
  <c r="X105" i="4" s="1"/>
  <c r="W49" i="4"/>
  <c r="X49" i="4" s="1"/>
  <c r="W148" i="4"/>
  <c r="X148" i="4" s="1"/>
  <c r="W144" i="4"/>
  <c r="X144" i="4" s="1"/>
  <c r="W101" i="4"/>
  <c r="X101" i="4" s="1"/>
  <c r="W117" i="4"/>
  <c r="X117" i="4" s="1"/>
  <c r="W149" i="4"/>
  <c r="X149" i="4" s="1"/>
  <c r="W128" i="4"/>
  <c r="X128" i="4" s="1"/>
  <c r="W118" i="4"/>
  <c r="X118" i="4" s="1"/>
  <c r="W72" i="4"/>
  <c r="X72" i="4" s="1"/>
  <c r="W73" i="4"/>
  <c r="X73" i="4" s="1"/>
  <c r="W51" i="4"/>
  <c r="X51" i="4" s="1"/>
  <c r="W99" i="4"/>
  <c r="X99" i="4" s="1"/>
  <c r="W42" i="4"/>
  <c r="X42" i="4" s="1"/>
  <c r="W134" i="4"/>
  <c r="X134" i="4" s="1"/>
  <c r="W43" i="4"/>
  <c r="X43" i="4" s="1"/>
  <c r="W48" i="4"/>
  <c r="X48" i="4" s="1"/>
  <c r="W53" i="4"/>
  <c r="X53" i="4" s="1"/>
  <c r="W93" i="4"/>
  <c r="X93" i="4" s="1"/>
  <c r="W109" i="4"/>
  <c r="X109" i="4" s="1"/>
  <c r="W125" i="4"/>
  <c r="X125" i="4" s="1"/>
  <c r="Y58" i="4"/>
  <c r="W136" i="4"/>
  <c r="X136" i="4" s="1"/>
  <c r="W141" i="4"/>
  <c r="X141" i="4" s="1"/>
  <c r="AA234" i="10"/>
  <c r="AA340" i="10"/>
  <c r="AB176" i="10"/>
  <c r="W138" i="4"/>
  <c r="X138" i="4" s="1"/>
  <c r="Z18" i="4"/>
  <c r="Y25" i="4"/>
  <c r="Y101" i="4"/>
  <c r="Y33" i="4"/>
  <c r="Y71" i="4"/>
  <c r="Y18" i="4"/>
  <c r="Y93" i="4"/>
  <c r="W28" i="4"/>
  <c r="W103" i="4"/>
  <c r="X103" i="4" s="1"/>
  <c r="Y44" i="4"/>
  <c r="Y22" i="4"/>
  <c r="Y43" i="4"/>
  <c r="Y125" i="4"/>
  <c r="Y127" i="4"/>
  <c r="Y99" i="4"/>
  <c r="W121" i="4"/>
  <c r="X121" i="4" s="1"/>
  <c r="Y115" i="4"/>
  <c r="Y17" i="4"/>
  <c r="W35" i="4"/>
  <c r="W11" i="4"/>
  <c r="Y51" i="4"/>
  <c r="W8" i="4"/>
  <c r="W58" i="4"/>
  <c r="X58" i="4" s="1"/>
  <c r="Y135" i="4"/>
  <c r="Y80" i="4"/>
  <c r="Y109" i="4"/>
  <c r="Y16" i="4"/>
  <c r="W16" i="4"/>
  <c r="W38" i="4"/>
  <c r="X38" i="4" s="1"/>
  <c r="Y23" i="4"/>
  <c r="Y83" i="4"/>
  <c r="Y29" i="4"/>
  <c r="Y141" i="4"/>
  <c r="Y128" i="4"/>
  <c r="Y73" i="4"/>
  <c r="Y72" i="4"/>
  <c r="Y78" i="4"/>
  <c r="Y85" i="4"/>
  <c r="Y87" i="4"/>
  <c r="Y27" i="4"/>
  <c r="Y36" i="4"/>
  <c r="Y139" i="4"/>
  <c r="Y77" i="4"/>
  <c r="Y96" i="4"/>
  <c r="Y34" i="4"/>
  <c r="Y14" i="4"/>
  <c r="Y53" i="4"/>
  <c r="Y55" i="4"/>
  <c r="Y31" i="4"/>
  <c r="Y98" i="4"/>
  <c r="Y144" i="4"/>
  <c r="Y134" i="4"/>
  <c r="Y30" i="4"/>
  <c r="Y151" i="4"/>
  <c r="Y15" i="4"/>
  <c r="Y86" i="4"/>
  <c r="Y66" i="4"/>
  <c r="Y9" i="4"/>
  <c r="Y70" i="4"/>
  <c r="Y20" i="4"/>
  <c r="Y10" i="4"/>
  <c r="Y12" i="4"/>
  <c r="Y105" i="4"/>
  <c r="Y13" i="4"/>
  <c r="Y42" i="4"/>
  <c r="Z117" i="4"/>
  <c r="Y119" i="4"/>
  <c r="AA210" i="10"/>
  <c r="AB250" i="10"/>
  <c r="AA135" i="10"/>
  <c r="AB100" i="10"/>
  <c r="AB542" i="10"/>
  <c r="AB212" i="10"/>
  <c r="AB216" i="10"/>
  <c r="AB518" i="10"/>
  <c r="AA95" i="10"/>
  <c r="AB190" i="10"/>
  <c r="AB101" i="10"/>
  <c r="AA208" i="10"/>
  <c r="AB360" i="10"/>
  <c r="AB92" i="10"/>
  <c r="AA93" i="10"/>
  <c r="AB232" i="10"/>
  <c r="AA324" i="10"/>
  <c r="AA19" i="10"/>
  <c r="AA430" i="10"/>
  <c r="AA67" i="10"/>
  <c r="AA139" i="10"/>
  <c r="AA39" i="10"/>
  <c r="AA33" i="10"/>
  <c r="AB204" i="10"/>
  <c r="AA145" i="10"/>
  <c r="AA77" i="10"/>
  <c r="AA149" i="10"/>
  <c r="AB506" i="10"/>
  <c r="AA404" i="10"/>
  <c r="AA157" i="10"/>
  <c r="AB316" i="10"/>
  <c r="AB443" i="10"/>
  <c r="AA362" i="10"/>
  <c r="AB274" i="10"/>
  <c r="AB219" i="10"/>
  <c r="AA497" i="10"/>
  <c r="AB88" i="10"/>
  <c r="AA483" i="10"/>
  <c r="AB248" i="10"/>
  <c r="AB292" i="10"/>
  <c r="AB417" i="10"/>
  <c r="AB548" i="10"/>
  <c r="AA224" i="10"/>
  <c r="AB197" i="10"/>
  <c r="AB489" i="10"/>
  <c r="AB554" i="10"/>
  <c r="AA350" i="10"/>
  <c r="AA403" i="10"/>
  <c r="AB288" i="10"/>
  <c r="AB524" i="10"/>
  <c r="AB442" i="10"/>
  <c r="AA269" i="10"/>
  <c r="AA82" i="10"/>
  <c r="AA152" i="10"/>
  <c r="AA380" i="10"/>
  <c r="AA46" i="10"/>
  <c r="AA560" i="10"/>
  <c r="AA64" i="10"/>
  <c r="AA329" i="10"/>
  <c r="AA245" i="10"/>
  <c r="AA453" i="10"/>
  <c r="AA207" i="10"/>
  <c r="AA376" i="10"/>
  <c r="AB217" i="10"/>
  <c r="AA346" i="10"/>
  <c r="AB539" i="10"/>
  <c r="AB24" i="10"/>
  <c r="AB150" i="10"/>
  <c r="AB104" i="10"/>
  <c r="AA21" i="10"/>
  <c r="AB479" i="10"/>
  <c r="AA68" i="10"/>
  <c r="AA309" i="10"/>
  <c r="AB558" i="10"/>
  <c r="AB160" i="10"/>
  <c r="AB435" i="10"/>
  <c r="AA132" i="10"/>
  <c r="AA293" i="10"/>
  <c r="AB545" i="10"/>
  <c r="AB297" i="10"/>
  <c r="AB45" i="10"/>
  <c r="AA45" i="10"/>
  <c r="AB440" i="10"/>
  <c r="AA440" i="10"/>
  <c r="AA509" i="10"/>
  <c r="AB509" i="10"/>
  <c r="AB306" i="10"/>
  <c r="AA306" i="10"/>
  <c r="AB278" i="10"/>
  <c r="AA278" i="10"/>
  <c r="AB462" i="10"/>
  <c r="AA462" i="10"/>
  <c r="AB490" i="10"/>
  <c r="AA490" i="10"/>
  <c r="AB321" i="10"/>
  <c r="AA321" i="10"/>
  <c r="AB363" i="10"/>
  <c r="AA363" i="10"/>
  <c r="AB476" i="10"/>
  <c r="AA476" i="10"/>
  <c r="AB195" i="10"/>
  <c r="AA195" i="10"/>
  <c r="AB320" i="10"/>
  <c r="AA320" i="10"/>
  <c r="AB205" i="10"/>
  <c r="AA205" i="10"/>
  <c r="AA188" i="10"/>
  <c r="AB188" i="10"/>
  <c r="AA352" i="10"/>
  <c r="AB352" i="10"/>
  <c r="AB427" i="10"/>
  <c r="AA427" i="10"/>
  <c r="AB237" i="10"/>
  <c r="AA237" i="10"/>
  <c r="AB312" i="10"/>
  <c r="AA312" i="10"/>
  <c r="AA233" i="10"/>
  <c r="AB233" i="10"/>
  <c r="AA47" i="10"/>
  <c r="AB47" i="10"/>
  <c r="AB111" i="10"/>
  <c r="AA111" i="10"/>
  <c r="AA56" i="10"/>
  <c r="AB56" i="10"/>
  <c r="AB519" i="10"/>
  <c r="AA519" i="10"/>
  <c r="AB206" i="10"/>
  <c r="AA206" i="10"/>
  <c r="AA277" i="10"/>
  <c r="AB277" i="10"/>
  <c r="AB498" i="10"/>
  <c r="AA498" i="10"/>
  <c r="AA540" i="10"/>
  <c r="AB540" i="10"/>
  <c r="AB504" i="10"/>
  <c r="AA284" i="10"/>
  <c r="AB559" i="10"/>
  <c r="AB517" i="10"/>
  <c r="AA452" i="10"/>
  <c r="AB37" i="10"/>
  <c r="AA480" i="10"/>
  <c r="AA173" i="10"/>
  <c r="AA478" i="10"/>
  <c r="AB34" i="10"/>
  <c r="AA330" i="10"/>
  <c r="AA102" i="10"/>
  <c r="AA290" i="10"/>
  <c r="AB328" i="10"/>
  <c r="AA378" i="10"/>
  <c r="AB356" i="10"/>
  <c r="AB270" i="10"/>
  <c r="AB20" i="10"/>
  <c r="AA35" i="10"/>
  <c r="AA496" i="10"/>
  <c r="AA138" i="10"/>
  <c r="AA505" i="10"/>
  <c r="AB499" i="10"/>
  <c r="AA499" i="10"/>
  <c r="AA411" i="10"/>
  <c r="AB411" i="10"/>
  <c r="AA191" i="10"/>
  <c r="AB191" i="10"/>
  <c r="AB549" i="10"/>
  <c r="AA549" i="10"/>
  <c r="AA450" i="10"/>
  <c r="AB450" i="10"/>
  <c r="AB395" i="10"/>
  <c r="AA395" i="10"/>
  <c r="AA106" i="10"/>
  <c r="AB106" i="10"/>
  <c r="AA463" i="10"/>
  <c r="AB463" i="10"/>
  <c r="AA265" i="10"/>
  <c r="AB265" i="10"/>
  <c r="AA181" i="10"/>
  <c r="AB181" i="10"/>
  <c r="AB556" i="10"/>
  <c r="AA556" i="10"/>
  <c r="AA384" i="10"/>
  <c r="AB384" i="10"/>
  <c r="AA477" i="10"/>
  <c r="AB477" i="10"/>
  <c r="AB482" i="10"/>
  <c r="AA482" i="10"/>
  <c r="AB225" i="10"/>
  <c r="AA225" i="10"/>
  <c r="AA544" i="10"/>
  <c r="AB544" i="10"/>
  <c r="AA211" i="10"/>
  <c r="AB211" i="10"/>
  <c r="AA325" i="10"/>
  <c r="AB325" i="10"/>
  <c r="AB399" i="10"/>
  <c r="AA399" i="10"/>
  <c r="AB449" i="10"/>
  <c r="AA449" i="10"/>
  <c r="AB85" i="10"/>
  <c r="AA85" i="10"/>
  <c r="AB304" i="10"/>
  <c r="AA304" i="10"/>
  <c r="AB259" i="10"/>
  <c r="AA259" i="10"/>
  <c r="AB247" i="10"/>
  <c r="AA413" i="10"/>
  <c r="AA397" i="10"/>
  <c r="AA402" i="10"/>
  <c r="AB315" i="10"/>
  <c r="AB276" i="10"/>
  <c r="AB230" i="10"/>
  <c r="AB451" i="10"/>
  <c r="AA70" i="10"/>
  <c r="AA491" i="10"/>
  <c r="AB512" i="10"/>
  <c r="AA377" i="10"/>
  <c r="AB227" i="10"/>
  <c r="AB244" i="10"/>
  <c r="AA71" i="10"/>
  <c r="AB26" i="10"/>
  <c r="AA407" i="10"/>
  <c r="AB165" i="10"/>
  <c r="AB529" i="10"/>
  <c r="AB170" i="10"/>
  <c r="AB393" i="10"/>
  <c r="AB375" i="10"/>
  <c r="AB130" i="10"/>
  <c r="AA481" i="10"/>
  <c r="AA271" i="10"/>
  <c r="AB303" i="10"/>
  <c r="AB353" i="10"/>
  <c r="AA353" i="10"/>
  <c r="AA308" i="10"/>
  <c r="AB308" i="10"/>
  <c r="AB156" i="10"/>
  <c r="AA156" i="10"/>
  <c r="AA434" i="10"/>
  <c r="AB434" i="10"/>
  <c r="AA99" i="10"/>
  <c r="AA460" i="10"/>
  <c r="AA550" i="10"/>
  <c r="AA128" i="10"/>
  <c r="AA294" i="10"/>
  <c r="AA364" i="10"/>
  <c r="AA52" i="10"/>
  <c r="AA30" i="10"/>
  <c r="AA78" i="10"/>
  <c r="AB87" i="10"/>
  <c r="AB547" i="10"/>
  <c r="AA546" i="10"/>
  <c r="AA386" i="10"/>
  <c r="AA86" i="10"/>
  <c r="AA185" i="10"/>
  <c r="AB557" i="10"/>
  <c r="AA415" i="10"/>
  <c r="AB398" i="10"/>
  <c r="AA192" i="10"/>
  <c r="AA28" i="10"/>
  <c r="AA36" i="10"/>
  <c r="AB184" i="10"/>
  <c r="AA381" i="10"/>
  <c r="AA55" i="10"/>
  <c r="AB127" i="10"/>
  <c r="AB154" i="10"/>
  <c r="AB196" i="10"/>
  <c r="AA199" i="10"/>
  <c r="AB199" i="10"/>
  <c r="AA172" i="10"/>
  <c r="AB172" i="10"/>
  <c r="AB213" i="10"/>
  <c r="AA213" i="10"/>
  <c r="AA455" i="10"/>
  <c r="AB455" i="10"/>
  <c r="AB368" i="10"/>
  <c r="AA368" i="10"/>
  <c r="AB409" i="10"/>
  <c r="AA144" i="10"/>
  <c r="AA446" i="10"/>
  <c r="AA465" i="10"/>
  <c r="AA136" i="10"/>
  <c r="AA114" i="10"/>
  <c r="AA538" i="10"/>
  <c r="AB421" i="10"/>
  <c r="AB66" i="10"/>
  <c r="AA61" i="10"/>
  <c r="AA241" i="10"/>
  <c r="AB431" i="10"/>
  <c r="AB322" i="10"/>
  <c r="AA59" i="10"/>
  <c r="AA65" i="10"/>
  <c r="AB131" i="10"/>
  <c r="AA414" i="10"/>
  <c r="AA239" i="10"/>
  <c r="AB109" i="10"/>
  <c r="AB302" i="10"/>
  <c r="AB41" i="10"/>
  <c r="AB334" i="10"/>
  <c r="AA275" i="10"/>
  <c r="AA27" i="10"/>
  <c r="AB80" i="10"/>
  <c r="AA179" i="10"/>
  <c r="AA29" i="10"/>
  <c r="AB527" i="10"/>
  <c r="AB445" i="10"/>
  <c r="AA429" i="10"/>
  <c r="AA405" i="10"/>
  <c r="AB189" i="10"/>
  <c r="AB124" i="10"/>
  <c r="AA53" i="10"/>
  <c r="AA382" i="10"/>
  <c r="AB147" i="10"/>
  <c r="AB336" i="10"/>
  <c r="Q403" i="10"/>
  <c r="R403" i="10" s="1"/>
  <c r="AB523" i="10"/>
  <c r="AB469" i="10"/>
  <c r="AB461" i="10"/>
  <c r="AA520" i="10"/>
  <c r="AA296" i="10"/>
  <c r="AA166" i="10"/>
  <c r="AA289" i="10"/>
  <c r="AB298" i="10"/>
  <c r="AB246" i="10"/>
  <c r="AA419" i="10"/>
  <c r="AB118" i="10"/>
  <c r="AB159" i="10"/>
  <c r="AA501" i="10"/>
  <c r="AA418" i="10"/>
  <c r="AA459" i="10"/>
  <c r="AB161" i="10"/>
  <c r="AA305" i="10"/>
  <c r="AB253" i="10"/>
  <c r="AA365" i="10"/>
  <c r="AA148" i="10"/>
  <c r="AA218" i="10"/>
  <c r="AB175" i="10"/>
  <c r="AB262" i="10"/>
  <c r="AA96" i="10"/>
  <c r="AA433" i="10"/>
  <c r="AA366" i="10"/>
  <c r="AA383" i="10"/>
  <c r="AA254" i="10"/>
  <c r="AB494" i="10"/>
  <c r="AB474" i="10"/>
  <c r="AB327" i="10"/>
  <c r="AA126" i="10"/>
  <c r="AA69" i="10"/>
  <c r="AA228" i="10"/>
  <c r="AA332" i="10"/>
  <c r="AB331" i="10"/>
  <c r="AB343" i="10"/>
  <c r="AB344" i="10"/>
  <c r="AA119" i="10"/>
  <c r="AA492" i="10"/>
  <c r="AA416" i="10"/>
  <c r="AA221" i="10"/>
  <c r="AA120" i="10"/>
  <c r="AB493" i="10"/>
  <c r="AA515" i="10"/>
  <c r="AB155" i="10"/>
  <c r="AA146" i="10"/>
  <c r="AB258" i="10"/>
  <c r="AA255" i="10"/>
  <c r="AB536" i="10"/>
  <c r="AA38" i="10"/>
  <c r="AB458" i="10"/>
  <c r="AA167" i="10"/>
  <c r="AA22" i="10"/>
  <c r="AB351" i="10"/>
  <c r="AA32" i="10"/>
  <c r="AA318" i="10"/>
  <c r="AB226" i="10"/>
  <c r="AB485" i="10"/>
  <c r="AA201" i="10"/>
  <c r="AB495" i="10"/>
  <c r="AB412" i="10"/>
  <c r="AA209" i="10"/>
  <c r="AB266" i="10"/>
  <c r="AB389" i="10"/>
  <c r="AA522" i="10"/>
  <c r="AA532" i="10"/>
  <c r="AA436" i="10"/>
  <c r="AA23" i="10"/>
  <c r="AA432" i="10"/>
  <c r="AB97" i="10"/>
  <c r="AA553" i="10"/>
  <c r="AB347" i="10"/>
  <c r="AA373" i="10"/>
  <c r="AB541" i="10"/>
  <c r="AA108" i="10"/>
  <c r="AB220" i="10"/>
  <c r="AB291" i="10"/>
  <c r="AB273" i="10"/>
  <c r="AB301" i="10"/>
  <c r="AA470" i="10"/>
  <c r="AB370" i="10"/>
  <c r="AB551" i="10"/>
  <c r="AB115" i="10"/>
  <c r="AA543" i="10"/>
  <c r="AB202" i="10"/>
  <c r="AA475" i="10"/>
  <c r="AA287" i="10"/>
  <c r="AB385" i="10"/>
  <c r="AA260" i="10"/>
  <c r="AA503" i="10"/>
  <c r="AB214" i="10"/>
  <c r="AA406" i="10"/>
  <c r="AB300" i="10"/>
  <c r="AB143" i="10"/>
  <c r="AB122" i="10"/>
  <c r="AA116" i="10"/>
  <c r="AA390" i="10"/>
  <c r="AB117" i="10"/>
  <c r="AA379" i="10"/>
  <c r="AB113" i="10"/>
  <c r="AA367" i="10"/>
  <c r="AA163" i="10"/>
  <c r="AB487" i="10"/>
  <c r="AB428" i="10"/>
  <c r="AA256" i="10"/>
  <c r="AA314" i="10"/>
  <c r="AB186" i="10"/>
  <c r="AB438" i="10"/>
  <c r="AA42" i="10"/>
  <c r="AA349" i="10"/>
  <c r="AA60" i="10"/>
  <c r="AB31" i="10"/>
  <c r="AA422" i="10"/>
  <c r="AA231" i="10"/>
  <c r="AB48" i="10"/>
  <c r="AA400" i="10"/>
  <c r="AB516" i="10"/>
  <c r="AA335" i="10"/>
  <c r="AA90" i="10"/>
  <c r="AA391" i="10"/>
  <c r="AA74" i="10"/>
  <c r="AA369" i="10"/>
  <c r="AA203" i="10"/>
  <c r="AB158" i="10"/>
  <c r="AA91" i="10"/>
  <c r="AA272" i="10"/>
  <c r="AA323" i="10"/>
  <c r="AA183" i="10"/>
  <c r="AB525" i="10"/>
  <c r="AA140" i="10"/>
  <c r="AA112" i="10"/>
  <c r="AA242" i="10"/>
  <c r="AB98" i="10"/>
  <c r="AA317" i="10"/>
  <c r="AB447" i="10"/>
  <c r="AA535" i="10"/>
  <c r="AB73" i="10"/>
  <c r="AA49" i="10"/>
  <c r="AB229" i="10"/>
  <c r="AB286" i="10"/>
  <c r="AA133" i="10"/>
  <c r="AA107" i="10"/>
  <c r="AA510" i="10"/>
  <c r="AA339" i="10"/>
  <c r="Q300" i="10"/>
  <c r="R300" i="10" s="1"/>
  <c r="AB388" i="10"/>
  <c r="AB537" i="10"/>
  <c r="AA110" i="10"/>
  <c r="AA456" i="10"/>
  <c r="AB279" i="10"/>
  <c r="AA121" i="10"/>
  <c r="AB83" i="10"/>
  <c r="AA392" i="10"/>
  <c r="AB500" i="10"/>
  <c r="Z7" i="4"/>
  <c r="AA7" i="4" s="1"/>
  <c r="AB7" i="4" s="1"/>
  <c r="BU7" i="4" s="1"/>
  <c r="P545" i="10"/>
  <c r="P370" i="10"/>
  <c r="AB174" i="10"/>
  <c r="AA174" i="10"/>
  <c r="AA355" i="10"/>
  <c r="AB355" i="10"/>
  <c r="AA51" i="10"/>
  <c r="AA40" i="10"/>
  <c r="AB54" i="10"/>
  <c r="AA84" i="10"/>
  <c r="AB215" i="10"/>
  <c r="AB437" i="10"/>
  <c r="AA508" i="10"/>
  <c r="AA338" i="10"/>
  <c r="AB168" i="10"/>
  <c r="AA25" i="10"/>
  <c r="AB410" i="10"/>
  <c r="AA448" i="10"/>
  <c r="Q185" i="10"/>
  <c r="R185" i="10" s="1"/>
  <c r="AB187" i="10"/>
  <c r="AB513" i="10"/>
  <c r="AB283" i="10"/>
  <c r="AA105" i="10"/>
  <c r="AA313" i="10"/>
  <c r="AB420" i="10"/>
  <c r="AB484" i="10"/>
  <c r="AB240" i="10"/>
  <c r="AB326" i="10"/>
  <c r="AA345" i="10"/>
  <c r="Q365" i="10"/>
  <c r="R365" i="10" s="1"/>
  <c r="Q92" i="10"/>
  <c r="R92" i="10" s="1"/>
  <c r="AA58" i="10"/>
  <c r="Q353" i="10"/>
  <c r="S353" i="10" s="1"/>
  <c r="AA123" i="10"/>
  <c r="AA486" i="10"/>
  <c r="AB441" i="10"/>
  <c r="AB354" i="10"/>
  <c r="AB466" i="10"/>
  <c r="AA267" i="10"/>
  <c r="AB531" i="10"/>
  <c r="AA79" i="10"/>
  <c r="AB426" i="10"/>
  <c r="AA552" i="10"/>
  <c r="AA408" i="10"/>
  <c r="AA89" i="10"/>
  <c r="AB387" i="10"/>
  <c r="AA311" i="10"/>
  <c r="AB178" i="10"/>
  <c r="AB371" i="10"/>
  <c r="AB374" i="10"/>
  <c r="AB235" i="10"/>
  <c r="AB342" i="10"/>
  <c r="AA13" i="10"/>
  <c r="P156" i="10"/>
  <c r="P73" i="10"/>
  <c r="P453" i="10"/>
  <c r="P9" i="10"/>
  <c r="P74" i="10"/>
  <c r="P51" i="10"/>
  <c r="P23" i="10"/>
  <c r="P72" i="10"/>
  <c r="P315" i="10"/>
  <c r="P365" i="10"/>
  <c r="P556" i="10"/>
  <c r="AB299" i="10"/>
  <c r="AB394" i="10"/>
  <c r="AA251" i="10"/>
  <c r="P28" i="10"/>
  <c r="P158" i="10"/>
  <c r="P200" i="10"/>
  <c r="P306" i="10"/>
  <c r="P481" i="10"/>
  <c r="AA454" i="10"/>
  <c r="P157" i="10"/>
  <c r="P139" i="10"/>
  <c r="P186" i="10"/>
  <c r="P394" i="10"/>
  <c r="P511" i="10"/>
  <c r="P29" i="10"/>
  <c r="P56" i="10"/>
  <c r="P37" i="10"/>
  <c r="P141" i="10"/>
  <c r="P27" i="10"/>
  <c r="P95" i="10"/>
  <c r="P142" i="10"/>
  <c r="P123" i="10"/>
  <c r="P207" i="10"/>
  <c r="P140" i="10"/>
  <c r="P243" i="10"/>
  <c r="P304" i="10"/>
  <c r="P289" i="10"/>
  <c r="P348" i="10"/>
  <c r="P282" i="10"/>
  <c r="P412" i="10"/>
  <c r="P447" i="10"/>
  <c r="P478" i="10"/>
  <c r="P457" i="10"/>
  <c r="P521" i="10"/>
  <c r="P557" i="10"/>
  <c r="P181" i="10"/>
  <c r="P97" i="10"/>
  <c r="P101" i="10"/>
  <c r="P283" i="10"/>
  <c r="P48" i="10"/>
  <c r="P102" i="10"/>
  <c r="P229" i="10"/>
  <c r="P163" i="10"/>
  <c r="P100" i="10"/>
  <c r="P184" i="10"/>
  <c r="P240" i="10"/>
  <c r="P226" i="10"/>
  <c r="P355" i="10"/>
  <c r="P333" i="10"/>
  <c r="P346" i="10"/>
  <c r="P387" i="10"/>
  <c r="P405" i="10"/>
  <c r="P459" i="10"/>
  <c r="P505" i="10"/>
  <c r="P520" i="10"/>
  <c r="AA171" i="10"/>
  <c r="P197" i="10"/>
  <c r="P193" i="10"/>
  <c r="P117" i="10"/>
  <c r="P55" i="10"/>
  <c r="P65" i="10"/>
  <c r="P118" i="10"/>
  <c r="P307" i="10"/>
  <c r="P179" i="10"/>
  <c r="P116" i="10"/>
  <c r="P215" i="10"/>
  <c r="P264" i="10"/>
  <c r="P249" i="10"/>
  <c r="P308" i="10"/>
  <c r="P357" i="10"/>
  <c r="P372" i="10"/>
  <c r="P411" i="10"/>
  <c r="P429" i="10"/>
  <c r="P479" i="10"/>
  <c r="P519" i="10"/>
  <c r="AB359" i="10"/>
  <c r="AB137" i="10"/>
  <c r="AA511" i="10"/>
  <c r="AB8" i="10"/>
  <c r="Q174" i="10"/>
  <c r="R174" i="10" s="1"/>
  <c r="Q122" i="10"/>
  <c r="S122" i="10" s="1"/>
  <c r="Q455" i="10"/>
  <c r="R455" i="10" s="1"/>
  <c r="Q513" i="10"/>
  <c r="R513" i="10" s="1"/>
  <c r="Q377" i="10"/>
  <c r="R377" i="10" s="1"/>
  <c r="Q348" i="10"/>
  <c r="R348" i="10" s="1"/>
  <c r="Q56" i="10"/>
  <c r="Q291" i="10"/>
  <c r="R291" i="10" s="1"/>
  <c r="Q548" i="10"/>
  <c r="S548" i="10" s="1"/>
  <c r="AA10" i="10"/>
  <c r="Q54" i="10"/>
  <c r="S54" i="10" s="1"/>
  <c r="Q165" i="10"/>
  <c r="R165" i="10" s="1"/>
  <c r="Q127" i="10"/>
  <c r="S127" i="10" s="1"/>
  <c r="Q465" i="10"/>
  <c r="R465" i="10" s="1"/>
  <c r="Q444" i="10"/>
  <c r="R444" i="10" s="1"/>
  <c r="Q502" i="10"/>
  <c r="Q116" i="10"/>
  <c r="S116" i="10" s="1"/>
  <c r="AA514" i="10"/>
  <c r="AB333" i="10"/>
  <c r="AA507" i="10"/>
  <c r="AA358" i="10"/>
  <c r="Q544" i="10"/>
  <c r="R544" i="10" s="1"/>
  <c r="Q13" i="10"/>
  <c r="S13" i="10" s="1"/>
  <c r="Q514" i="10"/>
  <c r="Q82" i="10"/>
  <c r="S82" i="10" s="1"/>
  <c r="Q325" i="10"/>
  <c r="S325" i="10" s="1"/>
  <c r="Q126" i="10"/>
  <c r="R126" i="10" s="1"/>
  <c r="Q356" i="10"/>
  <c r="S356" i="10" s="1"/>
  <c r="Q558" i="10"/>
  <c r="S558" i="10" s="1"/>
  <c r="Q440" i="10"/>
  <c r="R440" i="10" s="1"/>
  <c r="Q129" i="10"/>
  <c r="S129" i="10" s="1"/>
  <c r="Q164" i="10"/>
  <c r="S164" i="10" s="1"/>
  <c r="Q141" i="10"/>
  <c r="S141" i="10" s="1"/>
  <c r="Q326" i="10"/>
  <c r="R326" i="10" s="1"/>
  <c r="Q432" i="10"/>
  <c r="S432" i="10" s="1"/>
  <c r="AA153" i="10"/>
  <c r="P13" i="10"/>
  <c r="P559" i="10"/>
  <c r="P544" i="10"/>
  <c r="P543" i="10"/>
  <c r="P538" i="10"/>
  <c r="P527" i="10"/>
  <c r="P503" i="10"/>
  <c r="P506" i="10"/>
  <c r="P500" i="10"/>
  <c r="P491" i="10"/>
  <c r="P473" i="10"/>
  <c r="P484" i="10"/>
  <c r="P489" i="10"/>
  <c r="P442" i="10"/>
  <c r="P445" i="10"/>
  <c r="P444" i="10"/>
  <c r="P421" i="10"/>
  <c r="P389" i="10"/>
  <c r="P468" i="10"/>
  <c r="P433" i="10"/>
  <c r="P403" i="10"/>
  <c r="P418" i="10"/>
  <c r="P428" i="10"/>
  <c r="P396" i="10"/>
  <c r="P362" i="10"/>
  <c r="P330" i="10"/>
  <c r="P298" i="10"/>
  <c r="P266" i="10"/>
  <c r="P349" i="10"/>
  <c r="P317" i="10"/>
  <c r="P364" i="10"/>
  <c r="P332" i="10"/>
  <c r="P386" i="10"/>
  <c r="P339" i="10"/>
  <c r="P305" i="10"/>
  <c r="P273" i="10"/>
  <c r="P242" i="10"/>
  <c r="P210" i="10"/>
  <c r="P178" i="10"/>
  <c r="P288" i="10"/>
  <c r="P256" i="10"/>
  <c r="P224" i="10"/>
  <c r="P456" i="10"/>
  <c r="P231" i="10"/>
  <c r="AC231" i="10" s="1"/>
  <c r="P211" i="10"/>
  <c r="P172" i="10"/>
  <c r="P152" i="10"/>
  <c r="P132" i="10"/>
  <c r="P108" i="10"/>
  <c r="P88" i="10"/>
  <c r="P70" i="10"/>
  <c r="P195" i="10"/>
  <c r="P175" i="10"/>
  <c r="P155" i="10"/>
  <c r="P131" i="10"/>
  <c r="P111" i="10"/>
  <c r="P241" i="10"/>
  <c r="P217" i="10"/>
  <c r="P154" i="10"/>
  <c r="P134" i="10"/>
  <c r="P110" i="10"/>
  <c r="P90" i="10"/>
  <c r="P71" i="10"/>
  <c r="P83" i="10"/>
  <c r="P63" i="10"/>
  <c r="P41" i="10"/>
  <c r="P38" i="10"/>
  <c r="P189" i="10"/>
  <c r="P46" i="10"/>
  <c r="P259" i="10"/>
  <c r="P153" i="10"/>
  <c r="P133" i="10"/>
  <c r="P109" i="10"/>
  <c r="P52" i="10"/>
  <c r="P22" i="10"/>
  <c r="P287" i="10"/>
  <c r="P177" i="10"/>
  <c r="P89" i="10"/>
  <c r="P64" i="10"/>
  <c r="P30" i="10"/>
  <c r="P11" i="10"/>
  <c r="P551" i="10"/>
  <c r="P553" i="10"/>
  <c r="P536" i="10"/>
  <c r="P528" i="10"/>
  <c r="P530" i="10"/>
  <c r="P495" i="10"/>
  <c r="P529" i="10"/>
  <c r="P512" i="10"/>
  <c r="P497" i="10"/>
  <c r="P465" i="10"/>
  <c r="P476" i="10"/>
  <c r="P467" i="10"/>
  <c r="P466" i="10"/>
  <c r="P486" i="10"/>
  <c r="P436" i="10"/>
  <c r="P413" i="10"/>
  <c r="P381" i="10"/>
  <c r="P460" i="10"/>
  <c r="P427" i="10"/>
  <c r="P395" i="10"/>
  <c r="P410" i="10"/>
  <c r="P420" i="10"/>
  <c r="P388" i="10"/>
  <c r="P354" i="10"/>
  <c r="P322" i="10"/>
  <c r="P290" i="10"/>
  <c r="P258" i="10"/>
  <c r="P341" i="10"/>
  <c r="P309" i="10"/>
  <c r="P356" i="10"/>
  <c r="P324" i="10"/>
  <c r="P363" i="10"/>
  <c r="P331" i="10"/>
  <c r="P297" i="10"/>
  <c r="P265" i="10"/>
  <c r="P234" i="10"/>
  <c r="P202" i="10"/>
  <c r="P170" i="10"/>
  <c r="P280" i="10"/>
  <c r="P248" i="10"/>
  <c r="P216" i="10"/>
  <c r="P371" i="10"/>
  <c r="P227" i="10"/>
  <c r="P188" i="10"/>
  <c r="P168" i="10"/>
  <c r="P148" i="10"/>
  <c r="P124" i="10"/>
  <c r="P104" i="10"/>
  <c r="P84" i="10"/>
  <c r="P303" i="10"/>
  <c r="P191" i="10"/>
  <c r="P171" i="10"/>
  <c r="P147" i="10"/>
  <c r="P127" i="10"/>
  <c r="P107" i="10"/>
  <c r="P233" i="10"/>
  <c r="P213" i="10"/>
  <c r="P150" i="10"/>
  <c r="P126" i="10"/>
  <c r="P106" i="10"/>
  <c r="P86" i="10"/>
  <c r="P99" i="10"/>
  <c r="P79" i="10"/>
  <c r="P60" i="10"/>
  <c r="P33" i="10"/>
  <c r="P25" i="10"/>
  <c r="P185" i="10"/>
  <c r="AC185" i="10" s="1"/>
  <c r="P291" i="10"/>
  <c r="P251" i="10"/>
  <c r="P149" i="10"/>
  <c r="P125" i="10"/>
  <c r="P105" i="10"/>
  <c r="P50" i="10"/>
  <c r="P40" i="10"/>
  <c r="P271" i="10"/>
  <c r="P169" i="10"/>
  <c r="P81" i="10"/>
  <c r="P62" i="10"/>
  <c r="P295" i="10"/>
  <c r="AA424" i="10"/>
  <c r="AB424" i="10"/>
  <c r="AB472" i="10"/>
  <c r="AA472" i="10"/>
  <c r="AA310" i="10"/>
  <c r="AB310" i="10"/>
  <c r="AA198" i="10"/>
  <c r="AB198" i="10"/>
  <c r="Q526" i="10"/>
  <c r="S526" i="10" s="1"/>
  <c r="Q85" i="10"/>
  <c r="S85" i="10" s="1"/>
  <c r="Q69" i="10"/>
  <c r="R69" i="10" s="1"/>
  <c r="Q412" i="10"/>
  <c r="S412" i="10" s="1"/>
  <c r="Q317" i="10"/>
  <c r="R317" i="10" s="1"/>
  <c r="Q272" i="10"/>
  <c r="S272" i="10" s="1"/>
  <c r="Q110" i="10"/>
  <c r="R110" i="10" s="1"/>
  <c r="Q509" i="10"/>
  <c r="S509" i="10" s="1"/>
  <c r="Q340" i="10"/>
  <c r="Q77" i="10"/>
  <c r="R77" i="10" s="1"/>
  <c r="Q543" i="10"/>
  <c r="S543" i="10" s="1"/>
  <c r="Q534" i="10"/>
  <c r="Q426" i="10"/>
  <c r="Q301" i="10"/>
  <c r="S301" i="10" s="1"/>
  <c r="Q113" i="10"/>
  <c r="R113" i="10" s="1"/>
  <c r="Q58" i="10"/>
  <c r="Q180" i="10"/>
  <c r="R180" i="10" s="1"/>
  <c r="Q157" i="10"/>
  <c r="S157" i="10" s="1"/>
  <c r="Q259" i="10"/>
  <c r="R259" i="10" s="1"/>
  <c r="Q342" i="10"/>
  <c r="Q335" i="10"/>
  <c r="Q437" i="10"/>
  <c r="S437" i="10" s="1"/>
  <c r="Q478" i="10"/>
  <c r="R478" i="10" s="1"/>
  <c r="Q552" i="10"/>
  <c r="P24" i="10"/>
  <c r="P53" i="10"/>
  <c r="P255" i="10"/>
  <c r="P77" i="10"/>
  <c r="P247" i="10"/>
  <c r="P35" i="10"/>
  <c r="P121" i="10"/>
  <c r="P201" i="10"/>
  <c r="P59" i="10"/>
  <c r="P31" i="10"/>
  <c r="P75" i="10"/>
  <c r="P78" i="10"/>
  <c r="P122" i="10"/>
  <c r="P209" i="10"/>
  <c r="P375" i="10"/>
  <c r="P143" i="10"/>
  <c r="P187" i="10"/>
  <c r="P76" i="10"/>
  <c r="P120" i="10"/>
  <c r="P164" i="10"/>
  <c r="P219" i="10"/>
  <c r="P208" i="10"/>
  <c r="P272" i="10"/>
  <c r="P194" i="10"/>
  <c r="P257" i="10"/>
  <c r="P323" i="10"/>
  <c r="P316" i="10"/>
  <c r="P378" i="10"/>
  <c r="P250" i="10"/>
  <c r="P314" i="10"/>
  <c r="P380" i="10"/>
  <c r="P402" i="10"/>
  <c r="P419" i="10"/>
  <c r="P373" i="10"/>
  <c r="P438" i="10"/>
  <c r="P458" i="10"/>
  <c r="P490" i="10"/>
  <c r="P488" i="10"/>
  <c r="P513" i="10"/>
  <c r="P522" i="10"/>
  <c r="P542" i="10"/>
  <c r="P554" i="10"/>
  <c r="Q222" i="10"/>
  <c r="R222" i="10" s="1"/>
  <c r="Q420" i="10"/>
  <c r="S420" i="10" s="1"/>
  <c r="Q280" i="10"/>
  <c r="S280" i="10" s="1"/>
  <c r="Q522" i="10"/>
  <c r="R522" i="10" s="1"/>
  <c r="Q93" i="10"/>
  <c r="R93" i="10" s="1"/>
  <c r="Q510" i="10"/>
  <c r="R510" i="10" s="1"/>
  <c r="Q304" i="10"/>
  <c r="Q33" i="10"/>
  <c r="R33" i="10" s="1"/>
  <c r="Q251" i="10"/>
  <c r="S251" i="10" s="1"/>
  <c r="Q319" i="10"/>
  <c r="S319" i="10" s="1"/>
  <c r="Q462" i="10"/>
  <c r="S462" i="10" s="1"/>
  <c r="Q556" i="10"/>
  <c r="Q380" i="10"/>
  <c r="R380" i="10" s="1"/>
  <c r="Q182" i="10"/>
  <c r="S182" i="10" s="1"/>
  <c r="Q516" i="10"/>
  <c r="S516" i="10" s="1"/>
  <c r="Q393" i="10"/>
  <c r="R393" i="10" s="1"/>
  <c r="Q197" i="10"/>
  <c r="S197" i="10" s="1"/>
  <c r="Q73" i="10"/>
  <c r="S73" i="10" s="1"/>
  <c r="Q413" i="10"/>
  <c r="S413" i="10" s="1"/>
  <c r="Q475" i="10"/>
  <c r="R475" i="10" s="1"/>
  <c r="Q202" i="10"/>
  <c r="S202" i="10" s="1"/>
  <c r="Q138" i="10"/>
  <c r="R138" i="10" s="1"/>
  <c r="Q364" i="10"/>
  <c r="Q471" i="10"/>
  <c r="R471" i="10" s="1"/>
  <c r="Q361" i="10"/>
  <c r="S361" i="10" s="1"/>
  <c r="Q253" i="10"/>
  <c r="Q118" i="10"/>
  <c r="R118" i="10" s="1"/>
  <c r="Q100" i="10"/>
  <c r="R100" i="10" s="1"/>
  <c r="Q244" i="10"/>
  <c r="R244" i="10" s="1"/>
  <c r="Q111" i="10"/>
  <c r="R111" i="10" s="1"/>
  <c r="Q283" i="10"/>
  <c r="S283" i="10" s="1"/>
  <c r="Q215" i="10"/>
  <c r="R215" i="10" s="1"/>
  <c r="Q382" i="10"/>
  <c r="R382" i="10" s="1"/>
  <c r="Q422" i="10"/>
  <c r="S422" i="10" s="1"/>
  <c r="Q503" i="10"/>
  <c r="P26" i="10"/>
  <c r="P165" i="10"/>
  <c r="P47" i="10"/>
  <c r="P93" i="10"/>
  <c r="P34" i="10"/>
  <c r="P54" i="10"/>
  <c r="AC54" i="10" s="1"/>
  <c r="P137" i="10"/>
  <c r="P275" i="10"/>
  <c r="P279" i="10"/>
  <c r="P43" i="10"/>
  <c r="P91" i="10"/>
  <c r="P94" i="10"/>
  <c r="P138" i="10"/>
  <c r="P225" i="10"/>
  <c r="P115" i="10"/>
  <c r="P159" i="10"/>
  <c r="P203" i="10"/>
  <c r="P92" i="10"/>
  <c r="P136" i="10"/>
  <c r="P180" i="10"/>
  <c r="P235" i="10"/>
  <c r="P232" i="10"/>
  <c r="P296" i="10"/>
  <c r="P218" i="10"/>
  <c r="P281" i="10"/>
  <c r="P347" i="10"/>
  <c r="P340" i="10"/>
  <c r="P325" i="10"/>
  <c r="P274" i="10"/>
  <c r="P338" i="10"/>
  <c r="P404" i="10"/>
  <c r="P426" i="10"/>
  <c r="AC426" i="10" s="1"/>
  <c r="P439" i="10"/>
  <c r="P397" i="10"/>
  <c r="P452" i="10"/>
  <c r="P450" i="10"/>
  <c r="P501" i="10"/>
  <c r="P498" i="10"/>
  <c r="P514" i="10"/>
  <c r="P537" i="10"/>
  <c r="P550" i="10"/>
  <c r="AB555" i="10"/>
  <c r="P8" i="10"/>
  <c r="P7" i="10"/>
  <c r="P555" i="10"/>
  <c r="P560" i="10"/>
  <c r="P540" i="10"/>
  <c r="P552" i="10"/>
  <c r="P539" i="10"/>
  <c r="P549" i="10"/>
  <c r="P534" i="10"/>
  <c r="P516" i="10"/>
  <c r="P531" i="10"/>
  <c r="P518" i="10"/>
  <c r="P499" i="10"/>
  <c r="P517" i="10"/>
  <c r="P533" i="10"/>
  <c r="P509" i="10"/>
  <c r="P496" i="10"/>
  <c r="P502" i="10"/>
  <c r="P487" i="10"/>
  <c r="P485" i="10"/>
  <c r="P469" i="10"/>
  <c r="P504" i="10"/>
  <c r="P480" i="10"/>
  <c r="P483" i="10"/>
  <c r="P471" i="10"/>
  <c r="P455" i="10"/>
  <c r="P470" i="10"/>
  <c r="P454" i="10"/>
  <c r="P441" i="10"/>
  <c r="P474" i="10"/>
  <c r="P440" i="10"/>
  <c r="P435" i="10"/>
  <c r="P417" i="10"/>
  <c r="P401" i="10"/>
  <c r="P385" i="10"/>
  <c r="P369" i="10"/>
  <c r="P464" i="10"/>
  <c r="P443" i="10"/>
  <c r="P431" i="10"/>
  <c r="P415" i="10"/>
  <c r="P399" i="10"/>
  <c r="P430" i="10"/>
  <c r="P414" i="10"/>
  <c r="P398" i="10"/>
  <c r="P424" i="10"/>
  <c r="P408" i="10"/>
  <c r="P392" i="10"/>
  <c r="P376" i="10"/>
  <c r="P358" i="10"/>
  <c r="P342" i="10"/>
  <c r="P326" i="10"/>
  <c r="P310" i="10"/>
  <c r="P294" i="10"/>
  <c r="P278" i="10"/>
  <c r="P262" i="10"/>
  <c r="P246" i="10"/>
  <c r="P345" i="10"/>
  <c r="P329" i="10"/>
  <c r="P313" i="10"/>
  <c r="P374" i="10"/>
  <c r="P360" i="10"/>
  <c r="P344" i="10"/>
  <c r="P328" i="10"/>
  <c r="P312" i="10"/>
  <c r="P367" i="10"/>
  <c r="P351" i="10"/>
  <c r="P335" i="10"/>
  <c r="P319" i="10"/>
  <c r="P301" i="10"/>
  <c r="P285" i="10"/>
  <c r="P269" i="10"/>
  <c r="P253" i="10"/>
  <c r="P238" i="10"/>
  <c r="P222" i="10"/>
  <c r="P206" i="10"/>
  <c r="P190" i="10"/>
  <c r="P174" i="10"/>
  <c r="P300" i="10"/>
  <c r="P284" i="10"/>
  <c r="P268" i="10"/>
  <c r="P252" i="10"/>
  <c r="P236" i="10"/>
  <c r="P220" i="10"/>
  <c r="P204" i="10"/>
  <c r="P379" i="10"/>
  <c r="P239" i="10"/>
  <c r="P223" i="10"/>
  <c r="P192" i="10"/>
  <c r="P176" i="10"/>
  <c r="P160" i="10"/>
  <c r="P144" i="10"/>
  <c r="P128" i="10"/>
  <c r="P112" i="10"/>
  <c r="P96" i="10"/>
  <c r="P80" i="10"/>
  <c r="P68" i="10"/>
  <c r="P199" i="10"/>
  <c r="P183" i="10"/>
  <c r="P167" i="10"/>
  <c r="P151" i="10"/>
  <c r="P135" i="10"/>
  <c r="P119" i="10"/>
  <c r="P103" i="10"/>
  <c r="P237" i="10"/>
  <c r="P221" i="10"/>
  <c r="P162" i="10"/>
  <c r="P146" i="10"/>
  <c r="P130" i="10"/>
  <c r="P114" i="10"/>
  <c r="P98" i="10"/>
  <c r="P82" i="10"/>
  <c r="P69" i="10"/>
  <c r="P87" i="10"/>
  <c r="P67" i="10"/>
  <c r="P58" i="10"/>
  <c r="P39" i="10"/>
  <c r="P21" i="10"/>
  <c r="P61" i="10"/>
  <c r="P299" i="10"/>
  <c r="P267" i="10"/>
  <c r="P161" i="10"/>
  <c r="P145" i="10"/>
  <c r="P129" i="10"/>
  <c r="P113" i="10"/>
  <c r="P57" i="10"/>
  <c r="P45" i="10"/>
  <c r="P42" i="10"/>
  <c r="P32" i="10"/>
  <c r="P205" i="10"/>
  <c r="P44" i="10"/>
  <c r="P85" i="10"/>
  <c r="P66" i="10"/>
  <c r="P49" i="10"/>
  <c r="P263" i="10"/>
  <c r="P173" i="10"/>
  <c r="P36" i="10"/>
  <c r="P20" i="10"/>
  <c r="P10" i="10"/>
  <c r="P12" i="10"/>
  <c r="P558" i="10"/>
  <c r="P548" i="10"/>
  <c r="P547" i="10"/>
  <c r="P546" i="10"/>
  <c r="P532" i="10"/>
  <c r="P541" i="10"/>
  <c r="P524" i="10"/>
  <c r="P535" i="10"/>
  <c r="P526" i="10"/>
  <c r="P507" i="10"/>
  <c r="P523" i="10"/>
  <c r="P510" i="10"/>
  <c r="P525" i="10"/>
  <c r="P515" i="10"/>
  <c r="P508" i="10"/>
  <c r="P494" i="10"/>
  <c r="P492" i="10"/>
  <c r="P477" i="10"/>
  <c r="P461" i="10"/>
  <c r="P493" i="10"/>
  <c r="P472" i="10"/>
  <c r="P475" i="10"/>
  <c r="P463" i="10"/>
  <c r="P446" i="10"/>
  <c r="P462" i="10"/>
  <c r="P449" i="10"/>
  <c r="P482" i="10"/>
  <c r="P448" i="10"/>
  <c r="P432" i="10"/>
  <c r="P425" i="10"/>
  <c r="P409" i="10"/>
  <c r="P393" i="10"/>
  <c r="P377" i="10"/>
  <c r="P361" i="10"/>
  <c r="P451" i="10"/>
  <c r="P437" i="10"/>
  <c r="P423" i="10"/>
  <c r="P407" i="10"/>
  <c r="P391" i="10"/>
  <c r="P422" i="10"/>
  <c r="P406" i="10"/>
  <c r="P390" i="10"/>
  <c r="P416" i="10"/>
  <c r="P400" i="10"/>
  <c r="P384" i="10"/>
  <c r="P366" i="10"/>
  <c r="P350" i="10"/>
  <c r="P334" i="10"/>
  <c r="P318" i="10"/>
  <c r="P302" i="10"/>
  <c r="P286" i="10"/>
  <c r="P270" i="10"/>
  <c r="P254" i="10"/>
  <c r="P353" i="10"/>
  <c r="P337" i="10"/>
  <c r="P321" i="10"/>
  <c r="P382" i="10"/>
  <c r="P368" i="10"/>
  <c r="P352" i="10"/>
  <c r="P336" i="10"/>
  <c r="P320" i="10"/>
  <c r="P434" i="10"/>
  <c r="P359" i="10"/>
  <c r="P343" i="10"/>
  <c r="P327" i="10"/>
  <c r="P311" i="10"/>
  <c r="P293" i="10"/>
  <c r="P277" i="10"/>
  <c r="P261" i="10"/>
  <c r="P245" i="10"/>
  <c r="P230" i="10"/>
  <c r="P214" i="10"/>
  <c r="P198" i="10"/>
  <c r="P182" i="10"/>
  <c r="P166" i="10"/>
  <c r="P292" i="10"/>
  <c r="P276" i="10"/>
  <c r="P260" i="10"/>
  <c r="P244" i="10"/>
  <c r="P228" i="10"/>
  <c r="P212" i="10"/>
  <c r="P196" i="10"/>
  <c r="P383" i="10"/>
  <c r="Q553" i="10"/>
  <c r="Q430" i="10"/>
  <c r="Q159" i="10"/>
  <c r="S159" i="10" s="1"/>
  <c r="Q62" i="10"/>
  <c r="S62" i="10" s="1"/>
  <c r="Q130" i="10"/>
  <c r="Q533" i="10"/>
  <c r="R533" i="10" s="1"/>
  <c r="Q472" i="10"/>
  <c r="S472" i="10" s="1"/>
  <c r="Q448" i="10"/>
  <c r="S448" i="10" s="1"/>
  <c r="Q349" i="10"/>
  <c r="Q312" i="10"/>
  <c r="Q147" i="10"/>
  <c r="S147" i="10" s="1"/>
  <c r="Q234" i="10"/>
  <c r="S234" i="10" s="1"/>
  <c r="Q196" i="10"/>
  <c r="Q37" i="10"/>
  <c r="Q523" i="10"/>
  <c r="S523" i="10" s="1"/>
  <c r="Q493" i="10"/>
  <c r="S493" i="10" s="1"/>
  <c r="Q372" i="10"/>
  <c r="R372" i="10" s="1"/>
  <c r="Q225" i="10"/>
  <c r="Q230" i="10"/>
  <c r="S230" i="10" s="1"/>
  <c r="Q178" i="10"/>
  <c r="Q200" i="10"/>
  <c r="Q443" i="10"/>
  <c r="Q201" i="10"/>
  <c r="S201" i="10" s="1"/>
  <c r="Q480" i="10"/>
  <c r="R480" i="10" s="1"/>
  <c r="Q400" i="10"/>
  <c r="Q401" i="10"/>
  <c r="R401" i="10" s="1"/>
  <c r="Q320" i="10"/>
  <c r="Q269" i="10"/>
  <c r="S269" i="10" s="1"/>
  <c r="Q252" i="10"/>
  <c r="Q35" i="10"/>
  <c r="O11" i="10"/>
  <c r="Q11" i="10" s="1"/>
  <c r="Q53" i="10"/>
  <c r="Q148" i="10"/>
  <c r="Q228" i="10"/>
  <c r="S228" i="10" s="1"/>
  <c r="Q88" i="10"/>
  <c r="Q95" i="10"/>
  <c r="Q191" i="10"/>
  <c r="Q275" i="10"/>
  <c r="R275" i="10" s="1"/>
  <c r="Q310" i="10"/>
  <c r="R310" i="10" s="1"/>
  <c r="Q199" i="10"/>
  <c r="S199" i="10" s="1"/>
  <c r="Q481" i="10"/>
  <c r="R481" i="10" s="1"/>
  <c r="Q367" i="10"/>
  <c r="R367" i="10" s="1"/>
  <c r="Q442" i="10"/>
  <c r="R442" i="10" s="1"/>
  <c r="Q406" i="10"/>
  <c r="Q449" i="10"/>
  <c r="Q500" i="10"/>
  <c r="Q10" i="10"/>
  <c r="R10" i="10" s="1"/>
  <c r="Q7" i="10"/>
  <c r="Q559" i="10"/>
  <c r="Q560" i="10"/>
  <c r="R560" i="10" s="1"/>
  <c r="Q537" i="10"/>
  <c r="S537" i="10" s="1"/>
  <c r="Q536" i="10"/>
  <c r="R536" i="10" s="1"/>
  <c r="Q517" i="10"/>
  <c r="Q507" i="10"/>
  <c r="Q524" i="10"/>
  <c r="S524" i="10" s="1"/>
  <c r="Q528" i="10"/>
  <c r="R528" i="10" s="1"/>
  <c r="Q482" i="10"/>
  <c r="Q466" i="10"/>
  <c r="Q453" i="10"/>
  <c r="S453" i="10" s="1"/>
  <c r="Q495" i="10"/>
  <c r="S495" i="10" s="1"/>
  <c r="Q459" i="10"/>
  <c r="Q492" i="10"/>
  <c r="Q410" i="10"/>
  <c r="S410" i="10" s="1"/>
  <c r="Q394" i="10"/>
  <c r="S394" i="10" s="1"/>
  <c r="Q477" i="10"/>
  <c r="Q436" i="10"/>
  <c r="R436" i="10" s="1"/>
  <c r="Q446" i="10"/>
  <c r="S446" i="10" s="1"/>
  <c r="Q423" i="10"/>
  <c r="Q407" i="10"/>
  <c r="Q391" i="10"/>
  <c r="Q370" i="10"/>
  <c r="S370" i="10" s="1"/>
  <c r="Q355" i="10"/>
  <c r="R355" i="10" s="1"/>
  <c r="Q339" i="10"/>
  <c r="Q323" i="10"/>
  <c r="Q306" i="10"/>
  <c r="R306" i="10" s="1"/>
  <c r="Q375" i="10"/>
  <c r="R375" i="10" s="1"/>
  <c r="Q235" i="10"/>
  <c r="Q219" i="10"/>
  <c r="R219" i="10" s="1"/>
  <c r="Q203" i="10"/>
  <c r="Q362" i="10"/>
  <c r="Q346" i="10"/>
  <c r="Q330" i="10"/>
  <c r="Q314" i="10"/>
  <c r="Q302" i="10"/>
  <c r="Q294" i="10"/>
  <c r="Q286" i="10"/>
  <c r="Q278" i="10"/>
  <c r="Q270" i="10"/>
  <c r="R270" i="10" s="1"/>
  <c r="Q262" i="10"/>
  <c r="S262" i="10" s="1"/>
  <c r="Q254" i="10"/>
  <c r="S254" i="10" s="1"/>
  <c r="Q246" i="10"/>
  <c r="S246" i="10" s="1"/>
  <c r="Q179" i="10"/>
  <c r="S179" i="10" s="1"/>
  <c r="Q131" i="10"/>
  <c r="Q115" i="10"/>
  <c r="Q99" i="10"/>
  <c r="S99" i="10" s="1"/>
  <c r="Q83" i="10"/>
  <c r="S83" i="10" s="1"/>
  <c r="Q161" i="10"/>
  <c r="Q145" i="10"/>
  <c r="S145" i="10" s="1"/>
  <c r="Q20" i="10"/>
  <c r="S20" i="10" s="1"/>
  <c r="Q63" i="10"/>
  <c r="Q24" i="10"/>
  <c r="S24" i="10" s="1"/>
  <c r="Q72" i="10"/>
  <c r="Q232" i="10"/>
  <c r="R232" i="10" s="1"/>
  <c r="Q216" i="10"/>
  <c r="S216" i="10" s="1"/>
  <c r="Q184" i="10"/>
  <c r="Q168" i="10"/>
  <c r="R168" i="10" s="1"/>
  <c r="Q152" i="10"/>
  <c r="S152" i="10" s="1"/>
  <c r="Q136" i="10"/>
  <c r="Q120" i="10"/>
  <c r="Q104" i="10"/>
  <c r="S104" i="10" s="1"/>
  <c r="Q55" i="10"/>
  <c r="B43" i="10"/>
  <c r="Q68" i="10"/>
  <c r="S68" i="10" s="1"/>
  <c r="Q39" i="10"/>
  <c r="Q19" i="10"/>
  <c r="R19" i="10" s="1"/>
  <c r="Q30" i="10"/>
  <c r="Q49" i="10"/>
  <c r="Q102" i="10"/>
  <c r="Q28" i="10"/>
  <c r="Q81" i="10"/>
  <c r="S81" i="10" s="1"/>
  <c r="Q109" i="10"/>
  <c r="Q125" i="10"/>
  <c r="S125" i="10" s="1"/>
  <c r="Q242" i="10"/>
  <c r="Q276" i="10"/>
  <c r="Q155" i="10"/>
  <c r="Q249" i="10"/>
  <c r="Q265" i="10"/>
  <c r="R265" i="10" s="1"/>
  <c r="Q281" i="10"/>
  <c r="S281" i="10" s="1"/>
  <c r="Q297" i="10"/>
  <c r="R297" i="10" s="1"/>
  <c r="Q387" i="10"/>
  <c r="Q237" i="10"/>
  <c r="S237" i="10" s="1"/>
  <c r="Q313" i="10"/>
  <c r="R313" i="10" s="1"/>
  <c r="Q345" i="10"/>
  <c r="Q385" i="10"/>
  <c r="S385" i="10" s="1"/>
  <c r="Q457" i="10"/>
  <c r="R457" i="10" s="1"/>
  <c r="Q392" i="10"/>
  <c r="S392" i="10" s="1"/>
  <c r="Q424" i="10"/>
  <c r="R424" i="10" s="1"/>
  <c r="Q491" i="10"/>
  <c r="Q530" i="10"/>
  <c r="S530" i="10" s="1"/>
  <c r="Q177" i="10"/>
  <c r="R177" i="10" s="1"/>
  <c r="Q332" i="10"/>
  <c r="Q452" i="10"/>
  <c r="Q532" i="10"/>
  <c r="S532" i="10" s="1"/>
  <c r="Q42" i="10"/>
  <c r="R42" i="10" s="1"/>
  <c r="Q106" i="10"/>
  <c r="S106" i="10" s="1"/>
  <c r="Q170" i="10"/>
  <c r="Q71" i="10"/>
  <c r="S71" i="10" s="1"/>
  <c r="Q214" i="10"/>
  <c r="Q169" i="10"/>
  <c r="Q209" i="10"/>
  <c r="Q324" i="10"/>
  <c r="S324" i="10" s="1"/>
  <c r="Q368" i="10"/>
  <c r="S368" i="10" s="1"/>
  <c r="Q421" i="10"/>
  <c r="S421" i="10" s="1"/>
  <c r="Q494" i="10"/>
  <c r="Q476" i="10"/>
  <c r="R476" i="10" s="1"/>
  <c r="Q538" i="10"/>
  <c r="Q198" i="10"/>
  <c r="Q490" i="10"/>
  <c r="S490" i="10" s="1"/>
  <c r="Q86" i="10"/>
  <c r="S86" i="10" s="1"/>
  <c r="Q158" i="10"/>
  <c r="R158" i="10" s="1"/>
  <c r="Q50" i="10"/>
  <c r="R50" i="10" s="1"/>
  <c r="Q218" i="10"/>
  <c r="R218" i="10" s="1"/>
  <c r="Q264" i="10"/>
  <c r="S264" i="10" s="1"/>
  <c r="Q296" i="10"/>
  <c r="Q189" i="10"/>
  <c r="Q229" i="10"/>
  <c r="S229" i="10" s="1"/>
  <c r="Q309" i="10"/>
  <c r="R309" i="10" s="1"/>
  <c r="Q341" i="10"/>
  <c r="S341" i="10" s="1"/>
  <c r="Q376" i="10"/>
  <c r="R376" i="10" s="1"/>
  <c r="Q425" i="10"/>
  <c r="S425" i="10" s="1"/>
  <c r="Q404" i="10"/>
  <c r="R404" i="10" s="1"/>
  <c r="Q456" i="10"/>
  <c r="Q506" i="10"/>
  <c r="Q551" i="10"/>
  <c r="S551" i="10" s="1"/>
  <c r="Q27" i="10"/>
  <c r="S27" i="10" s="1"/>
  <c r="Q114" i="10"/>
  <c r="Q166" i="10"/>
  <c r="Q204" i="10"/>
  <c r="S204" i="10" s="1"/>
  <c r="Q45" i="10"/>
  <c r="R45" i="10" s="1"/>
  <c r="Q143" i="10"/>
  <c r="Q217" i="10"/>
  <c r="Q469" i="10"/>
  <c r="Q460" i="10"/>
  <c r="R460" i="10" s="1"/>
  <c r="Q542" i="10"/>
  <c r="R542" i="10" s="1"/>
  <c r="Q12" i="10"/>
  <c r="Q549" i="10"/>
  <c r="Q541" i="10"/>
  <c r="AC541" i="10" s="1"/>
  <c r="Q540" i="10"/>
  <c r="Q525" i="10"/>
  <c r="R525" i="10" s="1"/>
  <c r="Q512" i="10"/>
  <c r="Q499" i="10"/>
  <c r="Q511" i="10"/>
  <c r="R511" i="10" s="1"/>
  <c r="Q489" i="10"/>
  <c r="Q474" i="10"/>
  <c r="Q458" i="10"/>
  <c r="Q445" i="10"/>
  <c r="R445" i="10" s="1"/>
  <c r="Q467" i="10"/>
  <c r="Q434" i="10"/>
  <c r="R434" i="10" s="1"/>
  <c r="Q418" i="10"/>
  <c r="R418" i="10" s="1"/>
  <c r="Q402" i="10"/>
  <c r="S402" i="10" s="1"/>
  <c r="Q386" i="10"/>
  <c r="Q433" i="10"/>
  <c r="Q473" i="10"/>
  <c r="Q431" i="10"/>
  <c r="R431" i="10" s="1"/>
  <c r="Q415" i="10"/>
  <c r="Q399" i="10"/>
  <c r="Q378" i="10"/>
  <c r="Q363" i="10"/>
  <c r="Q347" i="10"/>
  <c r="Q331" i="10"/>
  <c r="Q315" i="10"/>
  <c r="Q383" i="10"/>
  <c r="S383" i="10" s="1"/>
  <c r="Q243" i="10"/>
  <c r="Q227" i="10"/>
  <c r="S227" i="10" s="1"/>
  <c r="Q211" i="10"/>
  <c r="AC211" i="10" s="1"/>
  <c r="Q195" i="10"/>
  <c r="S195" i="10" s="1"/>
  <c r="Q354" i="10"/>
  <c r="Q338" i="10"/>
  <c r="Q322" i="10"/>
  <c r="R322" i="10" s="1"/>
  <c r="Q307" i="10"/>
  <c r="S307" i="10" s="1"/>
  <c r="Q298" i="10"/>
  <c r="R298" i="10" s="1"/>
  <c r="Q290" i="10"/>
  <c r="Q282" i="10"/>
  <c r="R282" i="10" s="1"/>
  <c r="Q274" i="10"/>
  <c r="Q266" i="10"/>
  <c r="R266" i="10" s="1"/>
  <c r="Q258" i="10"/>
  <c r="Q250" i="10"/>
  <c r="Q187" i="10"/>
  <c r="R187" i="10" s="1"/>
  <c r="Q171" i="10"/>
  <c r="Q123" i="10"/>
  <c r="Q107" i="10"/>
  <c r="R107" i="10" s="1"/>
  <c r="Q91" i="10"/>
  <c r="S91" i="10" s="1"/>
  <c r="Q75" i="10"/>
  <c r="Q153" i="10"/>
  <c r="Q137" i="10"/>
  <c r="Q84" i="10"/>
  <c r="R84" i="10" s="1"/>
  <c r="Q48" i="10"/>
  <c r="Q80" i="10"/>
  <c r="Q240" i="10"/>
  <c r="S240" i="10" s="1"/>
  <c r="Q224" i="10"/>
  <c r="Q192" i="10"/>
  <c r="Q176" i="10"/>
  <c r="S176" i="10" s="1"/>
  <c r="Q160" i="10"/>
  <c r="Q144" i="10"/>
  <c r="R144" i="10" s="1"/>
  <c r="Q128" i="10"/>
  <c r="Q112" i="10"/>
  <c r="S112" i="10" s="1"/>
  <c r="Q61" i="10"/>
  <c r="S61" i="10" s="1"/>
  <c r="Q51" i="10"/>
  <c r="Q29" i="10"/>
  <c r="S29" i="10" s="1"/>
  <c r="Q43" i="10"/>
  <c r="Q31" i="10"/>
  <c r="R31" i="10" s="1"/>
  <c r="Q40" i="10"/>
  <c r="S40" i="10" s="1"/>
  <c r="Q66" i="10"/>
  <c r="Q78" i="10"/>
  <c r="S78" i="10" s="1"/>
  <c r="Q134" i="10"/>
  <c r="S134" i="10" s="1"/>
  <c r="Q52" i="10"/>
  <c r="S52" i="10" s="1"/>
  <c r="Q101" i="10"/>
  <c r="Q117" i="10"/>
  <c r="Q210" i="10"/>
  <c r="S210" i="10" s="1"/>
  <c r="Q260" i="10"/>
  <c r="R260" i="10" s="1"/>
  <c r="Q292" i="10"/>
  <c r="Q181" i="10"/>
  <c r="Q257" i="10"/>
  <c r="AC257" i="10" s="1"/>
  <c r="Q273" i="10"/>
  <c r="R273" i="10" s="1"/>
  <c r="Q289" i="10"/>
  <c r="R289" i="10" s="1"/>
  <c r="Q305" i="10"/>
  <c r="Q205" i="10"/>
  <c r="R205" i="10" s="1"/>
  <c r="Q336" i="10"/>
  <c r="S336" i="10" s="1"/>
  <c r="Q329" i="10"/>
  <c r="Q8" i="10"/>
  <c r="Q545" i="10"/>
  <c r="S545" i="10" s="1"/>
  <c r="Q555" i="10"/>
  <c r="S555" i="10" s="1"/>
  <c r="Q531" i="10"/>
  <c r="R531" i="10" s="1"/>
  <c r="Q521" i="10"/>
  <c r="S521" i="10" s="1"/>
  <c r="Q508" i="10"/>
  <c r="Q504" i="10"/>
  <c r="S504" i="10" s="1"/>
  <c r="Q496" i="10"/>
  <c r="Q486" i="10"/>
  <c r="R486" i="10" s="1"/>
  <c r="Q470" i="10"/>
  <c r="R470" i="10" s="1"/>
  <c r="Q454" i="10"/>
  <c r="S454" i="10" s="1"/>
  <c r="Q441" i="10"/>
  <c r="Q463" i="10"/>
  <c r="Q428" i="10"/>
  <c r="Q414" i="10"/>
  <c r="R414" i="10" s="1"/>
  <c r="Q398" i="10"/>
  <c r="Q485" i="10"/>
  <c r="Q438" i="10"/>
  <c r="R438" i="10" s="1"/>
  <c r="Q450" i="10"/>
  <c r="R450" i="10" s="1"/>
  <c r="Q427" i="10"/>
  <c r="Q411" i="10"/>
  <c r="Q395" i="10"/>
  <c r="AC395" i="10" s="1"/>
  <c r="Q374" i="10"/>
  <c r="R374" i="10" s="1"/>
  <c r="Q359" i="10"/>
  <c r="S359" i="10" s="1"/>
  <c r="Q343" i="10"/>
  <c r="S343" i="10" s="1"/>
  <c r="Q327" i="10"/>
  <c r="S327" i="10" s="1"/>
  <c r="Q311" i="10"/>
  <c r="S311" i="10" s="1"/>
  <c r="Q379" i="10"/>
  <c r="Q239" i="10"/>
  <c r="S239" i="10" s="1"/>
  <c r="Q223" i="10"/>
  <c r="Q207" i="10"/>
  <c r="S207" i="10" s="1"/>
  <c r="Q366" i="10"/>
  <c r="S366" i="10" s="1"/>
  <c r="Q350" i="10"/>
  <c r="R350" i="10" s="1"/>
  <c r="Q334" i="10"/>
  <c r="S334" i="10" s="1"/>
  <c r="Q318" i="10"/>
  <c r="Q303" i="10"/>
  <c r="Q295" i="10"/>
  <c r="Q287" i="10"/>
  <c r="R287" i="10" s="1"/>
  <c r="Q279" i="10"/>
  <c r="Q271" i="10"/>
  <c r="S271" i="10" s="1"/>
  <c r="Q263" i="10"/>
  <c r="Q255" i="10"/>
  <c r="R255" i="10" s="1"/>
  <c r="Q247" i="10"/>
  <c r="R247" i="10" s="1"/>
  <c r="Q183" i="10"/>
  <c r="Q167" i="10"/>
  <c r="S167" i="10" s="1"/>
  <c r="Q119" i="10"/>
  <c r="R119" i="10" s="1"/>
  <c r="Q103" i="10"/>
  <c r="S103" i="10" s="1"/>
  <c r="Q87" i="10"/>
  <c r="Q67" i="10"/>
  <c r="S67" i="10" s="1"/>
  <c r="Q149" i="10"/>
  <c r="S149" i="10" s="1"/>
  <c r="Q44" i="10"/>
  <c r="S44" i="10" s="1"/>
  <c r="Q65" i="10"/>
  <c r="Q26" i="10"/>
  <c r="R26" i="10" s="1"/>
  <c r="Q76" i="10"/>
  <c r="Q236" i="10"/>
  <c r="Q220" i="10"/>
  <c r="Q188" i="10"/>
  <c r="Q172" i="10"/>
  <c r="Q156" i="10"/>
  <c r="R156" i="10" s="1"/>
  <c r="Q140" i="10"/>
  <c r="Q124" i="10"/>
  <c r="Q108" i="10"/>
  <c r="AC108" i="10" s="1"/>
  <c r="Q59" i="10"/>
  <c r="Q46" i="10"/>
  <c r="S46" i="10" s="1"/>
  <c r="Q96" i="10"/>
  <c r="Q41" i="10"/>
  <c r="Q23" i="10"/>
  <c r="R23" i="10" s="1"/>
  <c r="Q21" i="10"/>
  <c r="S21" i="10" s="1"/>
  <c r="Q47" i="10"/>
  <c r="Q94" i="10"/>
  <c r="R94" i="10" s="1"/>
  <c r="Q150" i="10"/>
  <c r="S150" i="10" s="1"/>
  <c r="Q57" i="10"/>
  <c r="Q105" i="10"/>
  <c r="R105" i="10" s="1"/>
  <c r="Q121" i="10"/>
  <c r="Q226" i="10"/>
  <c r="S226" i="10" s="1"/>
  <c r="Q268" i="10"/>
  <c r="Q139" i="10"/>
  <c r="Q245" i="10"/>
  <c r="AC245" i="10" s="1"/>
  <c r="Q261" i="10"/>
  <c r="S261" i="10" s="1"/>
  <c r="Q277" i="10"/>
  <c r="R277" i="10" s="1"/>
  <c r="Q293" i="10"/>
  <c r="S293" i="10" s="1"/>
  <c r="Q381" i="10"/>
  <c r="S381" i="10" s="1"/>
  <c r="Q221" i="10"/>
  <c r="Q352" i="10"/>
  <c r="S352" i="10" s="1"/>
  <c r="Q337" i="10"/>
  <c r="Q435" i="10"/>
  <c r="S435" i="10" s="1"/>
  <c r="Q461" i="10"/>
  <c r="R461" i="10" s="1"/>
  <c r="Q384" i="10"/>
  <c r="Q416" i="10"/>
  <c r="Q464" i="10"/>
  <c r="Q520" i="10"/>
  <c r="Q527" i="10"/>
  <c r="Q316" i="10"/>
  <c r="R316" i="10" s="1"/>
  <c r="Q397" i="10"/>
  <c r="R397" i="10" s="1"/>
  <c r="Q484" i="10"/>
  <c r="S484" i="10" s="1"/>
  <c r="Q32" i="10"/>
  <c r="Q90" i="10"/>
  <c r="Q154" i="10"/>
  <c r="R154" i="10" s="1"/>
  <c r="Q194" i="10"/>
  <c r="Q133" i="10"/>
  <c r="S133" i="10" s="1"/>
  <c r="Q151" i="10"/>
  <c r="S151" i="10" s="1"/>
  <c r="Q373" i="10"/>
  <c r="Q308" i="10"/>
  <c r="S308" i="10" s="1"/>
  <c r="Q360" i="10"/>
  <c r="R360" i="10" s="1"/>
  <c r="Q405" i="10"/>
  <c r="Q468" i="10"/>
  <c r="Q505" i="10"/>
  <c r="R505" i="10" s="1"/>
  <c r="Q515" i="10"/>
  <c r="Q535" i="10"/>
  <c r="S535" i="10" s="1"/>
  <c r="Q447" i="10"/>
  <c r="S447" i="10" s="1"/>
  <c r="Q70" i="10"/>
  <c r="R70" i="10" s="1"/>
  <c r="Q142" i="10"/>
  <c r="Q38" i="10"/>
  <c r="Q89" i="10"/>
  <c r="Q256" i="10"/>
  <c r="R256" i="10" s="1"/>
  <c r="Q288" i="10"/>
  <c r="Q173" i="10"/>
  <c r="Q213" i="10"/>
  <c r="R213" i="10" s="1"/>
  <c r="Q344" i="10"/>
  <c r="S344" i="10" s="1"/>
  <c r="Q333" i="10"/>
  <c r="Q369" i="10"/>
  <c r="R369" i="10" s="1"/>
  <c r="Q409" i="10"/>
  <c r="R409" i="10" s="1"/>
  <c r="Q396" i="10"/>
  <c r="S396" i="10" s="1"/>
  <c r="Q479" i="10"/>
  <c r="Q501" i="10"/>
  <c r="Q519" i="10"/>
  <c r="S519" i="10" s="1"/>
  <c r="Q557" i="10"/>
  <c r="Q98" i="10"/>
  <c r="S98" i="10" s="1"/>
  <c r="Q162" i="10"/>
  <c r="R162" i="10" s="1"/>
  <c r="Q190" i="10"/>
  <c r="S190" i="10" s="1"/>
  <c r="Q22" i="10"/>
  <c r="R22" i="10" s="1"/>
  <c r="Q238" i="10"/>
  <c r="Q206" i="10"/>
  <c r="Q429" i="10"/>
  <c r="R429" i="10" s="1"/>
  <c r="Q451" i="10"/>
  <c r="R451" i="10" s="1"/>
  <c r="Q550" i="10"/>
  <c r="Q547" i="10"/>
  <c r="R547" i="10" s="1"/>
  <c r="Q554" i="10"/>
  <c r="R554" i="10" s="1"/>
  <c r="Q439" i="10"/>
  <c r="R439" i="10" s="1"/>
  <c r="Q193" i="10"/>
  <c r="Q208" i="10"/>
  <c r="Q146" i="10"/>
  <c r="Q539" i="10"/>
  <c r="R539" i="10" s="1"/>
  <c r="Q498" i="10"/>
  <c r="Q388" i="10"/>
  <c r="Q357" i="10"/>
  <c r="S357" i="10" s="1"/>
  <c r="Q328" i="10"/>
  <c r="R328" i="10" s="1"/>
  <c r="Q163" i="10"/>
  <c r="Q248" i="10"/>
  <c r="R248" i="10" s="1"/>
  <c r="Q25" i="10"/>
  <c r="R25" i="10" s="1"/>
  <c r="Q64" i="10"/>
  <c r="R64" i="10" s="1"/>
  <c r="Q546" i="10"/>
  <c r="Q487" i="10"/>
  <c r="Q389" i="10"/>
  <c r="S389" i="10" s="1"/>
  <c r="Q241" i="10"/>
  <c r="Q135" i="10"/>
  <c r="Q186" i="10"/>
  <c r="Q74" i="10"/>
  <c r="R74" i="10" s="1"/>
  <c r="Q483" i="10"/>
  <c r="R483" i="10" s="1"/>
  <c r="Q233" i="10"/>
  <c r="Q497" i="10"/>
  <c r="Q408" i="10"/>
  <c r="S408" i="10" s="1"/>
  <c r="Q417" i="10"/>
  <c r="S417" i="10" s="1"/>
  <c r="Q321" i="10"/>
  <c r="Q285" i="10"/>
  <c r="R285" i="10" s="1"/>
  <c r="Q284" i="10"/>
  <c r="R284" i="10" s="1"/>
  <c r="Q97" i="10"/>
  <c r="S97" i="10" s="1"/>
  <c r="Q34" i="10"/>
  <c r="Q36" i="10"/>
  <c r="S36" i="10" s="1"/>
  <c r="Q132" i="10"/>
  <c r="Q212" i="10"/>
  <c r="S212" i="10" s="1"/>
  <c r="Q60" i="10"/>
  <c r="Q79" i="10"/>
  <c r="Q175" i="10"/>
  <c r="S175" i="10" s="1"/>
  <c r="Q267" i="10"/>
  <c r="S267" i="10" s="1"/>
  <c r="Q299" i="10"/>
  <c r="R299" i="10" s="1"/>
  <c r="Q358" i="10"/>
  <c r="Q371" i="10"/>
  <c r="Q351" i="10"/>
  <c r="Q419" i="10"/>
  <c r="Q390" i="10"/>
  <c r="Q488" i="10"/>
  <c r="Q518" i="10"/>
  <c r="Q529" i="10"/>
  <c r="R7" i="5"/>
  <c r="AC7" i="5"/>
  <c r="AD7" i="5" s="1"/>
  <c r="AT10" i="10"/>
  <c r="AU10" i="10"/>
  <c r="Q274" i="5"/>
  <c r="R274" i="5" s="1"/>
  <c r="Q481" i="5"/>
  <c r="S481" i="5" s="1"/>
  <c r="Q205" i="5"/>
  <c r="R205" i="5" s="1"/>
  <c r="Q288" i="5"/>
  <c r="R288" i="5" s="1"/>
  <c r="Q52" i="5"/>
  <c r="R52" i="5" s="1"/>
  <c r="Q397" i="5"/>
  <c r="R397" i="5" s="1"/>
  <c r="Q422" i="5"/>
  <c r="R422" i="5" s="1"/>
  <c r="Q115" i="5"/>
  <c r="S115" i="5" s="1"/>
  <c r="Q470" i="5"/>
  <c r="S470" i="5" s="1"/>
  <c r="X7" i="10"/>
  <c r="Y7" i="10"/>
  <c r="T9" i="10"/>
  <c r="AJ9" i="10"/>
  <c r="Z9" i="10"/>
  <c r="AM9" i="10"/>
  <c r="Q9" i="10"/>
  <c r="W9" i="10"/>
  <c r="AP9" i="10"/>
  <c r="AG9" i="10"/>
  <c r="X8" i="10"/>
  <c r="Y8" i="10"/>
  <c r="X10" i="10"/>
  <c r="Y10" i="10"/>
  <c r="Q117" i="5"/>
  <c r="S117" i="5" s="1"/>
  <c r="Q440" i="5"/>
  <c r="R440" i="5" s="1"/>
  <c r="Q540" i="5"/>
  <c r="S540" i="5" s="1"/>
  <c r="X12" i="10"/>
  <c r="Y12" i="10"/>
  <c r="Y13" i="10"/>
  <c r="X13" i="10"/>
  <c r="Q22" i="5"/>
  <c r="S22" i="5" s="1"/>
  <c r="Q138" i="5"/>
  <c r="S138" i="5" s="1"/>
  <c r="Q229" i="5"/>
  <c r="R229" i="5" s="1"/>
  <c r="Q408" i="5"/>
  <c r="R408" i="5" s="1"/>
  <c r="Q437" i="5"/>
  <c r="R437" i="5" s="1"/>
  <c r="Q89" i="5"/>
  <c r="S89" i="5" s="1"/>
  <c r="Q204" i="5"/>
  <c r="R204" i="5" s="1"/>
  <c r="Q73" i="5"/>
  <c r="S73" i="5" s="1"/>
  <c r="Q216" i="5"/>
  <c r="R216" i="5" s="1"/>
  <c r="Q346" i="5"/>
  <c r="S346" i="5" s="1"/>
  <c r="Q504" i="5"/>
  <c r="R504" i="5" s="1"/>
  <c r="Q525" i="5"/>
  <c r="R525" i="5" s="1"/>
  <c r="Q306" i="5"/>
  <c r="S306" i="5" s="1"/>
  <c r="X473" i="10"/>
  <c r="Y473" i="10"/>
  <c r="X415" i="10"/>
  <c r="Y415" i="10"/>
  <c r="Y313" i="10"/>
  <c r="X313" i="10"/>
  <c r="X152" i="10"/>
  <c r="Y152" i="10"/>
  <c r="X284" i="10"/>
  <c r="Y284" i="10"/>
  <c r="Y79" i="10"/>
  <c r="X79" i="10"/>
  <c r="X186" i="10"/>
  <c r="Y186" i="10"/>
  <c r="Y546" i="10"/>
  <c r="X546" i="10"/>
  <c r="Y513" i="10"/>
  <c r="X513" i="10"/>
  <c r="Y443" i="10"/>
  <c r="X443" i="10"/>
  <c r="X427" i="10"/>
  <c r="Y427" i="10"/>
  <c r="X322" i="10"/>
  <c r="Y322" i="10"/>
  <c r="Y340" i="10"/>
  <c r="X340" i="10"/>
  <c r="Y227" i="10"/>
  <c r="X227" i="10"/>
  <c r="X377" i="10"/>
  <c r="Y377" i="10"/>
  <c r="Y141" i="10"/>
  <c r="X141" i="10"/>
  <c r="Y105" i="10"/>
  <c r="X105" i="10"/>
  <c r="Y139" i="10"/>
  <c r="X139" i="10"/>
  <c r="Y119" i="10"/>
  <c r="X119" i="10"/>
  <c r="Y196" i="10"/>
  <c r="X196" i="10"/>
  <c r="X44" i="10"/>
  <c r="Y44" i="10"/>
  <c r="Y66" i="10"/>
  <c r="X66" i="10"/>
  <c r="Y537" i="10"/>
  <c r="X537" i="10"/>
  <c r="Y501" i="10"/>
  <c r="X501" i="10"/>
  <c r="Y390" i="10"/>
  <c r="X390" i="10"/>
  <c r="X291" i="10"/>
  <c r="Y291" i="10"/>
  <c r="Y312" i="10"/>
  <c r="X312" i="10"/>
  <c r="Y153" i="10"/>
  <c r="X153" i="10"/>
  <c r="Y550" i="10"/>
  <c r="X550" i="10"/>
  <c r="Y523" i="10"/>
  <c r="X523" i="10"/>
  <c r="Y497" i="10"/>
  <c r="X497" i="10"/>
  <c r="Y439" i="10"/>
  <c r="X439" i="10"/>
  <c r="Y453" i="10"/>
  <c r="X453" i="10"/>
  <c r="X437" i="10"/>
  <c r="Y437" i="10"/>
  <c r="Y402" i="10"/>
  <c r="X402" i="10"/>
  <c r="X436" i="10"/>
  <c r="Y436" i="10"/>
  <c r="Y400" i="10"/>
  <c r="X400" i="10"/>
  <c r="X407" i="10"/>
  <c r="Y407" i="10"/>
  <c r="Y351" i="10"/>
  <c r="X351" i="10"/>
  <c r="Y319" i="10"/>
  <c r="X319" i="10"/>
  <c r="X267" i="10"/>
  <c r="Y267" i="10"/>
  <c r="X365" i="10"/>
  <c r="Y365" i="10"/>
  <c r="Y333" i="10"/>
  <c r="X333" i="10"/>
  <c r="Y364" i="10"/>
  <c r="X364" i="10"/>
  <c r="Y239" i="10"/>
  <c r="X239" i="10"/>
  <c r="Y175" i="10"/>
  <c r="X175" i="10"/>
  <c r="Y293" i="10"/>
  <c r="X293" i="10"/>
  <c r="Y277" i="10"/>
  <c r="X277" i="10"/>
  <c r="Y261" i="10"/>
  <c r="X261" i="10"/>
  <c r="Y245" i="10"/>
  <c r="X245" i="10"/>
  <c r="Y77" i="10"/>
  <c r="X77" i="10"/>
  <c r="X132" i="10"/>
  <c r="Y132" i="10"/>
  <c r="X100" i="10"/>
  <c r="Y100" i="10"/>
  <c r="X272" i="10"/>
  <c r="Y272" i="10"/>
  <c r="Y159" i="10"/>
  <c r="X159" i="10"/>
  <c r="X84" i="10"/>
  <c r="Y84" i="10"/>
  <c r="Y24" i="10"/>
  <c r="X24" i="10"/>
  <c r="X190" i="10"/>
  <c r="Y190" i="10"/>
  <c r="Y64" i="10"/>
  <c r="X64" i="10"/>
  <c r="Y57" i="10"/>
  <c r="X57" i="10"/>
  <c r="Y42" i="10"/>
  <c r="X42" i="10"/>
  <c r="Y462" i="10"/>
  <c r="X462" i="10"/>
  <c r="Y382" i="10"/>
  <c r="X382" i="10"/>
  <c r="Y331" i="10"/>
  <c r="X331" i="10"/>
  <c r="Y345" i="10"/>
  <c r="X345" i="10"/>
  <c r="Y549" i="10"/>
  <c r="X549" i="10"/>
  <c r="Y553" i="10"/>
  <c r="X553" i="10"/>
  <c r="Y521" i="10"/>
  <c r="X521" i="10"/>
  <c r="X516" i="10"/>
  <c r="Y516" i="10"/>
  <c r="Y493" i="10"/>
  <c r="X493" i="10"/>
  <c r="Y451" i="10"/>
  <c r="X451" i="10"/>
  <c r="Y370" i="10"/>
  <c r="X370" i="10"/>
  <c r="X279" i="10"/>
  <c r="Y279" i="10"/>
  <c r="Y376" i="10"/>
  <c r="X376" i="10"/>
  <c r="X334" i="10"/>
  <c r="Y334" i="10"/>
  <c r="Y348" i="10"/>
  <c r="X348" i="10"/>
  <c r="Y219" i="10"/>
  <c r="X219" i="10"/>
  <c r="X373" i="10"/>
  <c r="Y373" i="10"/>
  <c r="Y133" i="10"/>
  <c r="X133" i="10"/>
  <c r="Y101" i="10"/>
  <c r="X101" i="10"/>
  <c r="Y147" i="10"/>
  <c r="X147" i="10"/>
  <c r="Y204" i="10"/>
  <c r="X204" i="10"/>
  <c r="X58" i="10"/>
  <c r="Y58" i="10"/>
  <c r="Y47" i="10"/>
  <c r="X47" i="10"/>
  <c r="Y200" i="10"/>
  <c r="X200" i="10"/>
  <c r="Y40" i="10"/>
  <c r="X40" i="10"/>
  <c r="Y134" i="10"/>
  <c r="X134" i="10"/>
  <c r="Y61" i="10"/>
  <c r="X61" i="10"/>
  <c r="X214" i="10"/>
  <c r="Y214" i="10"/>
  <c r="X230" i="10"/>
  <c r="Y230" i="10"/>
  <c r="Y106" i="10"/>
  <c r="X106" i="10"/>
  <c r="Y138" i="10"/>
  <c r="X138" i="10"/>
  <c r="Y168" i="10"/>
  <c r="X168" i="10"/>
  <c r="Y184" i="10"/>
  <c r="X184" i="10"/>
  <c r="Y154" i="10"/>
  <c r="X154" i="10"/>
  <c r="Y169" i="10"/>
  <c r="X169" i="10"/>
  <c r="Y185" i="10"/>
  <c r="X185" i="10"/>
  <c r="X216" i="10"/>
  <c r="Y216" i="10"/>
  <c r="X232" i="10"/>
  <c r="Y232" i="10"/>
  <c r="Y209" i="10"/>
  <c r="X209" i="10"/>
  <c r="Y225" i="10"/>
  <c r="X225" i="10"/>
  <c r="Y241" i="10"/>
  <c r="X241" i="10"/>
  <c r="X258" i="10"/>
  <c r="Y258" i="10"/>
  <c r="X274" i="10"/>
  <c r="Y274" i="10"/>
  <c r="X290" i="10"/>
  <c r="Y290" i="10"/>
  <c r="X306" i="10"/>
  <c r="Y306" i="10"/>
  <c r="X389" i="10"/>
  <c r="Y389" i="10"/>
  <c r="X405" i="10"/>
  <c r="Y405" i="10"/>
  <c r="X421" i="10"/>
  <c r="Y421" i="10"/>
  <c r="X375" i="10"/>
  <c r="Y375" i="10"/>
  <c r="Y455" i="10"/>
  <c r="X455" i="10"/>
  <c r="Y494" i="10"/>
  <c r="X494" i="10"/>
  <c r="Y448" i="10"/>
  <c r="X448" i="10"/>
  <c r="Y489" i="10"/>
  <c r="X489" i="10"/>
  <c r="Y538" i="10"/>
  <c r="X538" i="10"/>
  <c r="Y515" i="10"/>
  <c r="X515" i="10"/>
  <c r="X540" i="10"/>
  <c r="Y540" i="10"/>
  <c r="Q9" i="5"/>
  <c r="Q65" i="5"/>
  <c r="S65" i="5" s="1"/>
  <c r="Q160" i="5"/>
  <c r="R160" i="5" s="1"/>
  <c r="Q188" i="5"/>
  <c r="S188" i="5" s="1"/>
  <c r="Q266" i="5"/>
  <c r="R266" i="5" s="1"/>
  <c r="Q287" i="5"/>
  <c r="R287" i="5" s="1"/>
  <c r="Q363" i="5"/>
  <c r="S363" i="5" s="1"/>
  <c r="Q483" i="5"/>
  <c r="S483" i="5" s="1"/>
  <c r="Q492" i="5"/>
  <c r="R492" i="5" s="1"/>
  <c r="Q515" i="5"/>
  <c r="R515" i="5" s="1"/>
  <c r="Q95" i="5"/>
  <c r="R95" i="5" s="1"/>
  <c r="Q329" i="5"/>
  <c r="R329" i="5" s="1"/>
  <c r="Q33" i="5"/>
  <c r="S33" i="5" s="1"/>
  <c r="X560" i="10"/>
  <c r="Y560" i="10"/>
  <c r="Y509" i="10"/>
  <c r="X509" i="10"/>
  <c r="Y447" i="10"/>
  <c r="X447" i="10"/>
  <c r="Y366" i="10"/>
  <c r="X366" i="10"/>
  <c r="Y355" i="10"/>
  <c r="X355" i="10"/>
  <c r="Y372" i="10"/>
  <c r="X372" i="10"/>
  <c r="Y328" i="10"/>
  <c r="X328" i="10"/>
  <c r="Y137" i="10"/>
  <c r="X137" i="10"/>
  <c r="X144" i="10"/>
  <c r="Y144" i="10"/>
  <c r="X112" i="10"/>
  <c r="Y112" i="10"/>
  <c r="X276" i="10"/>
  <c r="Y276" i="10"/>
  <c r="Y151" i="10"/>
  <c r="X151" i="10"/>
  <c r="Y63" i="10"/>
  <c r="X63" i="10"/>
  <c r="X55" i="10"/>
  <c r="Y55" i="10"/>
  <c r="Y38" i="10"/>
  <c r="X38" i="10"/>
  <c r="X178" i="10"/>
  <c r="Y178" i="10"/>
  <c r="X86" i="10"/>
  <c r="Y86" i="10"/>
  <c r="Y545" i="10"/>
  <c r="X545" i="10"/>
  <c r="Y529" i="10"/>
  <c r="X529" i="10"/>
  <c r="X511" i="10"/>
  <c r="Y511" i="10"/>
  <c r="X520" i="10"/>
  <c r="Y520" i="10"/>
  <c r="Y458" i="10"/>
  <c r="X458" i="10"/>
  <c r="Y471" i="10"/>
  <c r="X471" i="10"/>
  <c r="Y430" i="10"/>
  <c r="X430" i="10"/>
  <c r="Y424" i="10"/>
  <c r="X424" i="10"/>
  <c r="X411" i="10"/>
  <c r="Y411" i="10"/>
  <c r="X287" i="10"/>
  <c r="Y287" i="10"/>
  <c r="X346" i="10"/>
  <c r="Y346" i="10"/>
  <c r="X314" i="10"/>
  <c r="Y314" i="10"/>
  <c r="Y324" i="10"/>
  <c r="X324" i="10"/>
  <c r="Y211" i="10"/>
  <c r="X211" i="10"/>
  <c r="Y305" i="10"/>
  <c r="X305" i="10"/>
  <c r="Y129" i="10"/>
  <c r="X129" i="10"/>
  <c r="Y97" i="10"/>
  <c r="X97" i="10"/>
  <c r="Y131" i="10"/>
  <c r="X131" i="10"/>
  <c r="Y115" i="10"/>
  <c r="X115" i="10"/>
  <c r="Y99" i="10"/>
  <c r="X99" i="10"/>
  <c r="X88" i="10"/>
  <c r="Y88" i="10"/>
  <c r="Y20" i="10"/>
  <c r="X20" i="10"/>
  <c r="X98" i="10"/>
  <c r="Y98" i="10"/>
  <c r="X536" i="10"/>
  <c r="Y536" i="10"/>
  <c r="X491" i="10"/>
  <c r="Y491" i="10"/>
  <c r="Y396" i="10"/>
  <c r="X396" i="10"/>
  <c r="Y321" i="10"/>
  <c r="X321" i="10"/>
  <c r="Y215" i="10"/>
  <c r="X215" i="10"/>
  <c r="X556" i="10"/>
  <c r="Y556" i="10"/>
  <c r="X531" i="10"/>
  <c r="Y531" i="10"/>
  <c r="Y504" i="10"/>
  <c r="X504" i="10"/>
  <c r="Y505" i="10"/>
  <c r="X505" i="10"/>
  <c r="Y490" i="10"/>
  <c r="X490" i="10"/>
  <c r="Y449" i="10"/>
  <c r="X449" i="10"/>
  <c r="Y426" i="10"/>
  <c r="X426" i="10"/>
  <c r="Y394" i="10"/>
  <c r="X394" i="10"/>
  <c r="X432" i="10"/>
  <c r="Y432" i="10"/>
  <c r="Y392" i="10"/>
  <c r="X392" i="10"/>
  <c r="X391" i="10"/>
  <c r="Y391" i="10"/>
  <c r="Y343" i="10"/>
  <c r="X343" i="10"/>
  <c r="Y311" i="10"/>
  <c r="X311" i="10"/>
  <c r="X251" i="10"/>
  <c r="Y251" i="10"/>
  <c r="Y357" i="10"/>
  <c r="X357" i="10"/>
  <c r="Y325" i="10"/>
  <c r="X325" i="10"/>
  <c r="Y352" i="10"/>
  <c r="X352" i="10"/>
  <c r="Y223" i="10"/>
  <c r="X223" i="10"/>
  <c r="X300" i="10"/>
  <c r="Y300" i="10"/>
  <c r="Y289" i="10"/>
  <c r="X289" i="10"/>
  <c r="Y273" i="10"/>
  <c r="X273" i="10"/>
  <c r="Y257" i="10"/>
  <c r="X257" i="10"/>
  <c r="Y161" i="10"/>
  <c r="X161" i="10"/>
  <c r="X156" i="10"/>
  <c r="Y156" i="10"/>
  <c r="X124" i="10"/>
  <c r="Y124" i="10"/>
  <c r="X296" i="10"/>
  <c r="Y296" i="10"/>
  <c r="X264" i="10"/>
  <c r="Y264" i="10"/>
  <c r="Y143" i="10"/>
  <c r="X143" i="10"/>
  <c r="Y53" i="10"/>
  <c r="X53" i="10"/>
  <c r="X41" i="10"/>
  <c r="Y41" i="10"/>
  <c r="X182" i="10"/>
  <c r="Y182" i="10"/>
  <c r="Y56" i="10"/>
  <c r="X56" i="10"/>
  <c r="Y54" i="10"/>
  <c r="X54" i="10"/>
  <c r="X555" i="10"/>
  <c r="Y555" i="10"/>
  <c r="X485" i="10"/>
  <c r="Y485" i="10"/>
  <c r="Y420" i="10"/>
  <c r="X420" i="10"/>
  <c r="Y307" i="10"/>
  <c r="X307" i="10"/>
  <c r="Y337" i="10"/>
  <c r="X337" i="10"/>
  <c r="X559" i="10"/>
  <c r="Y559" i="10"/>
  <c r="Y542" i="10"/>
  <c r="X542" i="10"/>
  <c r="X532" i="10"/>
  <c r="Y532" i="10"/>
  <c r="Y492" i="10"/>
  <c r="X492" i="10"/>
  <c r="Y484" i="10"/>
  <c r="X484" i="10"/>
  <c r="X450" i="10"/>
  <c r="Y450" i="10"/>
  <c r="X419" i="10"/>
  <c r="Y419" i="10"/>
  <c r="X263" i="10"/>
  <c r="Y263" i="10"/>
  <c r="X358" i="10"/>
  <c r="Y358" i="10"/>
  <c r="X326" i="10"/>
  <c r="Y326" i="10"/>
  <c r="Y332" i="10"/>
  <c r="X332" i="10"/>
  <c r="Y203" i="10"/>
  <c r="X203" i="10"/>
  <c r="X206" i="10"/>
  <c r="Y206" i="10"/>
  <c r="Y125" i="10"/>
  <c r="X125" i="10"/>
  <c r="Y89" i="10"/>
  <c r="X89" i="10"/>
  <c r="Y91" i="10"/>
  <c r="X91" i="10"/>
  <c r="X96" i="10"/>
  <c r="Y96" i="10"/>
  <c r="X33" i="10"/>
  <c r="Y33" i="10"/>
  <c r="X43" i="10"/>
  <c r="Y43" i="10"/>
  <c r="X90" i="10"/>
  <c r="Y90" i="10"/>
  <c r="Y21" i="10"/>
  <c r="X21" i="10"/>
  <c r="Y27" i="10"/>
  <c r="X27" i="10"/>
  <c r="Y114" i="10"/>
  <c r="X114" i="10"/>
  <c r="Y146" i="10"/>
  <c r="X146" i="10"/>
  <c r="Y197" i="10"/>
  <c r="X197" i="10"/>
  <c r="X218" i="10"/>
  <c r="Y218" i="10"/>
  <c r="X234" i="10"/>
  <c r="Y234" i="10"/>
  <c r="Y110" i="10"/>
  <c r="X110" i="10"/>
  <c r="Y142" i="10"/>
  <c r="X142" i="10"/>
  <c r="Y172" i="10"/>
  <c r="X172" i="10"/>
  <c r="Y188" i="10"/>
  <c r="X188" i="10"/>
  <c r="Y162" i="10"/>
  <c r="X162" i="10"/>
  <c r="Y173" i="10"/>
  <c r="X173" i="10"/>
  <c r="Y189" i="10"/>
  <c r="X189" i="10"/>
  <c r="X220" i="10"/>
  <c r="Y220" i="10"/>
  <c r="X236" i="10"/>
  <c r="Y236" i="10"/>
  <c r="Y213" i="10"/>
  <c r="X213" i="10"/>
  <c r="Y229" i="10"/>
  <c r="X229" i="10"/>
  <c r="X246" i="10"/>
  <c r="Y246" i="10"/>
  <c r="X262" i="10"/>
  <c r="Y262" i="10"/>
  <c r="X278" i="10"/>
  <c r="Y278" i="10"/>
  <c r="X294" i="10"/>
  <c r="Y294" i="10"/>
  <c r="Y363" i="10"/>
  <c r="X363" i="10"/>
  <c r="X393" i="10"/>
  <c r="Y393" i="10"/>
  <c r="X409" i="10"/>
  <c r="Y409" i="10"/>
  <c r="X425" i="10"/>
  <c r="Y425" i="10"/>
  <c r="X379" i="10"/>
  <c r="Y379" i="10"/>
  <c r="Y463" i="10"/>
  <c r="X463" i="10"/>
  <c r="Y434" i="10"/>
  <c r="X434" i="10"/>
  <c r="Y452" i="10"/>
  <c r="X452" i="10"/>
  <c r="Y486" i="10"/>
  <c r="X486" i="10"/>
  <c r="X495" i="10"/>
  <c r="Y495" i="10"/>
  <c r="Y519" i="10"/>
  <c r="X519" i="10"/>
  <c r="X544" i="10"/>
  <c r="Y544" i="10"/>
  <c r="X496" i="10"/>
  <c r="Y496" i="10"/>
  <c r="Y398" i="10"/>
  <c r="X398" i="10"/>
  <c r="X275" i="10"/>
  <c r="Y275" i="10"/>
  <c r="Y167" i="10"/>
  <c r="X167" i="10"/>
  <c r="X120" i="10"/>
  <c r="Y120" i="10"/>
  <c r="X252" i="10"/>
  <c r="Y252" i="10"/>
  <c r="X68" i="10"/>
  <c r="Y68" i="10"/>
  <c r="X39" i="10"/>
  <c r="Y39" i="10"/>
  <c r="Y62" i="10"/>
  <c r="X62" i="10"/>
  <c r="Y45" i="10"/>
  <c r="X45" i="10"/>
  <c r="X534" i="10"/>
  <c r="Y534" i="10"/>
  <c r="Y482" i="10"/>
  <c r="X482" i="10"/>
  <c r="Y502" i="10"/>
  <c r="X502" i="10"/>
  <c r="Y428" i="10"/>
  <c r="X428" i="10"/>
  <c r="X303" i="10"/>
  <c r="Y303" i="10"/>
  <c r="X354" i="10"/>
  <c r="Y354" i="10"/>
  <c r="Y103" i="10"/>
  <c r="X103" i="10"/>
  <c r="S231" i="10"/>
  <c r="R231" i="10"/>
  <c r="Y525" i="10"/>
  <c r="X525" i="10"/>
  <c r="Y478" i="10"/>
  <c r="X478" i="10"/>
  <c r="Y464" i="10"/>
  <c r="X464" i="10"/>
  <c r="Y412" i="10"/>
  <c r="X412" i="10"/>
  <c r="Y339" i="10"/>
  <c r="X339" i="10"/>
  <c r="Y353" i="10"/>
  <c r="X353" i="10"/>
  <c r="Y231" i="10"/>
  <c r="X231" i="10"/>
  <c r="Y85" i="10"/>
  <c r="X85" i="10"/>
  <c r="X136" i="10"/>
  <c r="Y136" i="10"/>
  <c r="X104" i="10"/>
  <c r="Y104" i="10"/>
  <c r="X268" i="10"/>
  <c r="Y268" i="10"/>
  <c r="Y135" i="10"/>
  <c r="X135" i="10"/>
  <c r="X92" i="10"/>
  <c r="Y92" i="10"/>
  <c r="Y51" i="10"/>
  <c r="X51" i="10"/>
  <c r="Y28" i="10"/>
  <c r="X28" i="10"/>
  <c r="X170" i="10"/>
  <c r="Y170" i="10"/>
  <c r="X70" i="10"/>
  <c r="Y70" i="10"/>
  <c r="Y554" i="10"/>
  <c r="X554" i="10"/>
  <c r="Y530" i="10"/>
  <c r="X530" i="10"/>
  <c r="X507" i="10"/>
  <c r="Y507" i="10"/>
  <c r="Y488" i="10"/>
  <c r="X488" i="10"/>
  <c r="Y480" i="10"/>
  <c r="X480" i="10"/>
  <c r="X446" i="10"/>
  <c r="Y446" i="10"/>
  <c r="Y378" i="10"/>
  <c r="X378" i="10"/>
  <c r="X457" i="10"/>
  <c r="Y457" i="10"/>
  <c r="X395" i="10"/>
  <c r="Y395" i="10"/>
  <c r="X271" i="10"/>
  <c r="Y271" i="10"/>
  <c r="X338" i="10"/>
  <c r="Y338" i="10"/>
  <c r="X361" i="10"/>
  <c r="Y361" i="10"/>
  <c r="Y308" i="10"/>
  <c r="X308" i="10"/>
  <c r="Y195" i="10"/>
  <c r="X195" i="10"/>
  <c r="X202" i="10"/>
  <c r="Y202" i="10"/>
  <c r="Y121" i="10"/>
  <c r="X121" i="10"/>
  <c r="Y81" i="10"/>
  <c r="X81" i="10"/>
  <c r="Y127" i="10"/>
  <c r="X127" i="10"/>
  <c r="Y111" i="10"/>
  <c r="X111" i="10"/>
  <c r="Y83" i="10"/>
  <c r="X83" i="10"/>
  <c r="X72" i="10"/>
  <c r="Y72" i="10"/>
  <c r="X19" i="10"/>
  <c r="Y19" i="10"/>
  <c r="X82" i="10"/>
  <c r="Y82" i="10"/>
  <c r="Y517" i="10"/>
  <c r="X517" i="10"/>
  <c r="X477" i="10"/>
  <c r="Y477" i="10"/>
  <c r="Y347" i="10"/>
  <c r="X347" i="10"/>
  <c r="Y360" i="10"/>
  <c r="X360" i="10"/>
  <c r="X304" i="10"/>
  <c r="Y304" i="10"/>
  <c r="Y558" i="10"/>
  <c r="X558" i="10"/>
  <c r="X551" i="10"/>
  <c r="Y551" i="10"/>
  <c r="Y514" i="10"/>
  <c r="X514" i="10"/>
  <c r="Y470" i="10"/>
  <c r="X470" i="10"/>
  <c r="Y468" i="10"/>
  <c r="X468" i="10"/>
  <c r="Y445" i="10"/>
  <c r="X445" i="10"/>
  <c r="Y418" i="10"/>
  <c r="X418" i="10"/>
  <c r="Y386" i="10"/>
  <c r="X386" i="10"/>
  <c r="Y416" i="10"/>
  <c r="X416" i="10"/>
  <c r="Y384" i="10"/>
  <c r="X384" i="10"/>
  <c r="X469" i="10"/>
  <c r="Y469" i="10"/>
  <c r="Y335" i="10"/>
  <c r="X335" i="10"/>
  <c r="X299" i="10"/>
  <c r="Y299" i="10"/>
  <c r="Y435" i="10"/>
  <c r="X435" i="10"/>
  <c r="Y349" i="10"/>
  <c r="X349" i="10"/>
  <c r="Y317" i="10"/>
  <c r="X317" i="10"/>
  <c r="Y336" i="10"/>
  <c r="X336" i="10"/>
  <c r="Y207" i="10"/>
  <c r="X207" i="10"/>
  <c r="Y301" i="10"/>
  <c r="X301" i="10"/>
  <c r="Y285" i="10"/>
  <c r="X285" i="10"/>
  <c r="Y269" i="10"/>
  <c r="X269" i="10"/>
  <c r="Y253" i="10"/>
  <c r="X253" i="10"/>
  <c r="Y145" i="10"/>
  <c r="X145" i="10"/>
  <c r="X148" i="10"/>
  <c r="Y148" i="10"/>
  <c r="X116" i="10"/>
  <c r="Y116" i="10"/>
  <c r="X288" i="10"/>
  <c r="Y288" i="10"/>
  <c r="X256" i="10"/>
  <c r="Y256" i="10"/>
  <c r="Y87" i="10"/>
  <c r="X87" i="10"/>
  <c r="Y36" i="10"/>
  <c r="X36" i="10"/>
  <c r="Y35" i="10"/>
  <c r="X35" i="10"/>
  <c r="X174" i="10"/>
  <c r="Y174" i="10"/>
  <c r="X94" i="10"/>
  <c r="Y94" i="10"/>
  <c r="Y50" i="10"/>
  <c r="X50" i="10"/>
  <c r="Y526" i="10"/>
  <c r="X526" i="10"/>
  <c r="Y456" i="10"/>
  <c r="X456" i="10"/>
  <c r="Y388" i="10"/>
  <c r="X388" i="10"/>
  <c r="X259" i="10"/>
  <c r="Y259" i="10"/>
  <c r="Y368" i="10"/>
  <c r="X368" i="10"/>
  <c r="Y557" i="10"/>
  <c r="X557" i="10"/>
  <c r="Y533" i="10"/>
  <c r="X533" i="10"/>
  <c r="Y527" i="10"/>
  <c r="X527" i="10"/>
  <c r="Y474" i="10"/>
  <c r="X474" i="10"/>
  <c r="Y476" i="10"/>
  <c r="X476" i="10"/>
  <c r="X442" i="10"/>
  <c r="Y442" i="10"/>
  <c r="X403" i="10"/>
  <c r="Y403" i="10"/>
  <c r="X247" i="10"/>
  <c r="Y247" i="10"/>
  <c r="X350" i="10"/>
  <c r="Y350" i="10"/>
  <c r="X318" i="10"/>
  <c r="Y318" i="10"/>
  <c r="Y316" i="10"/>
  <c r="X316" i="10"/>
  <c r="Y187" i="10"/>
  <c r="X187" i="10"/>
  <c r="X198" i="10"/>
  <c r="Y198" i="10"/>
  <c r="Y117" i="10"/>
  <c r="X117" i="10"/>
  <c r="Y73" i="10"/>
  <c r="X73" i="10"/>
  <c r="Y75" i="10"/>
  <c r="X75" i="10"/>
  <c r="X80" i="10"/>
  <c r="Y80" i="10"/>
  <c r="Y22" i="10"/>
  <c r="X22" i="10"/>
  <c r="X31" i="10"/>
  <c r="Y31" i="10"/>
  <c r="X74" i="10"/>
  <c r="Y74" i="10"/>
  <c r="X30" i="10"/>
  <c r="Y30" i="10"/>
  <c r="Y34" i="10"/>
  <c r="X34" i="10"/>
  <c r="Y122" i="10"/>
  <c r="X122" i="10"/>
  <c r="Y150" i="10"/>
  <c r="X150" i="10"/>
  <c r="Y205" i="10"/>
  <c r="X205" i="10"/>
  <c r="X222" i="10"/>
  <c r="Y222" i="10"/>
  <c r="X238" i="10"/>
  <c r="Y238" i="10"/>
  <c r="Y118" i="10"/>
  <c r="X118" i="10"/>
  <c r="Y176" i="10"/>
  <c r="X176" i="10"/>
  <c r="Y192" i="10"/>
  <c r="X192" i="10"/>
  <c r="Y201" i="10"/>
  <c r="X201" i="10"/>
  <c r="Y177" i="10"/>
  <c r="X177" i="10"/>
  <c r="Y193" i="10"/>
  <c r="X193" i="10"/>
  <c r="X224" i="10"/>
  <c r="Y224" i="10"/>
  <c r="X240" i="10"/>
  <c r="Y240" i="10"/>
  <c r="Y217" i="10"/>
  <c r="X217" i="10"/>
  <c r="Y233" i="10"/>
  <c r="X233" i="10"/>
  <c r="X250" i="10"/>
  <c r="Y250" i="10"/>
  <c r="X266" i="10"/>
  <c r="Y266" i="10"/>
  <c r="X282" i="10"/>
  <c r="Y282" i="10"/>
  <c r="X298" i="10"/>
  <c r="Y298" i="10"/>
  <c r="Y367" i="10"/>
  <c r="X367" i="10"/>
  <c r="X397" i="10"/>
  <c r="Y397" i="10"/>
  <c r="X413" i="10"/>
  <c r="Y413" i="10"/>
  <c r="X429" i="10"/>
  <c r="Y429" i="10"/>
  <c r="X383" i="10"/>
  <c r="Y383" i="10"/>
  <c r="Y459" i="10"/>
  <c r="X459" i="10"/>
  <c r="Y440" i="10"/>
  <c r="X440" i="10"/>
  <c r="Y475" i="10"/>
  <c r="X475" i="10"/>
  <c r="Y498" i="10"/>
  <c r="X498" i="10"/>
  <c r="X499" i="10"/>
  <c r="Y499" i="10"/>
  <c r="Y543" i="10"/>
  <c r="X543" i="10"/>
  <c r="Q30" i="5"/>
  <c r="R30" i="5" s="1"/>
  <c r="Q90" i="5"/>
  <c r="S90" i="5" s="1"/>
  <c r="Q147" i="5"/>
  <c r="R147" i="5" s="1"/>
  <c r="Q194" i="5"/>
  <c r="S194" i="5" s="1"/>
  <c r="Q281" i="5"/>
  <c r="S281" i="5" s="1"/>
  <c r="Q411" i="5"/>
  <c r="R411" i="5" s="1"/>
  <c r="Q374" i="5"/>
  <c r="S374" i="5" s="1"/>
  <c r="Q519" i="5"/>
  <c r="R519" i="5" s="1"/>
  <c r="Q530" i="5"/>
  <c r="S530" i="5" s="1"/>
  <c r="Q403" i="5"/>
  <c r="S403" i="5" s="1"/>
  <c r="Q193" i="5"/>
  <c r="R193" i="5" s="1"/>
  <c r="Q252" i="5"/>
  <c r="S252" i="5" s="1"/>
  <c r="Q446" i="5"/>
  <c r="S446" i="5" s="1"/>
  <c r="X528" i="10"/>
  <c r="Y528" i="10"/>
  <c r="X481" i="10"/>
  <c r="Y481" i="10"/>
  <c r="Y414" i="10"/>
  <c r="X414" i="10"/>
  <c r="Y404" i="10"/>
  <c r="X404" i="10"/>
  <c r="Y315" i="10"/>
  <c r="X315" i="10"/>
  <c r="Y329" i="10"/>
  <c r="X329" i="10"/>
  <c r="Y183" i="10"/>
  <c r="X183" i="10"/>
  <c r="X160" i="10"/>
  <c r="Y160" i="10"/>
  <c r="X128" i="10"/>
  <c r="Y128" i="10"/>
  <c r="X292" i="10"/>
  <c r="Y292" i="10"/>
  <c r="X260" i="10"/>
  <c r="Y260" i="10"/>
  <c r="Y95" i="10"/>
  <c r="X95" i="10"/>
  <c r="X76" i="10"/>
  <c r="Y76" i="10"/>
  <c r="Y26" i="10"/>
  <c r="X26" i="10"/>
  <c r="X194" i="10"/>
  <c r="Y194" i="10"/>
  <c r="X71" i="10"/>
  <c r="Y71" i="10"/>
  <c r="Y52" i="10"/>
  <c r="X52" i="10"/>
  <c r="Y547" i="10"/>
  <c r="X547" i="10"/>
  <c r="Y512" i="10"/>
  <c r="X512" i="10"/>
  <c r="X522" i="10"/>
  <c r="Y522" i="10"/>
  <c r="X487" i="10"/>
  <c r="Y487" i="10"/>
  <c r="Y472" i="10"/>
  <c r="X472" i="10"/>
  <c r="X438" i="10"/>
  <c r="Y438" i="10"/>
  <c r="Y362" i="10"/>
  <c r="X362" i="10"/>
  <c r="Y431" i="10"/>
  <c r="X431" i="10"/>
  <c r="X461" i="10"/>
  <c r="Y461" i="10"/>
  <c r="X255" i="10"/>
  <c r="Y255" i="10"/>
  <c r="X330" i="10"/>
  <c r="Y330" i="10"/>
  <c r="Y356" i="10"/>
  <c r="X356" i="10"/>
  <c r="Y243" i="10"/>
  <c r="X243" i="10"/>
  <c r="Y179" i="10"/>
  <c r="X179" i="10"/>
  <c r="Y157" i="10"/>
  <c r="X157" i="10"/>
  <c r="Y113" i="10"/>
  <c r="X113" i="10"/>
  <c r="Y155" i="10"/>
  <c r="X155" i="10"/>
  <c r="Y123" i="10"/>
  <c r="X123" i="10"/>
  <c r="Y107" i="10"/>
  <c r="X107" i="10"/>
  <c r="Y60" i="10"/>
  <c r="X60" i="10"/>
  <c r="X59" i="10"/>
  <c r="Y59" i="10"/>
  <c r="X48" i="10"/>
  <c r="Y48" i="10"/>
  <c r="Y552" i="10"/>
  <c r="X552" i="10"/>
  <c r="Y510" i="10"/>
  <c r="X510" i="10"/>
  <c r="Y422" i="10"/>
  <c r="X422" i="10"/>
  <c r="Y323" i="10"/>
  <c r="X323" i="10"/>
  <c r="Y344" i="10"/>
  <c r="X344" i="10"/>
  <c r="X381" i="10"/>
  <c r="Y381" i="10"/>
  <c r="X541" i="10"/>
  <c r="Y541" i="10"/>
  <c r="X524" i="10"/>
  <c r="Y524" i="10"/>
  <c r="Y506" i="10"/>
  <c r="X506" i="10"/>
  <c r="Y454" i="10"/>
  <c r="X454" i="10"/>
  <c r="Y460" i="10"/>
  <c r="X460" i="10"/>
  <c r="Y441" i="10"/>
  <c r="X441" i="10"/>
  <c r="Y410" i="10"/>
  <c r="X410" i="10"/>
  <c r="Y374" i="10"/>
  <c r="X374" i="10"/>
  <c r="Y408" i="10"/>
  <c r="X408" i="10"/>
  <c r="X423" i="10"/>
  <c r="Y423" i="10"/>
  <c r="Y359" i="10"/>
  <c r="X359" i="10"/>
  <c r="Y327" i="10"/>
  <c r="X327" i="10"/>
  <c r="X283" i="10"/>
  <c r="Y283" i="10"/>
  <c r="Y380" i="10"/>
  <c r="X380" i="10"/>
  <c r="Y341" i="10"/>
  <c r="X341" i="10"/>
  <c r="Y309" i="10"/>
  <c r="X309" i="10"/>
  <c r="Y320" i="10"/>
  <c r="X320" i="10"/>
  <c r="Y191" i="10"/>
  <c r="X191" i="10"/>
  <c r="Y297" i="10"/>
  <c r="X297" i="10"/>
  <c r="Y281" i="10"/>
  <c r="X281" i="10"/>
  <c r="Y265" i="10"/>
  <c r="X265" i="10"/>
  <c r="Y249" i="10"/>
  <c r="X249" i="10"/>
  <c r="Y93" i="10"/>
  <c r="X93" i="10"/>
  <c r="X140" i="10"/>
  <c r="Y140" i="10"/>
  <c r="X108" i="10"/>
  <c r="Y108" i="10"/>
  <c r="X280" i="10"/>
  <c r="Y280" i="10"/>
  <c r="X248" i="10"/>
  <c r="Y248" i="10"/>
  <c r="Y67" i="10"/>
  <c r="X67" i="10"/>
  <c r="Y29" i="10"/>
  <c r="X29" i="10"/>
  <c r="Y25" i="10"/>
  <c r="X25" i="10"/>
  <c r="X166" i="10"/>
  <c r="Y166" i="10"/>
  <c r="X78" i="10"/>
  <c r="Y78" i="10"/>
  <c r="Y208" i="10"/>
  <c r="X208" i="10"/>
  <c r="Y508" i="10"/>
  <c r="X508" i="10"/>
  <c r="Y406" i="10"/>
  <c r="X406" i="10"/>
  <c r="X399" i="10"/>
  <c r="Y399" i="10"/>
  <c r="X369" i="10"/>
  <c r="Y369" i="10"/>
  <c r="Y199" i="10"/>
  <c r="X199" i="10"/>
  <c r="X548" i="10"/>
  <c r="Y548" i="10"/>
  <c r="Y535" i="10"/>
  <c r="X535" i="10"/>
  <c r="Y500" i="10"/>
  <c r="X500" i="10"/>
  <c r="Y466" i="10"/>
  <c r="X466" i="10"/>
  <c r="Y483" i="10"/>
  <c r="X483" i="10"/>
  <c r="X433" i="10"/>
  <c r="Y433" i="10"/>
  <c r="X295" i="10"/>
  <c r="Y295" i="10"/>
  <c r="X465" i="10"/>
  <c r="Y465" i="10"/>
  <c r="X342" i="10"/>
  <c r="Y342" i="10"/>
  <c r="X310" i="10"/>
  <c r="Y310" i="10"/>
  <c r="Y235" i="10"/>
  <c r="X235" i="10"/>
  <c r="Y171" i="10"/>
  <c r="X171" i="10"/>
  <c r="Y149" i="10"/>
  <c r="X149" i="10"/>
  <c r="Y109" i="10"/>
  <c r="X109" i="10"/>
  <c r="Y163" i="10"/>
  <c r="X163" i="10"/>
  <c r="Y65" i="10"/>
  <c r="X65" i="10"/>
  <c r="X46" i="10"/>
  <c r="Y46" i="10"/>
  <c r="Y49" i="10"/>
  <c r="X49" i="10"/>
  <c r="X23" i="10"/>
  <c r="Y23" i="10"/>
  <c r="X69" i="10"/>
  <c r="Y69" i="10"/>
  <c r="Y32" i="10"/>
  <c r="X32" i="10"/>
  <c r="Y37" i="10"/>
  <c r="X37" i="10"/>
  <c r="Y130" i="10"/>
  <c r="X130" i="10"/>
  <c r="Y158" i="10"/>
  <c r="X158" i="10"/>
  <c r="X210" i="10"/>
  <c r="Y210" i="10"/>
  <c r="X226" i="10"/>
  <c r="Y226" i="10"/>
  <c r="X242" i="10"/>
  <c r="Y242" i="10"/>
  <c r="Y126" i="10"/>
  <c r="X126" i="10"/>
  <c r="Y164" i="10"/>
  <c r="X164" i="10"/>
  <c r="Y180" i="10"/>
  <c r="X180" i="10"/>
  <c r="Y102" i="10"/>
  <c r="X102" i="10"/>
  <c r="Y165" i="10"/>
  <c r="X165" i="10"/>
  <c r="Y181" i="10"/>
  <c r="X181" i="10"/>
  <c r="X212" i="10"/>
  <c r="Y212" i="10"/>
  <c r="X228" i="10"/>
  <c r="Y228" i="10"/>
  <c r="X244" i="10"/>
  <c r="Y244" i="10"/>
  <c r="Y221" i="10"/>
  <c r="X221" i="10"/>
  <c r="Y237" i="10"/>
  <c r="X237" i="10"/>
  <c r="X254" i="10"/>
  <c r="Y254" i="10"/>
  <c r="X270" i="10"/>
  <c r="Y270" i="10"/>
  <c r="X286" i="10"/>
  <c r="Y286" i="10"/>
  <c r="X302" i="10"/>
  <c r="Y302" i="10"/>
  <c r="X387" i="10"/>
  <c r="Y387" i="10"/>
  <c r="X401" i="10"/>
  <c r="Y401" i="10"/>
  <c r="X417" i="10"/>
  <c r="Y417" i="10"/>
  <c r="X371" i="10"/>
  <c r="Y371" i="10"/>
  <c r="X385" i="10"/>
  <c r="Y385" i="10"/>
  <c r="Y467" i="10"/>
  <c r="X467" i="10"/>
  <c r="Y444" i="10"/>
  <c r="X444" i="10"/>
  <c r="Y479" i="10"/>
  <c r="X479" i="10"/>
  <c r="Y518" i="10"/>
  <c r="X518" i="10"/>
  <c r="X503" i="10"/>
  <c r="Y503" i="10"/>
  <c r="Y539" i="10"/>
  <c r="X539" i="10"/>
  <c r="Q207" i="5"/>
  <c r="R207" i="5" s="1"/>
  <c r="Q203" i="5"/>
  <c r="R203" i="5" s="1"/>
  <c r="Q305" i="5"/>
  <c r="S305" i="5" s="1"/>
  <c r="Q355" i="5"/>
  <c r="S355" i="5" s="1"/>
  <c r="Q388" i="5"/>
  <c r="S388" i="5" s="1"/>
  <c r="Q366" i="5"/>
  <c r="R366" i="5" s="1"/>
  <c r="Q434" i="5"/>
  <c r="S434" i="5" s="1"/>
  <c r="Q509" i="5"/>
  <c r="S509" i="5" s="1"/>
  <c r="Q400" i="5"/>
  <c r="S400" i="5" s="1"/>
  <c r="Q37" i="5"/>
  <c r="S37" i="5" s="1"/>
  <c r="Q189" i="5"/>
  <c r="S189" i="5" s="1"/>
  <c r="Q399" i="5"/>
  <c r="S399" i="5" s="1"/>
  <c r="Q100" i="5"/>
  <c r="R100" i="5" s="1"/>
  <c r="Q498" i="5"/>
  <c r="R498" i="5" s="1"/>
  <c r="Q190" i="5"/>
  <c r="R190" i="5" s="1"/>
  <c r="Q421" i="5"/>
  <c r="R421" i="5" s="1"/>
  <c r="Q522" i="5"/>
  <c r="R522" i="5" s="1"/>
  <c r="Q107" i="5"/>
  <c r="S107" i="5" s="1"/>
  <c r="Q60" i="5"/>
  <c r="R60" i="5" s="1"/>
  <c r="Q94" i="5"/>
  <c r="R94" i="5" s="1"/>
  <c r="Q83" i="5"/>
  <c r="R83" i="5" s="1"/>
  <c r="Q170" i="5"/>
  <c r="S170" i="5" s="1"/>
  <c r="Q240" i="5"/>
  <c r="R240" i="5" s="1"/>
  <c r="Q292" i="5"/>
  <c r="R292" i="5" s="1"/>
  <c r="Q239" i="5"/>
  <c r="S239" i="5" s="1"/>
  <c r="Q257" i="5"/>
  <c r="S257" i="5" s="1"/>
  <c r="Q279" i="5"/>
  <c r="R279" i="5" s="1"/>
  <c r="Q351" i="5"/>
  <c r="R351" i="5" s="1"/>
  <c r="Q393" i="5"/>
  <c r="S393" i="5" s="1"/>
  <c r="Q410" i="5"/>
  <c r="S410" i="5" s="1"/>
  <c r="Q342" i="5"/>
  <c r="S342" i="5" s="1"/>
  <c r="Q541" i="5"/>
  <c r="S541" i="5" s="1"/>
  <c r="Q549" i="5"/>
  <c r="S549" i="5" s="1"/>
  <c r="Q47" i="5"/>
  <c r="S47" i="5" s="1"/>
  <c r="Q146" i="5"/>
  <c r="S146" i="5" s="1"/>
  <c r="Q296" i="5"/>
  <c r="S296" i="5" s="1"/>
  <c r="Q394" i="5"/>
  <c r="R394" i="5" s="1"/>
  <c r="Q520" i="5"/>
  <c r="R520" i="5" s="1"/>
  <c r="Q70" i="5"/>
  <c r="R70" i="5" s="1"/>
  <c r="Q337" i="5"/>
  <c r="S337" i="5" s="1"/>
  <c r="Q126" i="5"/>
  <c r="S126" i="5" s="1"/>
  <c r="Q447" i="5"/>
  <c r="R447" i="5" s="1"/>
  <c r="Q42" i="5"/>
  <c r="S42" i="5" s="1"/>
  <c r="Q86" i="5"/>
  <c r="R86" i="5" s="1"/>
  <c r="Q148" i="5"/>
  <c r="R148" i="5" s="1"/>
  <c r="Q311" i="5"/>
  <c r="R311" i="5" s="1"/>
  <c r="Q347" i="5"/>
  <c r="S347" i="5" s="1"/>
  <c r="Q536" i="5"/>
  <c r="S536" i="5" s="1"/>
  <c r="Q36" i="5"/>
  <c r="S36" i="5" s="1"/>
  <c r="Q109" i="5"/>
  <c r="R109" i="5" s="1"/>
  <c r="Q176" i="5"/>
  <c r="S176" i="5" s="1"/>
  <c r="Q350" i="5"/>
  <c r="R350" i="5" s="1"/>
  <c r="Q383" i="5"/>
  <c r="R383" i="5" s="1"/>
  <c r="Q373" i="5"/>
  <c r="S373" i="5" s="1"/>
  <c r="Q19" i="5"/>
  <c r="R19" i="5" s="1"/>
  <c r="Q201" i="5"/>
  <c r="R201" i="5" s="1"/>
  <c r="B263" i="2"/>
  <c r="B223" i="2"/>
  <c r="B225" i="2" s="1"/>
  <c r="Q213" i="5"/>
  <c r="S213" i="5" s="1"/>
  <c r="Q496" i="5"/>
  <c r="R496" i="5" s="1"/>
  <c r="Q246" i="5"/>
  <c r="S246" i="5" s="1"/>
  <c r="Q227" i="5"/>
  <c r="R227" i="5" s="1"/>
  <c r="Q461" i="5"/>
  <c r="S461" i="5" s="1"/>
  <c r="Q335" i="5"/>
  <c r="S335" i="5" s="1"/>
  <c r="Q487" i="5"/>
  <c r="R487" i="5" s="1"/>
  <c r="Q450" i="5"/>
  <c r="R450" i="5" s="1"/>
  <c r="Q268" i="5"/>
  <c r="S268" i="5" s="1"/>
  <c r="Q460" i="5"/>
  <c r="R460" i="5" s="1"/>
  <c r="Q458" i="5"/>
  <c r="R458" i="5" s="1"/>
  <c r="Q81" i="5"/>
  <c r="R81" i="5" s="1"/>
  <c r="Q169" i="5"/>
  <c r="R169" i="5" s="1"/>
  <c r="Q196" i="5"/>
  <c r="S196" i="5" s="1"/>
  <c r="Q245" i="5"/>
  <c r="R245" i="5" s="1"/>
  <c r="Q512" i="5"/>
  <c r="S512" i="5" s="1"/>
  <c r="Q445" i="5"/>
  <c r="S445" i="5" s="1"/>
  <c r="Q466" i="5"/>
  <c r="R466" i="5" s="1"/>
  <c r="Q66" i="5"/>
  <c r="R66" i="5" s="1"/>
  <c r="Q144" i="5"/>
  <c r="S144" i="5" s="1"/>
  <c r="Q152" i="5"/>
  <c r="R152" i="5" s="1"/>
  <c r="Q97" i="5"/>
  <c r="S97" i="5" s="1"/>
  <c r="Q423" i="5"/>
  <c r="S423" i="5" s="1"/>
  <c r="Q362" i="5"/>
  <c r="R362" i="5" s="1"/>
  <c r="Q500" i="5"/>
  <c r="S500" i="5" s="1"/>
  <c r="Q58" i="5"/>
  <c r="R58" i="5" s="1"/>
  <c r="Q183" i="5"/>
  <c r="S183" i="5" s="1"/>
  <c r="Q482" i="5"/>
  <c r="R482" i="5" s="1"/>
  <c r="Q300" i="5"/>
  <c r="S300" i="5" s="1"/>
  <c r="Q29" i="5"/>
  <c r="R29" i="5" s="1"/>
  <c r="Q120" i="5"/>
  <c r="S120" i="5" s="1"/>
  <c r="Q200" i="5"/>
  <c r="S200" i="5" s="1"/>
  <c r="Q432" i="5"/>
  <c r="S432" i="5" s="1"/>
  <c r="Q230" i="5"/>
  <c r="R230" i="5" s="1"/>
  <c r="Q336" i="5"/>
  <c r="R336" i="5" s="1"/>
  <c r="Q265" i="5"/>
  <c r="R265" i="5" s="1"/>
  <c r="Q341" i="5"/>
  <c r="R341" i="5" s="1"/>
  <c r="Q116" i="5"/>
  <c r="S116" i="5" s="1"/>
  <c r="Q277" i="5"/>
  <c r="R277" i="5" s="1"/>
  <c r="Q64" i="5"/>
  <c r="S64" i="5" s="1"/>
  <c r="Q533" i="5"/>
  <c r="R533" i="5" s="1"/>
  <c r="Q262" i="5"/>
  <c r="S262" i="5" s="1"/>
  <c r="Q456" i="5"/>
  <c r="R456" i="5" s="1"/>
  <c r="Q272" i="5"/>
  <c r="S272" i="5" s="1"/>
  <c r="Q136" i="5"/>
  <c r="S136" i="5" s="1"/>
  <c r="Q334" i="5"/>
  <c r="R334" i="5" s="1"/>
  <c r="Q192" i="5"/>
  <c r="R192" i="5" s="1"/>
  <c r="Q202" i="5"/>
  <c r="S202" i="5" s="1"/>
  <c r="Q54" i="5"/>
  <c r="S54" i="5" s="1"/>
  <c r="Q486" i="5"/>
  <c r="R486" i="5" s="1"/>
  <c r="Q316" i="5"/>
  <c r="S316" i="5" s="1"/>
  <c r="Q118" i="5"/>
  <c r="S118" i="5" s="1"/>
  <c r="Q35" i="5"/>
  <c r="R35" i="5" s="1"/>
  <c r="Q554" i="5"/>
  <c r="S554" i="5" s="1"/>
  <c r="Q129" i="5"/>
  <c r="S129" i="5" s="1"/>
  <c r="Q165" i="5"/>
  <c r="R165" i="5" s="1"/>
  <c r="Q278" i="5"/>
  <c r="S278" i="5" s="1"/>
  <c r="Q354" i="5"/>
  <c r="R354" i="5" s="1"/>
  <c r="Q454" i="5"/>
  <c r="S454" i="5" s="1"/>
  <c r="Q489" i="5"/>
  <c r="R489" i="5" s="1"/>
  <c r="Q553" i="5"/>
  <c r="S553" i="5" s="1"/>
  <c r="Q429" i="5"/>
  <c r="R429" i="5" s="1"/>
  <c r="Q72" i="5"/>
  <c r="R72" i="5" s="1"/>
  <c r="Q104" i="5"/>
  <c r="R104" i="5" s="1"/>
  <c r="Q143" i="5"/>
  <c r="S143" i="5" s="1"/>
  <c r="Q180" i="5"/>
  <c r="S180" i="5" s="1"/>
  <c r="Q219" i="5"/>
  <c r="S219" i="5" s="1"/>
  <c r="Q247" i="5"/>
  <c r="R247" i="5" s="1"/>
  <c r="Q378" i="5"/>
  <c r="S378" i="5" s="1"/>
  <c r="Q518" i="5"/>
  <c r="S518" i="5" s="1"/>
  <c r="Q57" i="5"/>
  <c r="S57" i="5" s="1"/>
  <c r="Q367" i="5"/>
  <c r="R367" i="5" s="1"/>
  <c r="Q503" i="5"/>
  <c r="R503" i="5" s="1"/>
  <c r="Q270" i="5"/>
  <c r="S270" i="5" s="1"/>
  <c r="Q187" i="5"/>
  <c r="S187" i="5" s="1"/>
  <c r="Q128" i="5"/>
  <c r="S128" i="5" s="1"/>
  <c r="Q8" i="5"/>
  <c r="R8" i="5" s="1"/>
  <c r="Q271" i="5"/>
  <c r="S271" i="5" s="1"/>
  <c r="Q198" i="5"/>
  <c r="S198" i="5" s="1"/>
  <c r="Q123" i="5"/>
  <c r="R123" i="5" s="1"/>
  <c r="Q69" i="5"/>
  <c r="R69" i="5" s="1"/>
  <c r="Q443" i="5"/>
  <c r="R443" i="5" s="1"/>
  <c r="P139" i="5"/>
  <c r="P488" i="5"/>
  <c r="Q113" i="5"/>
  <c r="S113" i="5" s="1"/>
  <c r="Q469" i="5"/>
  <c r="R469" i="5" s="1"/>
  <c r="P195" i="5"/>
  <c r="P205" i="5"/>
  <c r="Q395" i="5"/>
  <c r="S395" i="5" s="1"/>
  <c r="P179" i="5"/>
  <c r="P463" i="5"/>
  <c r="Q32" i="5"/>
  <c r="S32" i="5" s="1"/>
  <c r="Q59" i="5"/>
  <c r="R59" i="5" s="1"/>
  <c r="Q80" i="5"/>
  <c r="Q142" i="5"/>
  <c r="S142" i="5" s="1"/>
  <c r="Q121" i="5"/>
  <c r="S121" i="5" s="1"/>
  <c r="Q179" i="5"/>
  <c r="R179" i="5" s="1"/>
  <c r="Q251" i="5"/>
  <c r="S251" i="5" s="1"/>
  <c r="Q226" i="5"/>
  <c r="R226" i="5" s="1"/>
  <c r="Q328" i="5"/>
  <c r="Q330" i="5"/>
  <c r="S330" i="5" s="1"/>
  <c r="Q315" i="5"/>
  <c r="R315" i="5" s="1"/>
  <c r="Q386" i="5"/>
  <c r="R386" i="5" s="1"/>
  <c r="Q343" i="5"/>
  <c r="S343" i="5" s="1"/>
  <c r="Q263" i="5"/>
  <c r="S263" i="5" s="1"/>
  <c r="Q415" i="5"/>
  <c r="R415" i="5" s="1"/>
  <c r="Q471" i="5"/>
  <c r="R471" i="5" s="1"/>
  <c r="Q526" i="5"/>
  <c r="Q452" i="5"/>
  <c r="R452" i="5" s="1"/>
  <c r="Q510" i="5"/>
  <c r="Q484" i="5"/>
  <c r="S484" i="5" s="1"/>
  <c r="Q546" i="5"/>
  <c r="S546" i="5" s="1"/>
  <c r="Q552" i="5"/>
  <c r="R552" i="5" s="1"/>
  <c r="Q557" i="5"/>
  <c r="S557" i="5" s="1"/>
  <c r="Q516" i="5"/>
  <c r="R516" i="5" s="1"/>
  <c r="Q38" i="5"/>
  <c r="Q154" i="5"/>
  <c r="S154" i="5" s="1"/>
  <c r="Q185" i="5"/>
  <c r="Q242" i="5"/>
  <c r="R242" i="5" s="1"/>
  <c r="Q211" i="5"/>
  <c r="S211" i="5" s="1"/>
  <c r="Q391" i="5"/>
  <c r="S391" i="5" s="1"/>
  <c r="Q338" i="5"/>
  <c r="S338" i="5" s="1"/>
  <c r="Q475" i="5"/>
  <c r="R475" i="5" s="1"/>
  <c r="Q467" i="5"/>
  <c r="S467" i="5" s="1"/>
  <c r="Q497" i="5"/>
  <c r="S497" i="5" s="1"/>
  <c r="Q550" i="5"/>
  <c r="R550" i="5" s="1"/>
  <c r="Q534" i="5"/>
  <c r="S534" i="5" s="1"/>
  <c r="Q24" i="5"/>
  <c r="Q75" i="5"/>
  <c r="R75" i="5" s="1"/>
  <c r="Q119" i="5"/>
  <c r="R119" i="5" s="1"/>
  <c r="Q96" i="5"/>
  <c r="R96" i="5" s="1"/>
  <c r="Q161" i="5"/>
  <c r="S161" i="5" s="1"/>
  <c r="Q235" i="5"/>
  <c r="S235" i="5" s="1"/>
  <c r="Q209" i="5"/>
  <c r="S209" i="5" s="1"/>
  <c r="Q260" i="5"/>
  <c r="S260" i="5" s="1"/>
  <c r="Q358" i="5"/>
  <c r="R358" i="5" s="1"/>
  <c r="Q477" i="5"/>
  <c r="S477" i="5" s="1"/>
  <c r="Q430" i="5"/>
  <c r="S430" i="5" s="1"/>
  <c r="Q114" i="5"/>
  <c r="R114" i="5" s="1"/>
  <c r="Q431" i="5"/>
  <c r="R431" i="5" s="1"/>
  <c r="Q528" i="5"/>
  <c r="R528" i="5" s="1"/>
  <c r="Q412" i="5"/>
  <c r="R412" i="5" s="1"/>
  <c r="Q380" i="5"/>
  <c r="S380" i="5" s="1"/>
  <c r="Q325" i="5"/>
  <c r="R325" i="5" s="1"/>
  <c r="Q175" i="5"/>
  <c r="S175" i="5" s="1"/>
  <c r="Q91" i="5"/>
  <c r="R91" i="5" s="1"/>
  <c r="Q418" i="5"/>
  <c r="R418" i="5" s="1"/>
  <c r="Q141" i="5"/>
  <c r="R141" i="5" s="1"/>
  <c r="Q206" i="5"/>
  <c r="R206" i="5" s="1"/>
  <c r="Q122" i="5"/>
  <c r="Q93" i="5"/>
  <c r="R93" i="5" s="1"/>
  <c r="Q39" i="5"/>
  <c r="S39" i="5" s="1"/>
  <c r="Q370" i="5"/>
  <c r="R370" i="5" s="1"/>
  <c r="Q340" i="5"/>
  <c r="Q43" i="5"/>
  <c r="Q502" i="5"/>
  <c r="S502" i="5" s="1"/>
  <c r="Q166" i="5"/>
  <c r="R166" i="5" s="1"/>
  <c r="Q449" i="5"/>
  <c r="S449" i="5" s="1"/>
  <c r="Q404" i="5"/>
  <c r="S404" i="5" s="1"/>
  <c r="Q184" i="5"/>
  <c r="R184" i="5" s="1"/>
  <c r="Q545" i="5"/>
  <c r="R545" i="5" s="1"/>
  <c r="Q312" i="5"/>
  <c r="R312" i="5" s="1"/>
  <c r="Q84" i="5"/>
  <c r="R84" i="5" s="1"/>
  <c r="Q478" i="5"/>
  <c r="S478" i="5" s="1"/>
  <c r="Q369" i="5"/>
  <c r="S369" i="5" s="1"/>
  <c r="Q382" i="5"/>
  <c r="S382" i="5" s="1"/>
  <c r="Q261" i="5"/>
  <c r="S261" i="5" s="1"/>
  <c r="Q92" i="5"/>
  <c r="R92" i="5" s="1"/>
  <c r="O11" i="5"/>
  <c r="AG11" i="5" s="1"/>
  <c r="AH11" i="5" s="1"/>
  <c r="Q49" i="5"/>
  <c r="Q50" i="5"/>
  <c r="R50" i="5" s="1"/>
  <c r="Q63" i="5"/>
  <c r="S63" i="5" s="1"/>
  <c r="Q77" i="5"/>
  <c r="S77" i="5" s="1"/>
  <c r="Q44" i="5"/>
  <c r="S44" i="5" s="1"/>
  <c r="Q137" i="5"/>
  <c r="R137" i="5" s="1"/>
  <c r="Q140" i="5"/>
  <c r="R140" i="5" s="1"/>
  <c r="Q127" i="5"/>
  <c r="R127" i="5" s="1"/>
  <c r="Q174" i="5"/>
  <c r="R174" i="5" s="1"/>
  <c r="Q168" i="5"/>
  <c r="S168" i="5" s="1"/>
  <c r="Q232" i="5"/>
  <c r="S232" i="5" s="1"/>
  <c r="Q221" i="5"/>
  <c r="S221" i="5" s="1"/>
  <c r="Q222" i="5"/>
  <c r="S222" i="5" s="1"/>
  <c r="Q264" i="5"/>
  <c r="S264" i="5" s="1"/>
  <c r="Q331" i="5"/>
  <c r="Q293" i="5"/>
  <c r="R293" i="5" s="1"/>
  <c r="Q220" i="5"/>
  <c r="Q286" i="5"/>
  <c r="S286" i="5" s="1"/>
  <c r="Q348" i="5"/>
  <c r="S348" i="5" s="1"/>
  <c r="Q372" i="5"/>
  <c r="S372" i="5" s="1"/>
  <c r="Q438" i="5"/>
  <c r="Q26" i="5"/>
  <c r="S26" i="5" s="1"/>
  <c r="Q41" i="5"/>
  <c r="S41" i="5" s="1"/>
  <c r="Q61" i="5"/>
  <c r="R61" i="5" s="1"/>
  <c r="Q87" i="5"/>
  <c r="S87" i="5" s="1"/>
  <c r="Q133" i="5"/>
  <c r="S133" i="5" s="1"/>
  <c r="Q149" i="5"/>
  <c r="R149" i="5" s="1"/>
  <c r="Q156" i="5"/>
  <c r="S156" i="5" s="1"/>
  <c r="Q132" i="5"/>
  <c r="R132" i="5" s="1"/>
  <c r="Q238" i="5"/>
  <c r="S238" i="5" s="1"/>
  <c r="Q195" i="5"/>
  <c r="R195" i="5" s="1"/>
  <c r="Q256" i="5"/>
  <c r="R256" i="5" s="1"/>
  <c r="Q212" i="5"/>
  <c r="Q321" i="5"/>
  <c r="R321" i="5" s="1"/>
  <c r="Q280" i="5"/>
  <c r="R280" i="5" s="1"/>
  <c r="Q357" i="5"/>
  <c r="R357" i="5" s="1"/>
  <c r="Q407" i="5"/>
  <c r="S407" i="5" s="1"/>
  <c r="Q314" i="5"/>
  <c r="S314" i="5" s="1"/>
  <c r="Q402" i="5"/>
  <c r="S402" i="5" s="1"/>
  <c r="Q368" i="5"/>
  <c r="R368" i="5" s="1"/>
  <c r="Q318" i="5"/>
  <c r="S318" i="5" s="1"/>
  <c r="Q464" i="5"/>
  <c r="S464" i="5" s="1"/>
  <c r="Q499" i="5"/>
  <c r="S499" i="5" s="1"/>
  <c r="Q547" i="5"/>
  <c r="S547" i="5" s="1"/>
  <c r="Q476" i="5"/>
  <c r="S476" i="5" s="1"/>
  <c r="Q436" i="5"/>
  <c r="R436" i="5" s="1"/>
  <c r="Q463" i="5"/>
  <c r="S463" i="5" s="1"/>
  <c r="Q417" i="5"/>
  <c r="R417" i="5" s="1"/>
  <c r="Q375" i="5"/>
  <c r="S375" i="5" s="1"/>
  <c r="Q310" i="5"/>
  <c r="S310" i="5" s="1"/>
  <c r="Q217" i="5"/>
  <c r="Q162" i="5"/>
  <c r="R162" i="5" s="1"/>
  <c r="Q131" i="5"/>
  <c r="S131" i="5" s="1"/>
  <c r="Q51" i="5"/>
  <c r="R51" i="5" s="1"/>
  <c r="Q531" i="5"/>
  <c r="Q459" i="5"/>
  <c r="S459" i="5" s="1"/>
  <c r="Q555" i="5"/>
  <c r="S555" i="5" s="1"/>
  <c r="Q548" i="5"/>
  <c r="R548" i="5" s="1"/>
  <c r="Q494" i="5"/>
  <c r="R494" i="5" s="1"/>
  <c r="Q514" i="5"/>
  <c r="S514" i="5" s="1"/>
  <c r="Q457" i="5"/>
  <c r="R457" i="5" s="1"/>
  <c r="Q527" i="5"/>
  <c r="S527" i="5" s="1"/>
  <c r="Q473" i="5"/>
  <c r="S473" i="5" s="1"/>
  <c r="Q416" i="5"/>
  <c r="S416" i="5" s="1"/>
  <c r="Q327" i="5"/>
  <c r="R327" i="5" s="1"/>
  <c r="Q349" i="5"/>
  <c r="S349" i="5" s="1"/>
  <c r="Q389" i="5"/>
  <c r="S389" i="5" s="1"/>
  <c r="Q324" i="5"/>
  <c r="S324" i="5" s="1"/>
  <c r="Q167" i="5"/>
  <c r="Q333" i="5"/>
  <c r="S333" i="5" s="1"/>
  <c r="Q237" i="5"/>
  <c r="R237" i="5" s="1"/>
  <c r="Q244" i="5"/>
  <c r="S244" i="5" s="1"/>
  <c r="Q135" i="5"/>
  <c r="R135" i="5" s="1"/>
  <c r="Q490" i="5"/>
  <c r="S490" i="5" s="1"/>
  <c r="Q283" i="5"/>
  <c r="S283" i="5" s="1"/>
  <c r="Q99" i="5"/>
  <c r="R99" i="5" s="1"/>
  <c r="Q506" i="5"/>
  <c r="Q323" i="5"/>
  <c r="R323" i="5" s="1"/>
  <c r="Q31" i="5"/>
  <c r="R31" i="5" s="1"/>
  <c r="Q529" i="5"/>
  <c r="S529" i="5" s="1"/>
  <c r="Q501" i="5"/>
  <c r="R501" i="5" s="1"/>
  <c r="Q439" i="5"/>
  <c r="R439" i="5" s="1"/>
  <c r="Q258" i="5"/>
  <c r="S258" i="5" s="1"/>
  <c r="Q125" i="5"/>
  <c r="R125" i="5" s="1"/>
  <c r="Q12" i="5"/>
  <c r="S12" i="5" s="1"/>
  <c r="Q34" i="5"/>
  <c r="S34" i="5" s="1"/>
  <c r="Q48" i="5"/>
  <c r="Q68" i="5"/>
  <c r="R68" i="5" s="1"/>
  <c r="Q76" i="5"/>
  <c r="R76" i="5" s="1"/>
  <c r="Q106" i="5"/>
  <c r="R106" i="5" s="1"/>
  <c r="Q153" i="5"/>
  <c r="S153" i="5" s="1"/>
  <c r="Q157" i="5"/>
  <c r="S157" i="5" s="1"/>
  <c r="Q139" i="5"/>
  <c r="S139" i="5" s="1"/>
  <c r="Q145" i="5"/>
  <c r="S145" i="5" s="1"/>
  <c r="Q182" i="5"/>
  <c r="R182" i="5" s="1"/>
  <c r="Q241" i="5"/>
  <c r="S241" i="5" s="1"/>
  <c r="Q233" i="5"/>
  <c r="R233" i="5" s="1"/>
  <c r="Q234" i="5"/>
  <c r="S234" i="5" s="1"/>
  <c r="Q284" i="5"/>
  <c r="Q215" i="5"/>
  <c r="S215" i="5" s="1"/>
  <c r="Q303" i="5"/>
  <c r="R303" i="5" s="1"/>
  <c r="Q248" i="5"/>
  <c r="R248" i="5" s="1"/>
  <c r="Q304" i="5"/>
  <c r="S304" i="5" s="1"/>
  <c r="Q360" i="5"/>
  <c r="R360" i="5" s="1"/>
  <c r="Q385" i="5"/>
  <c r="B43" i="5"/>
  <c r="Q45" i="5"/>
  <c r="S45" i="5" s="1"/>
  <c r="Q27" i="5"/>
  <c r="S27" i="5" s="1"/>
  <c r="Q78" i="5"/>
  <c r="R78" i="5" s="1"/>
  <c r="Q110" i="5"/>
  <c r="R110" i="5" s="1"/>
  <c r="Q151" i="5"/>
  <c r="S151" i="5" s="1"/>
  <c r="Q105" i="5"/>
  <c r="S105" i="5" s="1"/>
  <c r="Q163" i="5"/>
  <c r="S163" i="5" s="1"/>
  <c r="Q178" i="5"/>
  <c r="S178" i="5" s="1"/>
  <c r="Q186" i="5"/>
  <c r="Q214" i="5"/>
  <c r="R214" i="5" s="1"/>
  <c r="Q276" i="5"/>
  <c r="Q255" i="5"/>
  <c r="R255" i="5" s="1"/>
  <c r="Q173" i="5"/>
  <c r="Q297" i="5"/>
  <c r="S297" i="5" s="1"/>
  <c r="Q295" i="5"/>
  <c r="S295" i="5" s="1"/>
  <c r="Q428" i="5"/>
  <c r="R428" i="5" s="1"/>
  <c r="Q353" i="5"/>
  <c r="R353" i="5" s="1"/>
  <c r="Q414" i="5"/>
  <c r="S414" i="5" s="1"/>
  <c r="Q384" i="5"/>
  <c r="Q381" i="5"/>
  <c r="S381" i="5" s="1"/>
  <c r="Q474" i="5"/>
  <c r="S474" i="5" s="1"/>
  <c r="Q544" i="5"/>
  <c r="S544" i="5" s="1"/>
  <c r="Q451" i="5"/>
  <c r="S451" i="5" s="1"/>
  <c r="Q424" i="5"/>
  <c r="Q345" i="5"/>
  <c r="R345" i="5" s="1"/>
  <c r="Q387" i="5"/>
  <c r="S387" i="5" s="1"/>
  <c r="Q379" i="5"/>
  <c r="R379" i="5" s="1"/>
  <c r="Q352" i="5"/>
  <c r="S352" i="5" s="1"/>
  <c r="Q259" i="5"/>
  <c r="S259" i="5" s="1"/>
  <c r="Q225" i="5"/>
  <c r="S225" i="5" s="1"/>
  <c r="Q150" i="5"/>
  <c r="S150" i="5" s="1"/>
  <c r="Q111" i="5"/>
  <c r="R111" i="5" s="1"/>
  <c r="Q40" i="5"/>
  <c r="R40" i="5" s="1"/>
  <c r="Q472" i="5"/>
  <c r="R472" i="5" s="1"/>
  <c r="Q558" i="5"/>
  <c r="R558" i="5" s="1"/>
  <c r="Q532" i="5"/>
  <c r="S532" i="5" s="1"/>
  <c r="Q542" i="5"/>
  <c r="S542" i="5" s="1"/>
  <c r="Q465" i="5"/>
  <c r="R465" i="5" s="1"/>
  <c r="Q493" i="5"/>
  <c r="S493" i="5" s="1"/>
  <c r="Q435" i="5"/>
  <c r="R435" i="5" s="1"/>
  <c r="Q521" i="5"/>
  <c r="Q462" i="5"/>
  <c r="S462" i="5" s="1"/>
  <c r="Q401" i="5"/>
  <c r="S401" i="5" s="1"/>
  <c r="Q413" i="5"/>
  <c r="S413" i="5" s="1"/>
  <c r="Q282" i="5"/>
  <c r="S282" i="5" s="1"/>
  <c r="Q371" i="5"/>
  <c r="R371" i="5" s="1"/>
  <c r="Q294" i="5"/>
  <c r="R294" i="5" s="1"/>
  <c r="Q307" i="5"/>
  <c r="S307" i="5" s="1"/>
  <c r="Q223" i="5"/>
  <c r="R223" i="5" s="1"/>
  <c r="Q339" i="5"/>
  <c r="R339" i="5" s="1"/>
  <c r="Q448" i="5"/>
  <c r="R448" i="5" s="1"/>
  <c r="Q455" i="5"/>
  <c r="S455" i="5" s="1"/>
  <c r="Q298" i="5"/>
  <c r="S298" i="5" s="1"/>
  <c r="Q28" i="5"/>
  <c r="S28" i="5" s="1"/>
  <c r="Q406" i="5"/>
  <c r="S406" i="5" s="1"/>
  <c r="Q250" i="5"/>
  <c r="S250" i="5" s="1"/>
  <c r="Q556" i="5"/>
  <c r="S556" i="5" s="1"/>
  <c r="Q426" i="5"/>
  <c r="S426" i="5" s="1"/>
  <c r="Q390" i="5"/>
  <c r="S390" i="5" s="1"/>
  <c r="Q254" i="5"/>
  <c r="S254" i="5" s="1"/>
  <c r="Q228" i="5"/>
  <c r="R228" i="5" s="1"/>
  <c r="Q82" i="5"/>
  <c r="S82" i="5" s="1"/>
  <c r="Q21" i="5"/>
  <c r="S21" i="5" s="1"/>
  <c r="Q25" i="5"/>
  <c r="S25" i="5" s="1"/>
  <c r="Q62" i="5"/>
  <c r="R62" i="5" s="1"/>
  <c r="Q74" i="5"/>
  <c r="S74" i="5" s="1"/>
  <c r="Q85" i="5"/>
  <c r="S85" i="5" s="1"/>
  <c r="Q108" i="5"/>
  <c r="R108" i="5" s="1"/>
  <c r="Q53" i="5"/>
  <c r="Q102" i="5"/>
  <c r="R102" i="5" s="1"/>
  <c r="Q155" i="5"/>
  <c r="R155" i="5" s="1"/>
  <c r="Q172" i="5"/>
  <c r="S172" i="5" s="1"/>
  <c r="Q208" i="5"/>
  <c r="R208" i="5" s="1"/>
  <c r="Q177" i="5"/>
  <c r="R177" i="5" s="1"/>
  <c r="Q171" i="5"/>
  <c r="R171" i="5" s="1"/>
  <c r="Q101" i="5"/>
  <c r="R101" i="5" s="1"/>
  <c r="Q299" i="5"/>
  <c r="Q253" i="5"/>
  <c r="R253" i="5" s="1"/>
  <c r="Q320" i="5"/>
  <c r="S320" i="5" s="1"/>
  <c r="Q267" i="5"/>
  <c r="R267" i="5" s="1"/>
  <c r="Q317" i="5"/>
  <c r="R317" i="5" s="1"/>
  <c r="Q289" i="5"/>
  <c r="S289" i="5" s="1"/>
  <c r="Q396" i="5"/>
  <c r="S396" i="5" s="1"/>
  <c r="Q13" i="5"/>
  <c r="S13" i="5" s="1"/>
  <c r="Q23" i="5"/>
  <c r="R23" i="5" s="1"/>
  <c r="Q67" i="5"/>
  <c r="R67" i="5" s="1"/>
  <c r="Q71" i="5"/>
  <c r="R71" i="5" s="1"/>
  <c r="Q103" i="5"/>
  <c r="S103" i="5" s="1"/>
  <c r="Q98" i="5"/>
  <c r="R98" i="5" s="1"/>
  <c r="Q124" i="5"/>
  <c r="S124" i="5" s="1"/>
  <c r="Q130" i="5"/>
  <c r="S130" i="5" s="1"/>
  <c r="Q181" i="5"/>
  <c r="S181" i="5" s="1"/>
  <c r="Q210" i="5"/>
  <c r="R210" i="5" s="1"/>
  <c r="Q231" i="5"/>
  <c r="R231" i="5" s="1"/>
  <c r="Q302" i="5"/>
  <c r="R302" i="5" s="1"/>
  <c r="Q285" i="5"/>
  <c r="R285" i="5" s="1"/>
  <c r="Q243" i="5"/>
  <c r="S243" i="5" s="1"/>
  <c r="Q319" i="5"/>
  <c r="R319" i="5" s="1"/>
  <c r="Q356" i="5"/>
  <c r="S356" i="5" s="1"/>
  <c r="Q441" i="5"/>
  <c r="R441" i="5" s="1"/>
  <c r="Q365" i="5"/>
  <c r="S365" i="5" s="1"/>
  <c r="Q322" i="5"/>
  <c r="S322" i="5" s="1"/>
  <c r="Q398" i="5"/>
  <c r="R398" i="5" s="1"/>
  <c r="Q433" i="5"/>
  <c r="S433" i="5" s="1"/>
  <c r="Q485" i="5"/>
  <c r="R485" i="5" s="1"/>
  <c r="Q560" i="5"/>
  <c r="S560" i="5" s="1"/>
  <c r="Q543" i="5"/>
  <c r="R543" i="5" s="1"/>
  <c r="Q495" i="5"/>
  <c r="S495" i="5" s="1"/>
  <c r="Q523" i="5"/>
  <c r="S523" i="5" s="1"/>
  <c r="Q405" i="5"/>
  <c r="R405" i="5" s="1"/>
  <c r="Q308" i="5"/>
  <c r="S308" i="5" s="1"/>
  <c r="Q309" i="5"/>
  <c r="S309" i="5" s="1"/>
  <c r="Q313" i="5"/>
  <c r="S313" i="5" s="1"/>
  <c r="Q236" i="5"/>
  <c r="R236" i="5" s="1"/>
  <c r="Q112" i="5"/>
  <c r="R112" i="5" s="1"/>
  <c r="Q79" i="5"/>
  <c r="S79" i="5" s="1"/>
  <c r="Q10" i="5"/>
  <c r="R10" i="5" s="1"/>
  <c r="Q427" i="5"/>
  <c r="R427" i="5" s="1"/>
  <c r="Q507" i="5"/>
  <c r="S507" i="5" s="1"/>
  <c r="Q491" i="5"/>
  <c r="R491" i="5" s="1"/>
  <c r="Q535" i="5"/>
  <c r="R535" i="5" s="1"/>
  <c r="Q444" i="5"/>
  <c r="R444" i="5" s="1"/>
  <c r="Q488" i="5"/>
  <c r="R488" i="5" s="1"/>
  <c r="Q420" i="5"/>
  <c r="R420" i="5" s="1"/>
  <c r="Q511" i="5"/>
  <c r="R511" i="5" s="1"/>
  <c r="Q453" i="5"/>
  <c r="R453" i="5" s="1"/>
  <c r="Q377" i="5"/>
  <c r="Q392" i="5"/>
  <c r="R392" i="5" s="1"/>
  <c r="Q442" i="5"/>
  <c r="R442" i="5" s="1"/>
  <c r="Q273" i="5"/>
  <c r="R273" i="5" s="1"/>
  <c r="Q275" i="5"/>
  <c r="R275" i="5" s="1"/>
  <c r="Q290" i="5"/>
  <c r="S290" i="5" s="1"/>
  <c r="Q269" i="5"/>
  <c r="S269" i="5" s="1"/>
  <c r="P289" i="5"/>
  <c r="P80" i="5"/>
  <c r="P123" i="5"/>
  <c r="P247" i="5"/>
  <c r="Q479" i="5"/>
  <c r="R479" i="5" s="1"/>
  <c r="Q361" i="5"/>
  <c r="P260" i="5"/>
  <c r="P28" i="5"/>
  <c r="P8" i="5"/>
  <c r="AC8" i="5" s="1"/>
  <c r="AS8" i="5" s="1"/>
  <c r="P32" i="5"/>
  <c r="P95" i="5"/>
  <c r="P550" i="5"/>
  <c r="P163" i="5"/>
  <c r="P217" i="5"/>
  <c r="P108" i="5"/>
  <c r="P526" i="5"/>
  <c r="AC526" i="5" s="1"/>
  <c r="AE526" i="5" s="1"/>
  <c r="P237" i="5"/>
  <c r="P387" i="5"/>
  <c r="P430" i="5"/>
  <c r="P271" i="5"/>
  <c r="P141" i="5"/>
  <c r="P11" i="5"/>
  <c r="P233" i="5"/>
  <c r="P45" i="5"/>
  <c r="P97" i="5"/>
  <c r="P419" i="5"/>
  <c r="P540" i="5"/>
  <c r="P469" i="5"/>
  <c r="P313" i="5"/>
  <c r="P376" i="5"/>
  <c r="Q524" i="5"/>
  <c r="R524" i="5" s="1"/>
  <c r="Q46" i="5"/>
  <c r="S46" i="5" s="1"/>
  <c r="Q199" i="5"/>
  <c r="R199" i="5" s="1"/>
  <c r="Q332" i="5"/>
  <c r="R332" i="5" s="1"/>
  <c r="Q425" i="5"/>
  <c r="S425" i="5" s="1"/>
  <c r="Q538" i="5"/>
  <c r="R538" i="5" s="1"/>
  <c r="Q326" i="5"/>
  <c r="S326" i="5" s="1"/>
  <c r="Q359" i="5"/>
  <c r="S359" i="5" s="1"/>
  <c r="Q559" i="5"/>
  <c r="R559" i="5" s="1"/>
  <c r="P276" i="5"/>
  <c r="P249" i="5"/>
  <c r="P101" i="5"/>
  <c r="P142" i="5"/>
  <c r="P171" i="5"/>
  <c r="P20" i="5"/>
  <c r="P418" i="5"/>
  <c r="P404" i="5"/>
  <c r="P393" i="5"/>
  <c r="P116" i="5"/>
  <c r="P482" i="5"/>
  <c r="P211" i="5"/>
  <c r="P477" i="5"/>
  <c r="P124" i="5"/>
  <c r="P366" i="5"/>
  <c r="P434" i="5"/>
  <c r="P236" i="5"/>
  <c r="P284" i="5"/>
  <c r="P206" i="5"/>
  <c r="P422" i="5"/>
  <c r="P270" i="5"/>
  <c r="P223" i="5"/>
  <c r="P190" i="5"/>
  <c r="P115" i="5"/>
  <c r="P64" i="5"/>
  <c r="AC64" i="5" s="1"/>
  <c r="AE64" i="5" s="1"/>
  <c r="P167" i="5"/>
  <c r="P100" i="5"/>
  <c r="P36" i="5"/>
  <c r="AC36" i="5" s="1"/>
  <c r="AD36" i="5" s="1"/>
  <c r="P131" i="5"/>
  <c r="P21" i="5"/>
  <c r="P451" i="5"/>
  <c r="P316" i="5"/>
  <c r="P275" i="5"/>
  <c r="P29" i="5"/>
  <c r="P508" i="5"/>
  <c r="AC508" i="5" s="1"/>
  <c r="AS508" i="5" s="1"/>
  <c r="P343" i="5"/>
  <c r="P37" i="5"/>
  <c r="AC37" i="5" s="1"/>
  <c r="AE37" i="5" s="1"/>
  <c r="P340" i="5"/>
  <c r="P442" i="5"/>
  <c r="P530" i="5"/>
  <c r="P556" i="5"/>
  <c r="P218" i="5"/>
  <c r="P381" i="5"/>
  <c r="P302" i="5"/>
  <c r="P363" i="5"/>
  <c r="P272" i="5"/>
  <c r="P208" i="5"/>
  <c r="P127" i="5"/>
  <c r="P105" i="5"/>
  <c r="P50" i="5"/>
  <c r="P170" i="5"/>
  <c r="P92" i="5"/>
  <c r="P246" i="5"/>
  <c r="P152" i="5"/>
  <c r="AC152" i="5" s="1"/>
  <c r="AS152" i="5" s="1"/>
  <c r="AU152" i="5" s="1"/>
  <c r="P66" i="5"/>
  <c r="P440" i="5"/>
  <c r="P216" i="5"/>
  <c r="P262" i="5"/>
  <c r="P168" i="5"/>
  <c r="P443" i="5"/>
  <c r="P334" i="5"/>
  <c r="P555" i="5"/>
  <c r="P263" i="5"/>
  <c r="P506" i="5"/>
  <c r="P517" i="5"/>
  <c r="P453" i="5"/>
  <c r="P226" i="5"/>
  <c r="P345" i="5"/>
  <c r="Q505" i="5"/>
  <c r="S505" i="5" s="1"/>
  <c r="Q159" i="5"/>
  <c r="S159" i="5" s="1"/>
  <c r="Q291" i="5"/>
  <c r="S291" i="5" s="1"/>
  <c r="Q249" i="5"/>
  <c r="R249" i="5" s="1"/>
  <c r="Q517" i="5"/>
  <c r="R517" i="5" s="1"/>
  <c r="Q537" i="5"/>
  <c r="R537" i="5" s="1"/>
  <c r="Q56" i="5"/>
  <c r="S56" i="5" s="1"/>
  <c r="Q376" i="5"/>
  <c r="S376" i="5" s="1"/>
  <c r="Q551" i="5"/>
  <c r="R551" i="5" s="1"/>
  <c r="Q513" i="5"/>
  <c r="S513" i="5" s="1"/>
  <c r="Q539" i="5"/>
  <c r="R539" i="5" s="1"/>
  <c r="Q344" i="5"/>
  <c r="R344" i="5" s="1"/>
  <c r="Q419" i="5"/>
  <c r="R419" i="5" s="1"/>
  <c r="Q191" i="5"/>
  <c r="R191" i="5" s="1"/>
  <c r="Q158" i="5"/>
  <c r="R158" i="5" s="1"/>
  <c r="Q134" i="5"/>
  <c r="S134" i="5" s="1"/>
  <c r="Q55" i="5"/>
  <c r="R55" i="5" s="1"/>
  <c r="Q480" i="5"/>
  <c r="S480" i="5" s="1"/>
  <c r="Q218" i="5"/>
  <c r="R218" i="5" s="1"/>
  <c r="Q164" i="5"/>
  <c r="S164" i="5" s="1"/>
  <c r="Q224" i="5"/>
  <c r="S224" i="5" s="1"/>
  <c r="Q468" i="5"/>
  <c r="S468" i="5" s="1"/>
  <c r="Q88" i="5"/>
  <c r="R88" i="5" s="1"/>
  <c r="Q197" i="5"/>
  <c r="S197" i="5" s="1"/>
  <c r="Q409" i="5"/>
  <c r="S409" i="5" s="1"/>
  <c r="Q20" i="5"/>
  <c r="R20" i="5" s="1"/>
  <c r="Q301" i="5"/>
  <c r="S301" i="5" s="1"/>
  <c r="Q364" i="5"/>
  <c r="S364" i="5" s="1"/>
  <c r="P335" i="5"/>
  <c r="P424" i="5"/>
  <c r="P290" i="5"/>
  <c r="P89" i="5"/>
  <c r="P265" i="5"/>
  <c r="AC265" i="5" s="1"/>
  <c r="AD265" i="5" s="1"/>
  <c r="P325" i="5"/>
  <c r="P375" i="5"/>
  <c r="AC375" i="5" s="1"/>
  <c r="AD375" i="5" s="1"/>
  <c r="P515" i="5"/>
  <c r="P523" i="5"/>
  <c r="P78" i="5"/>
  <c r="P267" i="5"/>
  <c r="P427" i="5"/>
  <c r="P411" i="5"/>
  <c r="P522" i="5"/>
  <c r="P539" i="5"/>
  <c r="AC539" i="5" s="1"/>
  <c r="P471" i="5"/>
  <c r="AC471" i="5" s="1"/>
  <c r="AS471" i="5" s="1"/>
  <c r="AT471" i="5" s="1"/>
  <c r="P201" i="5"/>
  <c r="P125" i="5"/>
  <c r="AC125" i="5" s="1"/>
  <c r="AE125" i="5" s="1"/>
  <c r="P547" i="5"/>
  <c r="P414" i="5"/>
  <c r="P183" i="5"/>
  <c r="P538" i="5"/>
  <c r="P344" i="5"/>
  <c r="P154" i="5"/>
  <c r="P121" i="5"/>
  <c r="P198" i="5"/>
  <c r="P388" i="5"/>
  <c r="P299" i="5"/>
  <c r="P389" i="5"/>
  <c r="AC389" i="5" s="1"/>
  <c r="AS389" i="5" s="1"/>
  <c r="P513" i="5"/>
  <c r="P58" i="5"/>
  <c r="AC58" i="5" s="1"/>
  <c r="AE58" i="5" s="1"/>
  <c r="P148" i="5"/>
  <c r="P239" i="5"/>
  <c r="P297" i="5"/>
  <c r="AC297" i="5" s="1"/>
  <c r="AE297" i="5" s="1"/>
  <c r="P408" i="5"/>
  <c r="P416" i="5"/>
  <c r="P436" i="5"/>
  <c r="P497" i="5"/>
  <c r="AC497" i="5" s="1"/>
  <c r="AD497" i="5" s="1"/>
  <c r="P525" i="5"/>
  <c r="P521" i="5"/>
  <c r="P536" i="5"/>
  <c r="P120" i="5"/>
  <c r="P44" i="5"/>
  <c r="P132" i="5"/>
  <c r="P230" i="5"/>
  <c r="P261" i="5"/>
  <c r="P329" i="5"/>
  <c r="P323" i="5"/>
  <c r="AC323" i="5" s="1"/>
  <c r="AD323" i="5" s="1"/>
  <c r="P435" i="5"/>
  <c r="P398" i="5"/>
  <c r="P346" i="5"/>
  <c r="P396" i="5"/>
  <c r="P514" i="5"/>
  <c r="P484" i="5"/>
  <c r="P466" i="5"/>
  <c r="P454" i="5"/>
  <c r="P43" i="5"/>
  <c r="P57" i="5"/>
  <c r="P83" i="5"/>
  <c r="P140" i="5"/>
  <c r="P151" i="5"/>
  <c r="P147" i="5"/>
  <c r="P221" i="5"/>
  <c r="P24" i="5"/>
  <c r="P67" i="5"/>
  <c r="P107" i="5"/>
  <c r="P111" i="5"/>
  <c r="P185" i="5"/>
  <c r="P186" i="5"/>
  <c r="P252" i="5"/>
  <c r="P13" i="5"/>
  <c r="P40" i="5"/>
  <c r="P60" i="5"/>
  <c r="P77" i="5"/>
  <c r="P96" i="5"/>
  <c r="P128" i="5"/>
  <c r="P133" i="5"/>
  <c r="P74" i="5"/>
  <c r="P165" i="5"/>
  <c r="P225" i="5"/>
  <c r="P222" i="5"/>
  <c r="P243" i="5"/>
  <c r="P112" i="5"/>
  <c r="P309" i="5"/>
  <c r="AC309" i="5" s="1"/>
  <c r="P308" i="5"/>
  <c r="P483" i="5"/>
  <c r="P283" i="5"/>
  <c r="P545" i="5"/>
  <c r="P192" i="5"/>
  <c r="P294" i="5"/>
  <c r="P367" i="5"/>
  <c r="P534" i="5"/>
  <c r="P504" i="5"/>
  <c r="P546" i="5"/>
  <c r="P150" i="5"/>
  <c r="P304" i="5"/>
  <c r="P374" i="5"/>
  <c r="P380" i="5"/>
  <c r="P350" i="5"/>
  <c r="AC350" i="5" s="1"/>
  <c r="AE350" i="5" s="1"/>
  <c r="P529" i="5"/>
  <c r="P423" i="5"/>
  <c r="P282" i="5"/>
  <c r="P25" i="5"/>
  <c r="P479" i="5"/>
  <c r="P355" i="5"/>
  <c r="P551" i="5"/>
  <c r="P476" i="5"/>
  <c r="P402" i="5"/>
  <c r="P52" i="5"/>
  <c r="P214" i="5"/>
  <c r="AC214" i="5" s="1"/>
  <c r="AS214" i="5" s="1"/>
  <c r="AT214" i="5" s="1"/>
  <c r="P315" i="5"/>
  <c r="P417" i="5"/>
  <c r="P378" i="5"/>
  <c r="P445" i="5"/>
  <c r="AC445" i="5" s="1"/>
  <c r="AE445" i="5" s="1"/>
  <c r="P441" i="5"/>
  <c r="P91" i="5"/>
  <c r="P160" i="5"/>
  <c r="P259" i="5"/>
  <c r="P306" i="5"/>
  <c r="P288" i="5"/>
  <c r="P258" i="5"/>
  <c r="AC258" i="5" s="1"/>
  <c r="AS258" i="5" s="1"/>
  <c r="P486" i="5"/>
  <c r="P371" i="5"/>
  <c r="P461" i="5"/>
  <c r="P496" i="5"/>
  <c r="P23" i="5"/>
  <c r="P110" i="5"/>
  <c r="P72" i="5"/>
  <c r="AC72" i="5" s="1"/>
  <c r="AD72" i="5" s="1"/>
  <c r="P166" i="5"/>
  <c r="P202" i="5"/>
  <c r="P307" i="5"/>
  <c r="P268" i="5"/>
  <c r="P354" i="5"/>
  <c r="P331" i="5"/>
  <c r="P412" i="5"/>
  <c r="AC412" i="5" s="1"/>
  <c r="AS412" i="5" s="1"/>
  <c r="AT412" i="5" s="1"/>
  <c r="P360" i="5"/>
  <c r="P457" i="5"/>
  <c r="P372" i="5"/>
  <c r="P509" i="5"/>
  <c r="AC509" i="5" s="1"/>
  <c r="AD509" i="5" s="1"/>
  <c r="P507" i="5"/>
  <c r="P501" i="5"/>
  <c r="P336" i="5"/>
  <c r="P399" i="5"/>
  <c r="P361" i="5"/>
  <c r="P319" i="5"/>
  <c r="P303" i="5"/>
  <c r="P213" i="5"/>
  <c r="P240" i="5"/>
  <c r="P129" i="5"/>
  <c r="P59" i="5"/>
  <c r="AC59" i="5" s="1"/>
  <c r="AE59" i="5" s="1"/>
  <c r="P161" i="5"/>
  <c r="P84" i="5"/>
  <c r="P42" i="5"/>
  <c r="P30" i="5"/>
  <c r="P219" i="5"/>
  <c r="P136" i="5"/>
  <c r="P157" i="5"/>
  <c r="P93" i="5"/>
  <c r="P63" i="5"/>
  <c r="P189" i="5"/>
  <c r="P94" i="5"/>
  <c r="P159" i="5"/>
  <c r="P82" i="5"/>
  <c r="P54" i="5"/>
  <c r="P533" i="5"/>
  <c r="P450" i="5"/>
  <c r="P410" i="5"/>
  <c r="P368" i="5"/>
  <c r="P199" i="5"/>
  <c r="P227" i="5"/>
  <c r="P103" i="5"/>
  <c r="P87" i="5"/>
  <c r="P480" i="5"/>
  <c r="P386" i="5"/>
  <c r="P401" i="5"/>
  <c r="P277" i="5"/>
  <c r="AC277" i="5" s="1"/>
  <c r="AE277" i="5" s="1"/>
  <c r="P104" i="5"/>
  <c r="P478" i="5"/>
  <c r="P397" i="5"/>
  <c r="P281" i="5"/>
  <c r="P220" i="5"/>
  <c r="P528" i="5"/>
  <c r="AC528" i="5" s="1"/>
  <c r="AS528" i="5" s="1"/>
  <c r="AT528" i="5" s="1"/>
  <c r="P364" i="5"/>
  <c r="P173" i="5"/>
  <c r="P464" i="5"/>
  <c r="P518" i="5"/>
  <c r="P392" i="5"/>
  <c r="P34" i="5"/>
  <c r="P432" i="5"/>
  <c r="P373" i="5"/>
  <c r="P68" i="5"/>
  <c r="P429" i="5"/>
  <c r="P266" i="5"/>
  <c r="P382" i="5"/>
  <c r="P342" i="5"/>
  <c r="P287" i="5"/>
  <c r="P293" i="5"/>
  <c r="P234" i="5"/>
  <c r="P169" i="5"/>
  <c r="P178" i="5"/>
  <c r="P144" i="5"/>
  <c r="P109" i="5"/>
  <c r="P90" i="5"/>
  <c r="P61" i="5"/>
  <c r="P22" i="5"/>
  <c r="P10" i="5"/>
  <c r="P194" i="5"/>
  <c r="P118" i="5"/>
  <c r="P138" i="5"/>
  <c r="P76" i="5"/>
  <c r="P33" i="5"/>
  <c r="P187" i="5"/>
  <c r="AC187" i="5" s="1"/>
  <c r="AD187" i="5" s="1"/>
  <c r="P175" i="5"/>
  <c r="P114" i="5"/>
  <c r="P75" i="5"/>
  <c r="P35" i="5"/>
  <c r="P516" i="5"/>
  <c r="P407" i="5"/>
  <c r="P390" i="5"/>
  <c r="P347" i="5"/>
  <c r="P295" i="5"/>
  <c r="P212" i="5"/>
  <c r="P31" i="5"/>
  <c r="P71" i="5"/>
  <c r="P543" i="5"/>
  <c r="P520" i="5"/>
  <c r="P338" i="5"/>
  <c r="P200" i="5"/>
  <c r="P70" i="5"/>
  <c r="P494" i="5"/>
  <c r="P370" i="5"/>
  <c r="P197" i="5"/>
  <c r="P317" i="5"/>
  <c r="P554" i="5"/>
  <c r="P446" i="5"/>
  <c r="P274" i="5"/>
  <c r="P559" i="5"/>
  <c r="P449" i="5"/>
  <c r="P279" i="5"/>
  <c r="P19" i="5"/>
  <c r="P444" i="5"/>
  <c r="P322" i="5"/>
  <c r="P420" i="5"/>
  <c r="P143" i="5"/>
  <c r="P244" i="5"/>
  <c r="P548" i="5"/>
  <c r="P395" i="5"/>
  <c r="P542" i="5"/>
  <c r="P475" i="5"/>
  <c r="P38" i="5"/>
  <c r="P365" i="5"/>
  <c r="P182" i="5"/>
  <c r="P251" i="5"/>
  <c r="P257" i="5"/>
  <c r="P425" i="5"/>
  <c r="P241" i="5"/>
  <c r="P452" i="5"/>
  <c r="P502" i="5"/>
  <c r="P558" i="5"/>
  <c r="P535" i="5"/>
  <c r="P433" i="5"/>
  <c r="P69" i="5"/>
  <c r="P210" i="5"/>
  <c r="P310" i="5"/>
  <c r="P332" i="5"/>
  <c r="P328" i="5"/>
  <c r="P359" i="5"/>
  <c r="P495" i="5"/>
  <c r="P447" i="5"/>
  <c r="P527" i="5"/>
  <c r="P473" i="5"/>
  <c r="P541" i="5"/>
  <c r="P499" i="5"/>
  <c r="P400" i="5"/>
  <c r="P349" i="5"/>
  <c r="P231" i="5"/>
  <c r="P512" i="5"/>
  <c r="AC512" i="5" s="1"/>
  <c r="AS512" i="5" s="1"/>
  <c r="AT512" i="5" s="1"/>
  <c r="P560" i="5"/>
  <c r="P531" i="5"/>
  <c r="P348" i="5"/>
  <c r="P188" i="5"/>
  <c r="P85" i="5"/>
  <c r="P485" i="5"/>
  <c r="P458" i="5"/>
  <c r="AC458" i="5" s="1"/>
  <c r="AE458" i="5" s="1"/>
  <c r="P362" i="5"/>
  <c r="P351" i="5"/>
  <c r="P248" i="5"/>
  <c r="P79" i="5"/>
  <c r="P191" i="5"/>
  <c r="P229" i="5"/>
  <c r="P280" i="5"/>
  <c r="P353" i="5"/>
  <c r="P256" i="5"/>
  <c r="P421" i="5"/>
  <c r="P403" i="5"/>
  <c r="P510" i="5"/>
  <c r="P409" i="5"/>
  <c r="P544" i="5"/>
  <c r="P474" i="5"/>
  <c r="P86" i="5"/>
  <c r="P119" i="5"/>
  <c r="P203" i="5"/>
  <c r="P215" i="5"/>
  <c r="P321" i="5"/>
  <c r="P324" i="5"/>
  <c r="P238" i="5"/>
  <c r="P426" i="5"/>
  <c r="P377" i="5"/>
  <c r="P333" i="5"/>
  <c r="P250" i="5"/>
  <c r="P492" i="5"/>
  <c r="P465" i="5"/>
  <c r="P459" i="5"/>
  <c r="P549" i="5"/>
  <c r="P428" i="5"/>
  <c r="P456" i="5"/>
  <c r="P431" i="5"/>
  <c r="P46" i="5"/>
  <c r="P98" i="5"/>
  <c r="P180" i="5"/>
  <c r="P26" i="5"/>
  <c r="P99" i="5"/>
  <c r="P137" i="5"/>
  <c r="P181" i="5"/>
  <c r="P224" i="5"/>
  <c r="P232" i="5"/>
  <c r="P330" i="5"/>
  <c r="P312" i="5"/>
  <c r="P318" i="5"/>
  <c r="B94" i="2"/>
  <c r="B102" i="2" s="1"/>
  <c r="B103" i="2" s="1"/>
  <c r="P311" i="5"/>
  <c r="P413" i="5"/>
  <c r="P341" i="5"/>
  <c r="P327" i="5"/>
  <c r="P254" i="5"/>
  <c r="P278" i="5"/>
  <c r="P320" i="5"/>
  <c r="P253" i="5"/>
  <c r="P134" i="5"/>
  <c r="P174" i="5"/>
  <c r="P207" i="5"/>
  <c r="P177" i="5"/>
  <c r="P164" i="5"/>
  <c r="P162" i="5"/>
  <c r="P117" i="5"/>
  <c r="P146" i="5"/>
  <c r="AC146" i="5" s="1"/>
  <c r="AS146" i="5" s="1"/>
  <c r="AT146" i="5" s="1"/>
  <c r="P81" i="5"/>
  <c r="P88" i="5"/>
  <c r="P62" i="5"/>
  <c r="P73" i="5"/>
  <c r="P41" i="5"/>
  <c r="P9" i="5"/>
  <c r="P12" i="5"/>
  <c r="P204" i="5"/>
  <c r="P184" i="5"/>
  <c r="P126" i="5"/>
  <c r="P172" i="5"/>
  <c r="P145" i="5"/>
  <c r="P106" i="5"/>
  <c r="P51" i="5"/>
  <c r="P65" i="5"/>
  <c r="P48" i="5"/>
  <c r="P156" i="5"/>
  <c r="P196" i="5"/>
  <c r="P176" i="5"/>
  <c r="P155" i="5"/>
  <c r="P122" i="5"/>
  <c r="P102" i="5"/>
  <c r="P56" i="5"/>
  <c r="P47" i="5"/>
  <c r="P27" i="5"/>
  <c r="P553" i="5"/>
  <c r="P552" i="5"/>
  <c r="P491" i="5"/>
  <c r="P385" i="5"/>
  <c r="P439" i="5"/>
  <c r="P493" i="5"/>
  <c r="P438" i="5"/>
  <c r="P369" i="5"/>
  <c r="P269" i="5"/>
  <c r="P384" i="5"/>
  <c r="P291" i="5"/>
  <c r="P383" i="5"/>
  <c r="P337" i="5"/>
  <c r="P286" i="5"/>
  <c r="P296" i="5"/>
  <c r="P242" i="5"/>
  <c r="P113" i="5"/>
  <c r="P149" i="5"/>
  <c r="P53" i="5"/>
  <c r="P135" i="5"/>
  <c r="P39" i="5"/>
  <c r="P468" i="5"/>
  <c r="P537" i="5"/>
  <c r="P511" i="5"/>
  <c r="P481" i="5"/>
  <c r="P437" i="5"/>
  <c r="P467" i="5"/>
  <c r="P357" i="5"/>
  <c r="P358" i="5"/>
  <c r="P379" i="5"/>
  <c r="P273" i="5"/>
  <c r="P298" i="5"/>
  <c r="P209" i="5"/>
  <c r="P158" i="5"/>
  <c r="P49" i="5"/>
  <c r="P524" i="5"/>
  <c r="P448" i="5"/>
  <c r="P489" i="5"/>
  <c r="P352" i="5"/>
  <c r="P339" i="5"/>
  <c r="P314" i="5"/>
  <c r="P305" i="5"/>
  <c r="P228" i="5"/>
  <c r="P55" i="5"/>
  <c r="P326" i="5"/>
  <c r="P415" i="5"/>
  <c r="P532" i="5"/>
  <c r="P462" i="5"/>
  <c r="P245" i="5"/>
  <c r="P235" i="5"/>
  <c r="P460" i="5"/>
  <c r="P557" i="5"/>
  <c r="P285" i="5"/>
  <c r="P394" i="5"/>
  <c r="P356" i="5"/>
  <c r="P391" i="5"/>
  <c r="P503" i="5"/>
  <c r="P498" i="5"/>
  <c r="P470" i="5"/>
  <c r="P406" i="5"/>
  <c r="P292" i="5"/>
  <c r="P255" i="5"/>
  <c r="P153" i="5"/>
  <c r="P519" i="5"/>
  <c r="P500" i="5"/>
  <c r="P472" i="5"/>
  <c r="P490" i="5"/>
  <c r="P405" i="5"/>
  <c r="P264" i="5"/>
  <c r="P300" i="5"/>
  <c r="P130" i="5"/>
  <c r="P505" i="5"/>
  <c r="P487" i="5"/>
  <c r="AC487" i="5" s="1"/>
  <c r="AD487" i="5" s="1"/>
  <c r="P301" i="5"/>
  <c r="P193" i="5"/>
  <c r="B189" i="2"/>
  <c r="B252" i="2" s="1"/>
  <c r="S508" i="5"/>
  <c r="Y59" i="5"/>
  <c r="AA10" i="5"/>
  <c r="X7" i="5"/>
  <c r="Y7" i="5"/>
  <c r="AB7" i="5"/>
  <c r="AA7" i="5"/>
  <c r="Z134" i="4"/>
  <c r="Z71" i="4"/>
  <c r="Z125" i="4"/>
  <c r="Z103" i="4"/>
  <c r="Z93" i="4"/>
  <c r="Z51" i="4"/>
  <c r="Z119" i="4"/>
  <c r="Z115" i="4"/>
  <c r="Z80" i="4"/>
  <c r="Z63" i="4"/>
  <c r="Z28" i="4"/>
  <c r="Z121" i="4"/>
  <c r="Z12" i="4"/>
  <c r="Z27" i="4"/>
  <c r="Z43" i="4"/>
  <c r="Z151" i="4"/>
  <c r="Z127" i="4"/>
  <c r="Z14" i="4"/>
  <c r="Z144" i="4"/>
  <c r="Z11" i="4"/>
  <c r="Z23" i="4"/>
  <c r="Z70" i="4"/>
  <c r="Z36" i="4"/>
  <c r="Z53" i="4"/>
  <c r="Z8" i="4"/>
  <c r="Z35" i="4"/>
  <c r="Z22" i="4"/>
  <c r="Z38" i="4"/>
  <c r="Z78" i="4"/>
  <c r="Z148" i="4"/>
  <c r="Z44" i="4"/>
  <c r="Z141" i="4"/>
  <c r="Z48" i="4"/>
  <c r="Z42" i="4"/>
  <c r="Z101" i="4"/>
  <c r="Z73" i="4"/>
  <c r="Z138" i="4"/>
  <c r="Z86" i="4"/>
  <c r="Z77" i="4"/>
  <c r="X434" i="5"/>
  <c r="X223" i="5"/>
  <c r="X64" i="5"/>
  <c r="X551" i="5"/>
  <c r="Y486" i="5"/>
  <c r="X525" i="5"/>
  <c r="Y154" i="5"/>
  <c r="X515" i="5"/>
  <c r="Y206" i="5"/>
  <c r="Y514" i="5"/>
  <c r="Y266" i="5"/>
  <c r="Y29" i="5"/>
  <c r="Y87" i="5"/>
  <c r="Y252" i="5"/>
  <c r="Y415" i="5"/>
  <c r="X427" i="5"/>
  <c r="Y373" i="5"/>
  <c r="Y216" i="5"/>
  <c r="Y281" i="5"/>
  <c r="X475" i="5"/>
  <c r="X448" i="5"/>
  <c r="Y380" i="5"/>
  <c r="Y396" i="5"/>
  <c r="X560" i="5"/>
  <c r="X557" i="5"/>
  <c r="Y555" i="5"/>
  <c r="Y45" i="5"/>
  <c r="X58" i="5"/>
  <c r="X310" i="5"/>
  <c r="Y337" i="5"/>
  <c r="Y200" i="5"/>
  <c r="X455" i="5"/>
  <c r="X552" i="5"/>
  <c r="Y235" i="5"/>
  <c r="X548" i="5"/>
  <c r="X152" i="5"/>
  <c r="X44" i="5"/>
  <c r="X202" i="5"/>
  <c r="Y410" i="5"/>
  <c r="X540" i="5"/>
  <c r="X125" i="5"/>
  <c r="X160" i="5"/>
  <c r="Y255" i="5"/>
  <c r="Y307" i="5"/>
  <c r="Y318" i="5"/>
  <c r="X528" i="5"/>
  <c r="X547" i="5"/>
  <c r="Y143" i="5"/>
  <c r="X315" i="5"/>
  <c r="Y268" i="5"/>
  <c r="Y343" i="5"/>
  <c r="Y376" i="5"/>
  <c r="Y353" i="5"/>
  <c r="Y365" i="5"/>
  <c r="Y72" i="5"/>
  <c r="Y134" i="5"/>
  <c r="X329" i="5"/>
  <c r="X335" i="5"/>
  <c r="Y186" i="5"/>
  <c r="X546" i="5"/>
  <c r="X27" i="5"/>
  <c r="X508" i="5"/>
  <c r="X472" i="5"/>
  <c r="Y379" i="5"/>
  <c r="Y239" i="5"/>
  <c r="Y467" i="5"/>
  <c r="Y253" i="5"/>
  <c r="Y444" i="5"/>
  <c r="X541" i="5"/>
  <c r="X488" i="5"/>
  <c r="Y440" i="5"/>
  <c r="Y531" i="5"/>
  <c r="AB257" i="5"/>
  <c r="X320" i="5"/>
  <c r="Y107" i="5"/>
  <c r="X498" i="5"/>
  <c r="X484" i="5"/>
  <c r="X115" i="5"/>
  <c r="X301" i="5"/>
  <c r="Y190" i="5"/>
  <c r="X214" i="5"/>
  <c r="X375" i="5"/>
  <c r="X559" i="5"/>
  <c r="AB536" i="5"/>
  <c r="X398" i="5"/>
  <c r="Y339" i="5"/>
  <c r="X536" i="5"/>
  <c r="Y524" i="5"/>
  <c r="Y554" i="5"/>
  <c r="Y99" i="5"/>
  <c r="Y332" i="5"/>
  <c r="Y446" i="5"/>
  <c r="AA241" i="5"/>
  <c r="X132" i="5"/>
  <c r="X243" i="5"/>
  <c r="Y346" i="5"/>
  <c r="Y236" i="5"/>
  <c r="X462" i="5"/>
  <c r="Y181" i="5"/>
  <c r="AA495" i="5"/>
  <c r="X378" i="5"/>
  <c r="Y402" i="5"/>
  <c r="X102" i="5"/>
  <c r="Y158" i="5"/>
  <c r="Y97" i="5"/>
  <c r="X194" i="5"/>
  <c r="X231" i="5"/>
  <c r="Y251" i="5"/>
  <c r="X259" i="5"/>
  <c r="Y361" i="5"/>
  <c r="Y411" i="5"/>
  <c r="X438" i="5"/>
  <c r="Y523" i="5"/>
  <c r="Y500" i="5"/>
  <c r="Y530" i="5"/>
  <c r="Y70" i="5"/>
  <c r="X305" i="5"/>
  <c r="Y407" i="5"/>
  <c r="Y430" i="5"/>
  <c r="X491" i="5"/>
  <c r="X453" i="5"/>
  <c r="Y544" i="5"/>
  <c r="X533" i="5"/>
  <c r="X128" i="5"/>
  <c r="X248" i="5"/>
  <c r="X238" i="5"/>
  <c r="Y308" i="5"/>
  <c r="X328" i="5"/>
  <c r="Y357" i="5"/>
  <c r="Y217" i="5"/>
  <c r="Y456" i="5"/>
  <c r="Y492" i="5"/>
  <c r="AB475" i="5"/>
  <c r="Y421" i="5"/>
  <c r="Y503" i="5"/>
  <c r="X451" i="5"/>
  <c r="X537" i="5"/>
  <c r="X273" i="5"/>
  <c r="X404" i="5"/>
  <c r="Y558" i="5"/>
  <c r="Y385" i="5"/>
  <c r="AB96" i="5"/>
  <c r="Y126" i="5"/>
  <c r="Y277" i="5"/>
  <c r="Y284" i="5"/>
  <c r="Y485" i="5"/>
  <c r="X35" i="5"/>
  <c r="X177" i="5"/>
  <c r="X351" i="5"/>
  <c r="X285" i="5"/>
  <c r="X535" i="5"/>
  <c r="Y502" i="5"/>
  <c r="X534" i="5"/>
  <c r="AA199" i="5"/>
  <c r="X136" i="5"/>
  <c r="Y369" i="5"/>
  <c r="Y545" i="5"/>
  <c r="X474" i="5"/>
  <c r="AB211" i="5"/>
  <c r="AB547" i="5"/>
  <c r="Y41" i="5"/>
  <c r="Y196" i="5"/>
  <c r="X370" i="5"/>
  <c r="Y371" i="5"/>
  <c r="Y487" i="5"/>
  <c r="X441" i="5"/>
  <c r="X468" i="5"/>
  <c r="X549" i="5"/>
  <c r="Y386" i="5"/>
  <c r="X481" i="5"/>
  <c r="X123" i="5"/>
  <c r="Y429" i="5"/>
  <c r="X275" i="5"/>
  <c r="X499" i="5"/>
  <c r="X43" i="5"/>
  <c r="X40" i="5"/>
  <c r="X86" i="5"/>
  <c r="X137" i="5"/>
  <c r="Y246" i="5"/>
  <c r="Y211" i="5"/>
  <c r="Y213" i="5"/>
  <c r="Y345" i="5"/>
  <c r="Y395" i="5"/>
  <c r="X364" i="5"/>
  <c r="Y490" i="5"/>
  <c r="X447" i="5"/>
  <c r="X296" i="5"/>
  <c r="AB26" i="5"/>
  <c r="AA168" i="5"/>
  <c r="AA540" i="5"/>
  <c r="X387" i="5"/>
  <c r="X470" i="5"/>
  <c r="X509" i="5"/>
  <c r="X414" i="5"/>
  <c r="Y464" i="5"/>
  <c r="Y425" i="5"/>
  <c r="AB34" i="5"/>
  <c r="AA547" i="5"/>
  <c r="X96" i="5"/>
  <c r="X227" i="5"/>
  <c r="Y265" i="5"/>
  <c r="X292" i="5"/>
  <c r="Y450" i="5"/>
  <c r="X471" i="5"/>
  <c r="X261" i="5"/>
  <c r="Y418" i="5"/>
  <c r="Y518" i="5"/>
  <c r="X428" i="5"/>
  <c r="Y389" i="5"/>
  <c r="Y454" i="5"/>
  <c r="Y556" i="5"/>
  <c r="X360" i="5"/>
  <c r="X479" i="5"/>
  <c r="Y391" i="5"/>
  <c r="X495" i="5"/>
  <c r="Y76" i="5"/>
  <c r="X31" i="5"/>
  <c r="Y119" i="5"/>
  <c r="Y229" i="5"/>
  <c r="Y354" i="5"/>
  <c r="Y460" i="5"/>
  <c r="Y439" i="5"/>
  <c r="X195" i="5"/>
  <c r="X422" i="5"/>
  <c r="AB35" i="5"/>
  <c r="AA427" i="5"/>
  <c r="X226" i="5"/>
  <c r="X313" i="5"/>
  <c r="Y416" i="5"/>
  <c r="X420" i="5"/>
  <c r="Y423" i="5"/>
  <c r="Y527" i="5"/>
  <c r="X538" i="5"/>
  <c r="X19" i="5"/>
  <c r="AA475" i="5"/>
  <c r="X349" i="5"/>
  <c r="X449" i="5"/>
  <c r="Y436" i="5"/>
  <c r="Y493" i="5"/>
  <c r="Y452" i="5"/>
  <c r="X103" i="5"/>
  <c r="X496" i="5"/>
  <c r="Y417" i="5"/>
  <c r="X507" i="5"/>
  <c r="Y176" i="5"/>
  <c r="Y169" i="5"/>
  <c r="Y180" i="5"/>
  <c r="Y366" i="5"/>
  <c r="Y469" i="5"/>
  <c r="Y480" i="5"/>
  <c r="Y150" i="5"/>
  <c r="X207" i="5"/>
  <c r="X340" i="5"/>
  <c r="Y394" i="5"/>
  <c r="X553" i="5"/>
  <c r="Y397" i="5"/>
  <c r="X465" i="5"/>
  <c r="Y443" i="5"/>
  <c r="Y513" i="5"/>
  <c r="X532" i="5"/>
  <c r="Y147" i="5"/>
  <c r="Y267" i="5"/>
  <c r="Y506" i="5"/>
  <c r="AB19" i="5"/>
  <c r="X431" i="5"/>
  <c r="X435" i="5"/>
  <c r="X85" i="5"/>
  <c r="Y297" i="5"/>
  <c r="X69" i="5"/>
  <c r="X184" i="5"/>
  <c r="Y288" i="5"/>
  <c r="X390" i="5"/>
  <c r="Y466" i="5"/>
  <c r="Y388" i="5"/>
  <c r="X23" i="5"/>
  <c r="Y218" i="5"/>
  <c r="Y287" i="5"/>
  <c r="X289" i="5"/>
  <c r="Y298" i="5"/>
  <c r="X504" i="5"/>
  <c r="Y437" i="5"/>
  <c r="Y458" i="5"/>
  <c r="X458" i="5"/>
  <c r="Y476" i="5"/>
  <c r="X476" i="5"/>
  <c r="Y300" i="5"/>
  <c r="X300" i="5"/>
  <c r="X463" i="5"/>
  <c r="Y463" i="5"/>
  <c r="Y110" i="5"/>
  <c r="X110" i="5"/>
  <c r="X34" i="5"/>
  <c r="X401" i="5"/>
  <c r="Y401" i="5"/>
  <c r="X73" i="5"/>
  <c r="Y66" i="5"/>
  <c r="Y148" i="5"/>
  <c r="Y209" i="5"/>
  <c r="Y323" i="5"/>
  <c r="Y381" i="5"/>
  <c r="X512" i="5"/>
  <c r="X400" i="5"/>
  <c r="X516" i="5"/>
  <c r="X324" i="5"/>
  <c r="AA359" i="5"/>
  <c r="AB359" i="5"/>
  <c r="X49" i="5"/>
  <c r="Y92" i="5"/>
  <c r="X164" i="5"/>
  <c r="Y279" i="5"/>
  <c r="X333" i="5"/>
  <c r="Y412" i="5"/>
  <c r="Y459" i="5"/>
  <c r="Y526" i="5"/>
  <c r="X482" i="5"/>
  <c r="X355" i="5"/>
  <c r="Y494" i="5"/>
  <c r="X442" i="5"/>
  <c r="AB295" i="5"/>
  <c r="AA295" i="5"/>
  <c r="X543" i="5"/>
  <c r="Y543" i="5"/>
  <c r="X290" i="5"/>
  <c r="Y290" i="5"/>
  <c r="Y426" i="5"/>
  <c r="X426" i="5"/>
  <c r="X356" i="5"/>
  <c r="Y356" i="5"/>
  <c r="Y240" i="5"/>
  <c r="X240" i="5"/>
  <c r="Y517" i="5"/>
  <c r="X517" i="5"/>
  <c r="Y473" i="5"/>
  <c r="Y403" i="5"/>
  <c r="X403" i="5"/>
  <c r="Y139" i="5"/>
  <c r="X139" i="5"/>
  <c r="X519" i="5"/>
  <c r="Y519" i="5"/>
  <c r="Y529" i="5"/>
  <c r="X529" i="5"/>
  <c r="Y406" i="5"/>
  <c r="X406" i="5"/>
  <c r="Y319" i="5"/>
  <c r="X319" i="5"/>
  <c r="Y167" i="5"/>
  <c r="X167" i="5"/>
  <c r="Y522" i="5"/>
  <c r="X522" i="5"/>
  <c r="Y511" i="5"/>
  <c r="X511" i="5"/>
  <c r="X510" i="5"/>
  <c r="Y510" i="5"/>
  <c r="X409" i="5"/>
  <c r="Y409" i="5"/>
  <c r="X10" i="5"/>
  <c r="Y10" i="5"/>
  <c r="X283" i="5"/>
  <c r="Y405" i="5"/>
  <c r="Y520" i="5"/>
  <c r="X94" i="5"/>
  <c r="X203" i="5"/>
  <c r="X309" i="5"/>
  <c r="X501" i="5"/>
  <c r="AA43" i="5"/>
  <c r="AB317" i="5"/>
  <c r="AA317" i="5"/>
  <c r="Y201" i="5"/>
  <c r="X201" i="5"/>
  <c r="X149" i="5"/>
  <c r="Y149" i="5"/>
  <c r="AB496" i="5"/>
  <c r="AA244" i="5"/>
  <c r="AB244" i="5"/>
  <c r="Y489" i="5"/>
  <c r="X457" i="5"/>
  <c r="X325" i="5"/>
  <c r="Y269" i="5"/>
  <c r="Y461" i="5"/>
  <c r="Y539" i="5"/>
  <c r="Y521" i="5"/>
  <c r="Y22" i="5"/>
  <c r="Y189" i="5"/>
  <c r="X341" i="5"/>
  <c r="Y433" i="5"/>
  <c r="X372" i="5"/>
  <c r="Y293" i="5"/>
  <c r="X505" i="5"/>
  <c r="X542" i="5"/>
  <c r="AB335" i="5"/>
  <c r="AA364" i="5"/>
  <c r="AA473" i="5"/>
  <c r="AB473" i="5"/>
  <c r="AA489" i="5"/>
  <c r="AB516" i="5"/>
  <c r="AA516" i="5"/>
  <c r="AA542" i="5"/>
  <c r="AB542" i="5"/>
  <c r="AA71" i="5"/>
  <c r="AB71" i="5"/>
  <c r="AA266" i="5"/>
  <c r="AA405" i="5"/>
  <c r="AA557" i="5"/>
  <c r="AB557" i="5"/>
  <c r="X257" i="5"/>
  <c r="Y257" i="5"/>
  <c r="X80" i="5"/>
  <c r="Y80" i="5"/>
  <c r="Y322" i="5"/>
  <c r="X322" i="5"/>
  <c r="Y57" i="5"/>
  <c r="X57" i="5"/>
  <c r="AA470" i="5"/>
  <c r="AA249" i="5"/>
  <c r="AB232" i="5"/>
  <c r="AB554" i="5"/>
  <c r="Y230" i="5"/>
  <c r="X311" i="5"/>
  <c r="AA482" i="5"/>
  <c r="AB555" i="5"/>
  <c r="Y98" i="5"/>
  <c r="AB334" i="5"/>
  <c r="AA374" i="5"/>
  <c r="Y233" i="5"/>
  <c r="Y175" i="5"/>
  <c r="X263" i="5"/>
  <c r="X271" i="5"/>
  <c r="AA58" i="5"/>
  <c r="X210" i="5"/>
  <c r="AA491" i="5"/>
  <c r="X8" i="5"/>
  <c r="Y8" i="5"/>
  <c r="AB442" i="5"/>
  <c r="X306" i="5"/>
  <c r="Y347" i="5"/>
  <c r="AA42" i="5"/>
  <c r="AB160" i="5"/>
  <c r="AB378" i="5"/>
  <c r="X21" i="5"/>
  <c r="X256" i="5"/>
  <c r="X445" i="5"/>
  <c r="X363" i="5"/>
  <c r="Y383" i="5"/>
  <c r="X550" i="5"/>
  <c r="Y477" i="5"/>
  <c r="AB13" i="5"/>
  <c r="AA13" i="5"/>
  <c r="W9" i="5"/>
  <c r="AG9" i="5"/>
  <c r="T9" i="5"/>
  <c r="Z9" i="5"/>
  <c r="AM9" i="5"/>
  <c r="AJ9" i="5"/>
  <c r="X74" i="5"/>
  <c r="Y116" i="5"/>
  <c r="Y172" i="5"/>
  <c r="X225" i="5"/>
  <c r="X260" i="5"/>
  <c r="X302" i="5"/>
  <c r="X377" i="5"/>
  <c r="AB108" i="5"/>
  <c r="AA94" i="5"/>
  <c r="AA206" i="5"/>
  <c r="AB349" i="5"/>
  <c r="Y51" i="5"/>
  <c r="AB97" i="5"/>
  <c r="AA224" i="5"/>
  <c r="Y65" i="5"/>
  <c r="Y171" i="5"/>
  <c r="X367" i="5"/>
  <c r="X393" i="5"/>
  <c r="X497" i="5"/>
  <c r="X478" i="5"/>
  <c r="X483" i="5"/>
  <c r="Y424" i="5"/>
  <c r="X295" i="5"/>
  <c r="AB12" i="5"/>
  <c r="AA12" i="5"/>
  <c r="Y13" i="5"/>
  <c r="X13" i="5"/>
  <c r="AA161" i="5"/>
  <c r="AB279" i="5"/>
  <c r="AA472" i="5"/>
  <c r="AA69" i="5"/>
  <c r="AB105" i="5"/>
  <c r="AA169" i="5"/>
  <c r="AA406" i="5"/>
  <c r="AB258" i="5"/>
  <c r="AA521" i="5"/>
  <c r="Y384" i="5"/>
  <c r="AB308" i="5"/>
  <c r="AA8" i="5"/>
  <c r="AB8" i="5"/>
  <c r="Y12" i="5"/>
  <c r="X12" i="5"/>
  <c r="AR10" i="5"/>
  <c r="AQ10" i="5"/>
  <c r="AA259" i="5"/>
  <c r="AB69" i="5"/>
  <c r="AB110" i="5"/>
  <c r="AB384" i="5"/>
  <c r="AB521" i="5"/>
  <c r="AB560" i="5"/>
  <c r="AA308" i="5"/>
  <c r="AA554" i="5"/>
  <c r="X104" i="5"/>
  <c r="AB22" i="5"/>
  <c r="AA178" i="5"/>
  <c r="Y26" i="5"/>
  <c r="Y142" i="5"/>
  <c r="Y314" i="5"/>
  <c r="AB146" i="5"/>
  <c r="AB106" i="5"/>
  <c r="AA347" i="5"/>
  <c r="X122" i="5"/>
  <c r="X166" i="5"/>
  <c r="AB509" i="5"/>
  <c r="AB488" i="5"/>
  <c r="X108" i="5"/>
  <c r="Y28" i="5"/>
  <c r="X133" i="5"/>
  <c r="X312" i="5"/>
  <c r="Y299" i="5"/>
  <c r="AA550" i="5"/>
  <c r="AB251" i="5"/>
  <c r="X135" i="5"/>
  <c r="X151" i="5"/>
  <c r="Y245" i="5"/>
  <c r="Y264" i="5"/>
  <c r="AB58" i="5"/>
  <c r="AA397" i="5"/>
  <c r="AB470" i="5"/>
  <c r="AA488" i="5"/>
  <c r="X161" i="5"/>
  <c r="Y374" i="5"/>
  <c r="AB322" i="5"/>
  <c r="AA436" i="5"/>
  <c r="AA207" i="5"/>
  <c r="AA536" i="5"/>
  <c r="AA497" i="5"/>
  <c r="AA411" i="5"/>
  <c r="AA189" i="5"/>
  <c r="AB305" i="5"/>
  <c r="AA36" i="5"/>
  <c r="AB486" i="5"/>
  <c r="X222" i="5"/>
  <c r="X348" i="5"/>
  <c r="AB367" i="5"/>
  <c r="AA83" i="5"/>
  <c r="AB148" i="5"/>
  <c r="AA203" i="5"/>
  <c r="AB320" i="5"/>
  <c r="AB455" i="5"/>
  <c r="AA200" i="5"/>
  <c r="AB20" i="5"/>
  <c r="AB291" i="5"/>
  <c r="AA212" i="5"/>
  <c r="AA373" i="5"/>
  <c r="AA442" i="5"/>
  <c r="AB421" i="5"/>
  <c r="AA355" i="5"/>
  <c r="AA487" i="5"/>
  <c r="AA501" i="5"/>
  <c r="AA111" i="5"/>
  <c r="AA248" i="5"/>
  <c r="AB551" i="5"/>
  <c r="AA159" i="5"/>
  <c r="AA412" i="5"/>
  <c r="X304" i="5"/>
  <c r="AA30" i="5"/>
  <c r="AB100" i="5"/>
  <c r="AB250" i="5"/>
  <c r="AB375" i="5"/>
  <c r="AB61" i="5"/>
  <c r="AB94" i="5"/>
  <c r="AB478" i="5"/>
  <c r="AA541" i="5"/>
  <c r="Y37" i="5"/>
  <c r="Y68" i="5"/>
  <c r="Y82" i="5"/>
  <c r="Y205" i="5"/>
  <c r="X368" i="5"/>
  <c r="AA46" i="5"/>
  <c r="AA145" i="5"/>
  <c r="AA370" i="5"/>
  <c r="AA484" i="5"/>
  <c r="AB512" i="5"/>
  <c r="Y197" i="5"/>
  <c r="AB351" i="5"/>
  <c r="AA358" i="5"/>
  <c r="AA478" i="5"/>
  <c r="AB467" i="5"/>
  <c r="AA215" i="5"/>
  <c r="AA279" i="5"/>
  <c r="AA546" i="5"/>
  <c r="X25" i="5"/>
  <c r="Y55" i="5"/>
  <c r="AB206" i="5"/>
  <c r="AA351" i="5"/>
  <c r="AA421" i="5"/>
  <c r="AB355" i="5"/>
  <c r="AA467" i="5"/>
  <c r="AB487" i="5"/>
  <c r="AB472" i="5"/>
  <c r="X124" i="5"/>
  <c r="AA76" i="5"/>
  <c r="AA273" i="5"/>
  <c r="AA375" i="5"/>
  <c r="AB500" i="5"/>
  <c r="AA443" i="5"/>
  <c r="AA512" i="5"/>
  <c r="AB426" i="5"/>
  <c r="AA545" i="5"/>
  <c r="AA349" i="5"/>
  <c r="AB541" i="5"/>
  <c r="AB39" i="5"/>
  <c r="AB395" i="5"/>
  <c r="AB345" i="5"/>
  <c r="AB394" i="5"/>
  <c r="AB462" i="5"/>
  <c r="AB451" i="5"/>
  <c r="X156" i="5"/>
  <c r="X254" i="5"/>
  <c r="X291" i="5"/>
  <c r="AA152" i="5"/>
  <c r="AB207" i="5"/>
  <c r="AB235" i="5"/>
  <c r="AB323" i="5"/>
  <c r="AB363" i="5"/>
  <c r="AB390" i="5"/>
  <c r="AB406" i="5"/>
  <c r="AA391" i="5"/>
  <c r="AB405" i="5"/>
  <c r="AB427" i="5"/>
  <c r="AA560" i="5"/>
  <c r="Y131" i="5"/>
  <c r="AA476" i="5"/>
  <c r="AB497" i="5"/>
  <c r="AB530" i="5"/>
  <c r="AB31" i="5"/>
  <c r="AA140" i="5"/>
  <c r="AA167" i="5"/>
  <c r="AB403" i="5"/>
  <c r="AB520" i="5"/>
  <c r="AB447" i="5"/>
  <c r="AB260" i="5"/>
  <c r="AA493" i="5"/>
  <c r="AA324" i="5"/>
  <c r="AB175" i="5"/>
  <c r="AA175" i="5"/>
  <c r="AB107" i="5"/>
  <c r="AA107" i="5"/>
  <c r="AA72" i="5"/>
  <c r="AB72" i="5"/>
  <c r="AB33" i="5"/>
  <c r="AA33" i="5"/>
  <c r="AA85" i="5"/>
  <c r="AA457" i="5"/>
  <c r="AB457" i="5"/>
  <c r="AA410" i="5"/>
  <c r="AA209" i="5"/>
  <c r="AA65" i="5"/>
  <c r="AB454" i="5"/>
  <c r="AA131" i="5"/>
  <c r="AB298" i="5"/>
  <c r="AB466" i="5"/>
  <c r="AA466" i="5"/>
  <c r="AA342" i="5"/>
  <c r="AB342" i="5"/>
  <c r="AA350" i="5"/>
  <c r="AB350" i="5"/>
  <c r="AA448" i="5"/>
  <c r="AB448" i="5"/>
  <c r="X145" i="5"/>
  <c r="Y145" i="5"/>
  <c r="Y109" i="5"/>
  <c r="X109" i="5"/>
  <c r="X334" i="5"/>
  <c r="Y334" i="5"/>
  <c r="Y219" i="5"/>
  <c r="X219" i="5"/>
  <c r="X163" i="5"/>
  <c r="Y163" i="5"/>
  <c r="AB353" i="5"/>
  <c r="AA428" i="5"/>
  <c r="AA276" i="5"/>
  <c r="AB276" i="5"/>
  <c r="AA559" i="5"/>
  <c r="AB79" i="5"/>
  <c r="AB209" i="5"/>
  <c r="AB270" i="5"/>
  <c r="AB376" i="5"/>
  <c r="AB514" i="5"/>
  <c r="X146" i="5"/>
  <c r="X101" i="5"/>
  <c r="Y274" i="5"/>
  <c r="Y185" i="5"/>
  <c r="Y399" i="5"/>
  <c r="AA151" i="5"/>
  <c r="AA515" i="5"/>
  <c r="X60" i="5"/>
  <c r="X140" i="5"/>
  <c r="AB559" i="5"/>
  <c r="Y61" i="5"/>
  <c r="X316" i="5"/>
  <c r="AB365" i="5"/>
  <c r="AA121" i="5"/>
  <c r="AB121" i="5"/>
  <c r="AB218" i="5"/>
  <c r="AB45" i="5"/>
  <c r="AA283" i="5"/>
  <c r="AA336" i="5"/>
  <c r="AB336" i="5"/>
  <c r="AA449" i="5"/>
  <c r="AB449" i="5"/>
  <c r="AA354" i="5"/>
  <c r="AA524" i="5"/>
  <c r="AB524" i="5"/>
  <c r="AA533" i="5"/>
  <c r="AB494" i="5"/>
  <c r="AB103" i="5"/>
  <c r="AA29" i="5"/>
  <c r="AB247" i="5"/>
  <c r="AA247" i="5"/>
  <c r="AB205" i="5"/>
  <c r="AA205" i="5"/>
  <c r="AB461" i="5"/>
  <c r="AB433" i="5"/>
  <c r="AA433" i="5"/>
  <c r="AA523" i="5"/>
  <c r="AB523" i="5"/>
  <c r="AB328" i="5"/>
  <c r="Y392" i="5"/>
  <c r="X392" i="5"/>
  <c r="Y270" i="5"/>
  <c r="X270" i="5"/>
  <c r="Y262" i="5"/>
  <c r="X262" i="5"/>
  <c r="Y204" i="5"/>
  <c r="X204" i="5"/>
  <c r="Y174" i="5"/>
  <c r="X174" i="5"/>
  <c r="X144" i="5"/>
  <c r="Y144" i="5"/>
  <c r="X138" i="5"/>
  <c r="Y138" i="5"/>
  <c r="X56" i="5"/>
  <c r="Y56" i="5"/>
  <c r="Y338" i="5"/>
  <c r="X338" i="5"/>
  <c r="Y62" i="5"/>
  <c r="X62" i="5"/>
  <c r="X71" i="5"/>
  <c r="AA434" i="5"/>
  <c r="X130" i="5"/>
  <c r="Y130" i="5"/>
  <c r="AB64" i="5"/>
  <c r="AA64" i="5"/>
  <c r="AB372" i="5"/>
  <c r="AA372" i="5"/>
  <c r="AB85" i="5"/>
  <c r="AB186" i="5"/>
  <c r="AB233" i="5"/>
  <c r="AA188" i="5"/>
  <c r="AA223" i="5"/>
  <c r="AB283" i="5"/>
  <c r="AA360" i="5"/>
  <c r="AA376" i="5"/>
  <c r="AB498" i="5"/>
  <c r="Y71" i="5"/>
  <c r="Y84" i="5"/>
  <c r="X272" i="5"/>
  <c r="Y330" i="5"/>
  <c r="AB131" i="5"/>
  <c r="AB193" i="5"/>
  <c r="AA414" i="5"/>
  <c r="AB468" i="5"/>
  <c r="AA90" i="5"/>
  <c r="AB428" i="5"/>
  <c r="AB43" i="5"/>
  <c r="AA148" i="5"/>
  <c r="AB223" i="5"/>
  <c r="AB321" i="5"/>
  <c r="AB411" i="5"/>
  <c r="AB360" i="5"/>
  <c r="AA251" i="5"/>
  <c r="AA498" i="5"/>
  <c r="AA396" i="5"/>
  <c r="AB479" i="5"/>
  <c r="AB410" i="5"/>
  <c r="AA494" i="5"/>
  <c r="AA553" i="5"/>
  <c r="AB533" i="5"/>
  <c r="X46" i="5"/>
  <c r="Y90" i="5"/>
  <c r="X170" i="5"/>
  <c r="X212" i="5"/>
  <c r="AB312" i="5"/>
  <c r="AA423" i="5"/>
  <c r="AA461" i="5"/>
  <c r="X165" i="5"/>
  <c r="AB430" i="5"/>
  <c r="AA430" i="5"/>
  <c r="AA332" i="5"/>
  <c r="AB332" i="5"/>
  <c r="AB315" i="5"/>
  <c r="AB269" i="5"/>
  <c r="AA219" i="5"/>
  <c r="AA127" i="5"/>
  <c r="AB127" i="5"/>
  <c r="AA75" i="5"/>
  <c r="AB75" i="5"/>
  <c r="AA339" i="5"/>
  <c r="AA329" i="5"/>
  <c r="AB329" i="5"/>
  <c r="AA285" i="5"/>
  <c r="AB285" i="5"/>
  <c r="AA231" i="5"/>
  <c r="AB231" i="5"/>
  <c r="AA191" i="5"/>
  <c r="AB191" i="5"/>
  <c r="AB115" i="5"/>
  <c r="AA115" i="5"/>
  <c r="AB154" i="5"/>
  <c r="AA154" i="5"/>
  <c r="AA89" i="5"/>
  <c r="AB89" i="5"/>
  <c r="AA54" i="5"/>
  <c r="AB54" i="5"/>
  <c r="AB48" i="5"/>
  <c r="AA48" i="5"/>
  <c r="AB483" i="5"/>
  <c r="AA558" i="5"/>
  <c r="AB510" i="5"/>
  <c r="AA506" i="5"/>
  <c r="AB506" i="5"/>
  <c r="AA507" i="5"/>
  <c r="AB507" i="5"/>
  <c r="AB452" i="5"/>
  <c r="AA385" i="5"/>
  <c r="AA268" i="5"/>
  <c r="AB268" i="5"/>
  <c r="AB132" i="5"/>
  <c r="AB129" i="5"/>
  <c r="AA129" i="5"/>
  <c r="AA458" i="5"/>
  <c r="AB458" i="5"/>
  <c r="AA465" i="5"/>
  <c r="AB465" i="5"/>
  <c r="AB477" i="5"/>
  <c r="AA477" i="5"/>
  <c r="AA356" i="5"/>
  <c r="AB435" i="5"/>
  <c r="AA435" i="5"/>
  <c r="AA326" i="5"/>
  <c r="AB326" i="5"/>
  <c r="AA228" i="5"/>
  <c r="AB228" i="5"/>
  <c r="AA99" i="5"/>
  <c r="AB99" i="5"/>
  <c r="AB88" i="5"/>
  <c r="AA88" i="5"/>
  <c r="AA47" i="5"/>
  <c r="AB47" i="5"/>
  <c r="AB313" i="5"/>
  <c r="AA313" i="5"/>
  <c r="AA538" i="5"/>
  <c r="AB538" i="5"/>
  <c r="X342" i="5"/>
  <c r="Y342" i="5"/>
  <c r="X250" i="5"/>
  <c r="Y250" i="5"/>
  <c r="Y192" i="5"/>
  <c r="X192" i="5"/>
  <c r="Y228" i="5"/>
  <c r="X228" i="5"/>
  <c r="X173" i="5"/>
  <c r="Y173" i="5"/>
  <c r="Y153" i="5"/>
  <c r="X153" i="5"/>
  <c r="Y78" i="5"/>
  <c r="X78" i="5"/>
  <c r="Y413" i="5"/>
  <c r="X413" i="5"/>
  <c r="X336" i="5"/>
  <c r="Y336" i="5"/>
  <c r="X232" i="5"/>
  <c r="Y215" i="5"/>
  <c r="X215" i="5"/>
  <c r="X188" i="5"/>
  <c r="Y188" i="5"/>
  <c r="X155" i="5"/>
  <c r="Y155" i="5"/>
  <c r="X159" i="5"/>
  <c r="Y159" i="5"/>
  <c r="Y88" i="5"/>
  <c r="X88" i="5"/>
  <c r="Y52" i="5"/>
  <c r="X52" i="5"/>
  <c r="X20" i="5"/>
  <c r="Y20" i="5"/>
  <c r="AA382" i="5"/>
  <c r="AB382" i="5"/>
  <c r="Y39" i="5"/>
  <c r="Y95" i="5"/>
  <c r="X95" i="5"/>
  <c r="X179" i="5"/>
  <c r="Y179" i="5"/>
  <c r="AB296" i="5"/>
  <c r="AA480" i="5"/>
  <c r="AB480" i="5"/>
  <c r="AA534" i="5"/>
  <c r="AB534" i="5"/>
  <c r="AA132" i="5"/>
  <c r="AB289" i="5"/>
  <c r="AA510" i="5"/>
  <c r="X32" i="5"/>
  <c r="X117" i="5"/>
  <c r="Y237" i="5"/>
  <c r="Y232" i="5"/>
  <c r="Y221" i="5"/>
  <c r="Y258" i="5"/>
  <c r="X350" i="5"/>
  <c r="AB339" i="5"/>
  <c r="AB219" i="5"/>
  <c r="AB70" i="5"/>
  <c r="AA118" i="5"/>
  <c r="AB271" i="5"/>
  <c r="AA289" i="5"/>
  <c r="AB325" i="5"/>
  <c r="AB558" i="5"/>
  <c r="AA296" i="5"/>
  <c r="X36" i="5"/>
  <c r="Y157" i="5"/>
  <c r="AB379" i="5"/>
  <c r="AB282" i="5"/>
  <c r="AA282" i="5"/>
  <c r="AA262" i="5"/>
  <c r="AB227" i="5"/>
  <c r="AA112" i="5"/>
  <c r="AB112" i="5"/>
  <c r="AA116" i="5"/>
  <c r="AA50" i="5"/>
  <c r="AB50" i="5"/>
  <c r="AB21" i="5"/>
  <c r="AA21" i="5"/>
  <c r="AA471" i="5"/>
  <c r="AA517" i="5"/>
  <c r="AB517" i="5"/>
  <c r="AB340" i="5"/>
  <c r="AA340" i="5"/>
  <c r="AA441" i="5"/>
  <c r="AB444" i="5"/>
  <c r="AA380" i="5"/>
  <c r="AB380" i="5"/>
  <c r="AA239" i="5"/>
  <c r="AB239" i="5"/>
  <c r="AB177" i="5"/>
  <c r="AB539" i="5"/>
  <c r="AA539" i="5"/>
  <c r="AA327" i="5"/>
  <c r="AB327" i="5"/>
  <c r="AA341" i="5"/>
  <c r="AB420" i="5"/>
  <c r="AA420" i="5"/>
  <c r="AA408" i="5"/>
  <c r="AB408" i="5"/>
  <c r="AB337" i="5"/>
  <c r="AA281" i="5"/>
  <c r="AB281" i="5"/>
  <c r="AA190" i="5"/>
  <c r="AA53" i="5"/>
  <c r="AB53" i="5"/>
  <c r="AB150" i="5"/>
  <c r="AA401" i="5"/>
  <c r="AA464" i="5"/>
  <c r="AB464" i="5"/>
  <c r="X408" i="5"/>
  <c r="Y331" i="5"/>
  <c r="X331" i="5"/>
  <c r="Y278" i="5"/>
  <c r="X278" i="5"/>
  <c r="Y208" i="5"/>
  <c r="X208" i="5"/>
  <c r="X182" i="5"/>
  <c r="Y182" i="5"/>
  <c r="Y111" i="5"/>
  <c r="X111" i="5"/>
  <c r="Y89" i="5"/>
  <c r="X89" i="5"/>
  <c r="X67" i="5"/>
  <c r="Y67" i="5"/>
  <c r="Y282" i="5"/>
  <c r="X282" i="5"/>
  <c r="X286" i="5"/>
  <c r="Y286" i="5"/>
  <c r="X178" i="5"/>
  <c r="AA136" i="5"/>
  <c r="AA549" i="5"/>
  <c r="Y79" i="5"/>
  <c r="X79" i="5"/>
  <c r="X118" i="5"/>
  <c r="X241" i="5"/>
  <c r="Y241" i="5"/>
  <c r="AA381" i="5"/>
  <c r="AB381" i="5"/>
  <c r="AB229" i="5"/>
  <c r="AA424" i="5"/>
  <c r="AB424" i="5"/>
  <c r="AA70" i="5"/>
  <c r="AA303" i="5"/>
  <c r="AA394" i="5"/>
  <c r="Y75" i="5"/>
  <c r="Y93" i="5"/>
  <c r="Y352" i="5"/>
  <c r="AA177" i="5"/>
  <c r="AB385" i="5"/>
  <c r="AA452" i="5"/>
  <c r="AB441" i="5"/>
  <c r="AA153" i="5"/>
  <c r="AB190" i="5"/>
  <c r="AA229" i="5"/>
  <c r="X39" i="5"/>
  <c r="AB116" i="5"/>
  <c r="AA227" i="5"/>
  <c r="AB401" i="5"/>
  <c r="X24" i="5"/>
  <c r="X280" i="5"/>
  <c r="AA38" i="5"/>
  <c r="AB356" i="5"/>
  <c r="AA481" i="5"/>
  <c r="AA463" i="5"/>
  <c r="AB463" i="5"/>
  <c r="AA532" i="5"/>
  <c r="AB532" i="5"/>
  <c r="Y321" i="5"/>
  <c r="X327" i="5"/>
  <c r="Y193" i="5"/>
  <c r="X193" i="5"/>
  <c r="Y198" i="5"/>
  <c r="X198" i="5"/>
  <c r="X83" i="5"/>
  <c r="Y83" i="5"/>
  <c r="Y38" i="5"/>
  <c r="X38" i="5"/>
  <c r="AB128" i="5"/>
  <c r="AA186" i="5"/>
  <c r="AB187" i="5"/>
  <c r="AA496" i="5"/>
  <c r="Y46" i="5"/>
  <c r="AA272" i="5"/>
  <c r="AA353" i="5"/>
  <c r="Y81" i="5"/>
  <c r="AA504" i="5"/>
  <c r="Y326" i="5"/>
  <c r="X303" i="5"/>
  <c r="AB434" i="5"/>
  <c r="AA499" i="5"/>
  <c r="AA526" i="5"/>
  <c r="AA422" i="5"/>
  <c r="AA366" i="5"/>
  <c r="AA460" i="5"/>
  <c r="AB460" i="5"/>
  <c r="AB456" i="5"/>
  <c r="AA456" i="5"/>
  <c r="AB208" i="5"/>
  <c r="AB202" i="5"/>
  <c r="AB27" i="5"/>
  <c r="AA27" i="5"/>
  <c r="AB425" i="5"/>
  <c r="AA425" i="5"/>
  <c r="AB309" i="5"/>
  <c r="AB453" i="5"/>
  <c r="AA246" i="5"/>
  <c r="AA535" i="5"/>
  <c r="AA485" i="5"/>
  <c r="Y162" i="5"/>
  <c r="Y47" i="5"/>
  <c r="X317" i="5"/>
  <c r="Y48" i="5"/>
  <c r="Y112" i="5"/>
  <c r="AA543" i="5"/>
  <c r="AA44" i="5"/>
  <c r="AB182" i="5"/>
  <c r="AB501" i="5"/>
  <c r="AB76" i="5"/>
  <c r="AA162" i="5"/>
  <c r="AA413" i="5"/>
  <c r="AB543" i="5"/>
  <c r="Y53" i="5"/>
  <c r="X191" i="5"/>
  <c r="AA275" i="5"/>
  <c r="AB535" i="5"/>
  <c r="Y127" i="5"/>
  <c r="Y359" i="5"/>
  <c r="AA208" i="5"/>
  <c r="AB550" i="5"/>
  <c r="AA84" i="5"/>
  <c r="AA172" i="5"/>
  <c r="AB348" i="5"/>
  <c r="AB527" i="5"/>
  <c r="AA23" i="5"/>
  <c r="AB548" i="5"/>
  <c r="AB393" i="5"/>
  <c r="AA393" i="5"/>
  <c r="AA318" i="5"/>
  <c r="AB318" i="5"/>
  <c r="AB174" i="5"/>
  <c r="AA77" i="5"/>
  <c r="AB77" i="5"/>
  <c r="AB138" i="5"/>
  <c r="AA438" i="5"/>
  <c r="AB52" i="5"/>
  <c r="AB278" i="5"/>
  <c r="Y30" i="5"/>
  <c r="Y77" i="5"/>
  <c r="X382" i="5"/>
  <c r="AB169" i="5"/>
  <c r="X91" i="5"/>
  <c r="X112" i="5"/>
  <c r="AB324" i="5"/>
  <c r="AA365" i="5"/>
  <c r="AB415" i="5"/>
  <c r="X114" i="5"/>
  <c r="Y187" i="5"/>
  <c r="Y234" i="5"/>
  <c r="AA202" i="5"/>
  <c r="AA310" i="5"/>
  <c r="AA492" i="5"/>
  <c r="AA407" i="5"/>
  <c r="AB485" i="5"/>
  <c r="AA331" i="5"/>
  <c r="AA216" i="5"/>
  <c r="AA525" i="5"/>
  <c r="X362" i="5"/>
  <c r="Y362" i="5"/>
  <c r="Y358" i="5"/>
  <c r="X276" i="5"/>
  <c r="Y276" i="5"/>
  <c r="X242" i="5"/>
  <c r="Y242" i="5"/>
  <c r="Y244" i="5"/>
  <c r="Y183" i="5"/>
  <c r="X183" i="5"/>
  <c r="X100" i="5"/>
  <c r="Y100" i="5"/>
  <c r="X42" i="5"/>
  <c r="Y42" i="5"/>
  <c r="AA502" i="5"/>
  <c r="X50" i="5"/>
  <c r="Y168" i="5"/>
  <c r="AA120" i="5"/>
  <c r="AB216" i="5"/>
  <c r="Y33" i="5"/>
  <c r="AB502" i="5"/>
  <c r="Y249" i="5"/>
  <c r="AA357" i="5"/>
  <c r="AB343" i="5"/>
  <c r="AA265" i="5"/>
  <c r="AB293" i="5"/>
  <c r="AA293" i="5"/>
  <c r="AB256" i="5"/>
  <c r="AA256" i="5"/>
  <c r="AB196" i="5"/>
  <c r="AB141" i="5"/>
  <c r="AA135" i="5"/>
  <c r="AB135" i="5"/>
  <c r="AA93" i="5"/>
  <c r="AA55" i="5"/>
  <c r="AB214" i="5"/>
  <c r="AA113" i="5"/>
  <c r="AB147" i="5"/>
  <c r="AB362" i="5"/>
  <c r="AA362" i="5"/>
  <c r="AA519" i="5"/>
  <c r="AB537" i="5"/>
  <c r="AA537" i="5"/>
  <c r="AA400" i="5"/>
  <c r="AB400" i="5"/>
  <c r="AB344" i="5"/>
  <c r="AA344" i="5"/>
  <c r="AB392" i="5"/>
  <c r="AA392" i="5"/>
  <c r="AA284" i="5"/>
  <c r="AA194" i="5"/>
  <c r="AA87" i="5"/>
  <c r="AB73" i="5"/>
  <c r="AB144" i="5"/>
  <c r="AA261" i="5"/>
  <c r="AB399" i="5"/>
  <c r="AA513" i="5"/>
  <c r="Y344" i="5"/>
  <c r="X344" i="5"/>
  <c r="X294" i="5"/>
  <c r="Y294" i="5"/>
  <c r="X199" i="5"/>
  <c r="Y199" i="5"/>
  <c r="Y113" i="5"/>
  <c r="X113" i="5"/>
  <c r="X54" i="5"/>
  <c r="Y54" i="5"/>
  <c r="AA371" i="5"/>
  <c r="Y106" i="5"/>
  <c r="AA552" i="5"/>
  <c r="AB552" i="5"/>
  <c r="AB210" i="5"/>
  <c r="AB513" i="5"/>
  <c r="X168" i="5"/>
  <c r="AB371" i="5"/>
  <c r="X120" i="5"/>
  <c r="AA418" i="5"/>
  <c r="AB418" i="5"/>
  <c r="AB319" i="5"/>
  <c r="AA319" i="5"/>
  <c r="AA230" i="5"/>
  <c r="AB230" i="5"/>
  <c r="AA180" i="5"/>
  <c r="AB180" i="5"/>
  <c r="AB102" i="5"/>
  <c r="AB62" i="5"/>
  <c r="AA62" i="5"/>
  <c r="AB41" i="5"/>
  <c r="AA41" i="5"/>
  <c r="AB236" i="5"/>
  <c r="AB157" i="5"/>
  <c r="AA445" i="5"/>
  <c r="AA104" i="5"/>
  <c r="AA431" i="5"/>
  <c r="AB396" i="5"/>
  <c r="AA479" i="5"/>
  <c r="AB553" i="5"/>
  <c r="Y105" i="5"/>
  <c r="Y121" i="5"/>
  <c r="X247" i="5"/>
  <c r="X224" i="5"/>
  <c r="X129" i="5"/>
  <c r="X432" i="5"/>
  <c r="AA210" i="5"/>
  <c r="AB525" i="5"/>
  <c r="AB515" i="5"/>
  <c r="Y141" i="5"/>
  <c r="AB113" i="5"/>
  <c r="AA218" i="5"/>
  <c r="AA264" i="5"/>
  <c r="AA309" i="5"/>
  <c r="AA274" i="5"/>
  <c r="AB445" i="5"/>
  <c r="AB354" i="5"/>
  <c r="Y63" i="5"/>
  <c r="Y220" i="5"/>
  <c r="Y419" i="5"/>
  <c r="AA196" i="5"/>
  <c r="AB310" i="5"/>
  <c r="AB357" i="5"/>
  <c r="AA454" i="5"/>
  <c r="AB519" i="5"/>
  <c r="AB490" i="5"/>
  <c r="AA490" i="5"/>
  <c r="AB528" i="5"/>
  <c r="AA234" i="5"/>
  <c r="AB173" i="5"/>
  <c r="AB117" i="5"/>
  <c r="AA254" i="5"/>
  <c r="AA238" i="5"/>
  <c r="AB238" i="5"/>
  <c r="AA164" i="5"/>
  <c r="AB226" i="5"/>
  <c r="AA514" i="5"/>
  <c r="AB137" i="5"/>
  <c r="AA328" i="5"/>
  <c r="AB23" i="5"/>
  <c r="AA114" i="5"/>
  <c r="AB213" i="5"/>
  <c r="AA163" i="5"/>
  <c r="AB254" i="5"/>
  <c r="AB297" i="5"/>
  <c r="AB474" i="5"/>
  <c r="AA383" i="5"/>
  <c r="AA369" i="5"/>
  <c r="AA277" i="5"/>
  <c r="AB165" i="5"/>
  <c r="AA240" i="5"/>
  <c r="AB170" i="5"/>
  <c r="AB158" i="5"/>
  <c r="AB92" i="5"/>
  <c r="AA51" i="5"/>
  <c r="AA439" i="5"/>
  <c r="AA252" i="5"/>
  <c r="AA171" i="5"/>
  <c r="AA287" i="5"/>
  <c r="AA267" i="5"/>
  <c r="AA126" i="5"/>
  <c r="AA67" i="5"/>
  <c r="AB179" i="5"/>
  <c r="AA531" i="5"/>
  <c r="AA529" i="5"/>
  <c r="AA245" i="5"/>
  <c r="AA66" i="5"/>
  <c r="AA226" i="5"/>
  <c r="AB245" i="5"/>
  <c r="AB306" i="5"/>
  <c r="AA137" i="5"/>
  <c r="AB446" i="5"/>
  <c r="AA409" i="5"/>
  <c r="AB74" i="5"/>
  <c r="AB163" i="5"/>
  <c r="AB300" i="5"/>
  <c r="AA379" i="5"/>
  <c r="AA286" i="5"/>
  <c r="AA398" i="5"/>
  <c r="AB531" i="5"/>
  <c r="AA469" i="5"/>
  <c r="AB40" i="5"/>
  <c r="AA158" i="5"/>
  <c r="AB185" i="5"/>
  <c r="AA173" i="5"/>
  <c r="AA165" i="5"/>
  <c r="AA315" i="5"/>
  <c r="AB287" i="5"/>
  <c r="AB522" i="5"/>
  <c r="AA450" i="5"/>
  <c r="AB450" i="5"/>
  <c r="AA459" i="5"/>
  <c r="AB459" i="5"/>
  <c r="AA28" i="5"/>
  <c r="AA402" i="5"/>
  <c r="AB402" i="5"/>
  <c r="AB59" i="5"/>
  <c r="AB66" i="5"/>
  <c r="AB95" i="5"/>
  <c r="AA128" i="5"/>
  <c r="AA306" i="5"/>
  <c r="AB272" i="5"/>
  <c r="AA446" i="5"/>
  <c r="AB438" i="5"/>
  <c r="AB409" i="5"/>
  <c r="AB68" i="5"/>
  <c r="AB139" i="5"/>
  <c r="AA300" i="5"/>
  <c r="AA511" i="5"/>
  <c r="AA518" i="5"/>
  <c r="AA81" i="5"/>
  <c r="AA149" i="5"/>
  <c r="AB124" i="5"/>
  <c r="AA220" i="5"/>
  <c r="AA269" i="5"/>
  <c r="AB267" i="5"/>
  <c r="AA56" i="5"/>
  <c r="AB122" i="5"/>
  <c r="AB221" i="5"/>
  <c r="AA304" i="5"/>
  <c r="AB416" i="5"/>
  <c r="AB299" i="5"/>
  <c r="AA299" i="5"/>
  <c r="AB387" i="5"/>
  <c r="AB386" i="5"/>
  <c r="AA386" i="5"/>
  <c r="AA544" i="5"/>
  <c r="AA301" i="5"/>
  <c r="AB217" i="5"/>
  <c r="AA142" i="5"/>
  <c r="AB119" i="5"/>
  <c r="AB86" i="5"/>
  <c r="AB352" i="5"/>
  <c r="AA333" i="5"/>
  <c r="AB263" i="5"/>
  <c r="AB201" i="5"/>
  <c r="AB225" i="5"/>
  <c r="AB78" i="5"/>
  <c r="AB24" i="5"/>
  <c r="AB109" i="5"/>
  <c r="AB370" i="5"/>
  <c r="AA378" i="5"/>
  <c r="AA500" i="5"/>
  <c r="AB484" i="5"/>
  <c r="AB471" i="5"/>
  <c r="AA483" i="5"/>
  <c r="AB366" i="5"/>
  <c r="AB492" i="5"/>
  <c r="AB493" i="5"/>
  <c r="AB526" i="5"/>
  <c r="AB389" i="5"/>
  <c r="AB556" i="5"/>
  <c r="AA556" i="5"/>
  <c r="AA316" i="5"/>
  <c r="AB316" i="5"/>
  <c r="AA508" i="5"/>
  <c r="AB508" i="5"/>
  <c r="AA429" i="5"/>
  <c r="AB429" i="5"/>
  <c r="AB503" i="5"/>
  <c r="AA503" i="5"/>
  <c r="AA432" i="5"/>
  <c r="AB432" i="5"/>
  <c r="AB505" i="5"/>
  <c r="AA505" i="5"/>
  <c r="AA437" i="5"/>
  <c r="AB437" i="5"/>
  <c r="AA388" i="5"/>
  <c r="AB388" i="5"/>
  <c r="AA311" i="5"/>
  <c r="AB311" i="5"/>
  <c r="AA377" i="5"/>
  <c r="AB377" i="5"/>
  <c r="AA60" i="5"/>
  <c r="AA204" i="5"/>
  <c r="AB259" i="5"/>
  <c r="AA294" i="5"/>
  <c r="AA320" i="5"/>
  <c r="AA395" i="5"/>
  <c r="AA345" i="5"/>
  <c r="AA462" i="5"/>
  <c r="AB189" i="5"/>
  <c r="AA455" i="5"/>
  <c r="AA520" i="5"/>
  <c r="AA530" i="5"/>
  <c r="AB368" i="5"/>
  <c r="AA447" i="5"/>
  <c r="AA35" i="5"/>
  <c r="AA97" i="5"/>
  <c r="AB130" i="5"/>
  <c r="AA222" i="5"/>
  <c r="AA338" i="5"/>
  <c r="AB419" i="5"/>
  <c r="AA367" i="5"/>
  <c r="AA548" i="5"/>
  <c r="AA440" i="5"/>
  <c r="AB440" i="5"/>
  <c r="AB346" i="5"/>
  <c r="AA346" i="5"/>
  <c r="AA330" i="5"/>
  <c r="AB330" i="5"/>
  <c r="AA288" i="5"/>
  <c r="AB288" i="5"/>
  <c r="AB237" i="5"/>
  <c r="AA237" i="5"/>
  <c r="AA192" i="5"/>
  <c r="AB192" i="5"/>
  <c r="AB143" i="5"/>
  <c r="AA143" i="5"/>
  <c r="AB155" i="5"/>
  <c r="AA155" i="5"/>
  <c r="AB101" i="5"/>
  <c r="AA101" i="5"/>
  <c r="AB57" i="5"/>
  <c r="AA57" i="5"/>
  <c r="AA49" i="5"/>
  <c r="AB49" i="5"/>
  <c r="AB361" i="5"/>
  <c r="AB181" i="5"/>
  <c r="AB123" i="5"/>
  <c r="AA80" i="5"/>
  <c r="AA37" i="5"/>
  <c r="AA24" i="5"/>
  <c r="AA78" i="5"/>
  <c r="AB91" i="5"/>
  <c r="AB98" i="5"/>
  <c r="AB133" i="5"/>
  <c r="AA134" i="5"/>
  <c r="AA156" i="5"/>
  <c r="AA176" i="5"/>
  <c r="AA195" i="5"/>
  <c r="AA225" i="5"/>
  <c r="AA197" i="5"/>
  <c r="AA201" i="5"/>
  <c r="AB253" i="5"/>
  <c r="AB307" i="5"/>
  <c r="AB290" i="5"/>
  <c r="AA263" i="5"/>
  <c r="AB314" i="5"/>
  <c r="AB333" i="5"/>
  <c r="AA417" i="5"/>
  <c r="AA352" i="5"/>
  <c r="AA25" i="5"/>
  <c r="AA63" i="5"/>
  <c r="AB32" i="5"/>
  <c r="AA82" i="5"/>
  <c r="AA86" i="5"/>
  <c r="AA125" i="5"/>
  <c r="AA119" i="5"/>
  <c r="AB142" i="5"/>
  <c r="AA166" i="5"/>
  <c r="AA183" i="5"/>
  <c r="AA217" i="5"/>
  <c r="AA184" i="5"/>
  <c r="AB198" i="5"/>
  <c r="AB242" i="5"/>
  <c r="AB302" i="5"/>
  <c r="AB280" i="5"/>
  <c r="AA255" i="5"/>
  <c r="AB301" i="5"/>
  <c r="AA243" i="5"/>
  <c r="AB404" i="5"/>
  <c r="AB292" i="5"/>
  <c r="AB37" i="5"/>
  <c r="AB134" i="5"/>
  <c r="AB156" i="5"/>
  <c r="AB195" i="5"/>
  <c r="AA253" i="5"/>
  <c r="AA290" i="5"/>
  <c r="AB417" i="5"/>
  <c r="AB183" i="5"/>
  <c r="AA198" i="5"/>
  <c r="AC186" i="5" l="1"/>
  <c r="AE186" i="5" s="1"/>
  <c r="AC260" i="5"/>
  <c r="AS260" i="5" s="1"/>
  <c r="AU260" i="5" s="1"/>
  <c r="AC362" i="5"/>
  <c r="AC513" i="5"/>
  <c r="AE513" i="5" s="1"/>
  <c r="AC372" i="5"/>
  <c r="AS372" i="5" s="1"/>
  <c r="AT372" i="5" s="1"/>
  <c r="AC77" i="5"/>
  <c r="AD77" i="5" s="1"/>
  <c r="AC124" i="5"/>
  <c r="AD124" i="5" s="1"/>
  <c r="AC453" i="5"/>
  <c r="AE453" i="5" s="1"/>
  <c r="AC454" i="5"/>
  <c r="AS454" i="5" s="1"/>
  <c r="AU454" i="5" s="1"/>
  <c r="AC245" i="5"/>
  <c r="AC126" i="5"/>
  <c r="AS126" i="5" s="1"/>
  <c r="AC142" i="5"/>
  <c r="AS142" i="5" s="1"/>
  <c r="AT142" i="5" s="1"/>
  <c r="AC447" i="5"/>
  <c r="AS447" i="5" s="1"/>
  <c r="AT447" i="5" s="1"/>
  <c r="AC34" i="5"/>
  <c r="AD34" i="5" s="1"/>
  <c r="AC534" i="5"/>
  <c r="AD534" i="5" s="1"/>
  <c r="AC440" i="10"/>
  <c r="AD440" i="10" s="1"/>
  <c r="AC121" i="5"/>
  <c r="AD121" i="5" s="1"/>
  <c r="AC404" i="5"/>
  <c r="AD404" i="5" s="1"/>
  <c r="AC399" i="5"/>
  <c r="AE399" i="5" s="1"/>
  <c r="AC451" i="5"/>
  <c r="AS451" i="5" s="1"/>
  <c r="AT451" i="5" s="1"/>
  <c r="AC250" i="10"/>
  <c r="AC466" i="5"/>
  <c r="AD466" i="5" s="1"/>
  <c r="AC151" i="5"/>
  <c r="AS151" i="5" s="1"/>
  <c r="AU151" i="5" s="1"/>
  <c r="AC315" i="5"/>
  <c r="AE315" i="5" s="1"/>
  <c r="AC476" i="5"/>
  <c r="AD476" i="5" s="1"/>
  <c r="AC150" i="5"/>
  <c r="AE150" i="5" s="1"/>
  <c r="AC44" i="5"/>
  <c r="AE44" i="5" s="1"/>
  <c r="AC80" i="5"/>
  <c r="AE80" i="5" s="1"/>
  <c r="AC178" i="5"/>
  <c r="AS178" i="5" s="1"/>
  <c r="AU178" i="5" s="1"/>
  <c r="AC322" i="5"/>
  <c r="AD322" i="5" s="1"/>
  <c r="AC180" i="10"/>
  <c r="AD180" i="10" s="1"/>
  <c r="AC69" i="10"/>
  <c r="AD69" i="10" s="1"/>
  <c r="AC74" i="5"/>
  <c r="AD74" i="5" s="1"/>
  <c r="AC112" i="5"/>
  <c r="AE112" i="5" s="1"/>
  <c r="AC45" i="5"/>
  <c r="AE45" i="5" s="1"/>
  <c r="AC148" i="5"/>
  <c r="AE148" i="5" s="1"/>
  <c r="AC316" i="5"/>
  <c r="AD316" i="5" s="1"/>
  <c r="AC326" i="10"/>
  <c r="AV326" i="10" s="1"/>
  <c r="AX326" i="10" s="1"/>
  <c r="AC498" i="5"/>
  <c r="AS498" i="5" s="1"/>
  <c r="AU498" i="5" s="1"/>
  <c r="AC247" i="5"/>
  <c r="AS247" i="5" s="1"/>
  <c r="AU247" i="5" s="1"/>
  <c r="AC289" i="5"/>
  <c r="AD289" i="5" s="1"/>
  <c r="AC144" i="5"/>
  <c r="AS144" i="5" s="1"/>
  <c r="AU144" i="5" s="1"/>
  <c r="AC523" i="5"/>
  <c r="AE523" i="5" s="1"/>
  <c r="AC556" i="5"/>
  <c r="AE556" i="5" s="1"/>
  <c r="AC84" i="5"/>
  <c r="AE84" i="5" s="1"/>
  <c r="AC498" i="10"/>
  <c r="AV498" i="10" s="1"/>
  <c r="AC200" i="10"/>
  <c r="AD200" i="10" s="1"/>
  <c r="AC108" i="5"/>
  <c r="AS108" i="5" s="1"/>
  <c r="AU108" i="5" s="1"/>
  <c r="AC129" i="10"/>
  <c r="AD129" i="10" s="1"/>
  <c r="X116" i="4"/>
  <c r="X154" i="4"/>
  <c r="X113" i="4"/>
  <c r="X130" i="4"/>
  <c r="X97" i="4"/>
  <c r="X102" i="4"/>
  <c r="X110" i="4"/>
  <c r="X54" i="4"/>
  <c r="AC279" i="10"/>
  <c r="AE279" i="10" s="1"/>
  <c r="AC224" i="10"/>
  <c r="AC274" i="10"/>
  <c r="AE274" i="10" s="1"/>
  <c r="AC53" i="10"/>
  <c r="AE53" i="10" s="1"/>
  <c r="AC160" i="10"/>
  <c r="AD160" i="10" s="1"/>
  <c r="AC242" i="10"/>
  <c r="AD242" i="10" s="1"/>
  <c r="AC28" i="10"/>
  <c r="AE28" i="10" s="1"/>
  <c r="AC55" i="10"/>
  <c r="AV55" i="10" s="1"/>
  <c r="AX55" i="10" s="1"/>
  <c r="AC278" i="10"/>
  <c r="AD278" i="10" s="1"/>
  <c r="AC516" i="10"/>
  <c r="AD516" i="10" s="1"/>
  <c r="X81" i="4"/>
  <c r="X69" i="4"/>
  <c r="X62" i="4"/>
  <c r="X52" i="4"/>
  <c r="X112" i="4"/>
  <c r="X152" i="4"/>
  <c r="X91" i="4"/>
  <c r="X126" i="4"/>
  <c r="X145" i="4"/>
  <c r="X150" i="4"/>
  <c r="X64" i="4"/>
  <c r="X146" i="4"/>
  <c r="X67" i="4"/>
  <c r="X142" i="4"/>
  <c r="X123" i="4"/>
  <c r="X111" i="4"/>
  <c r="X137" i="4"/>
  <c r="X106" i="4"/>
  <c r="X65" i="4"/>
  <c r="X90" i="4"/>
  <c r="X104" i="4"/>
  <c r="X79" i="4"/>
  <c r="AC548" i="10"/>
  <c r="AE548" i="10" s="1"/>
  <c r="AC164" i="10"/>
  <c r="AE164" i="10" s="1"/>
  <c r="AC534" i="10"/>
  <c r="AE534" i="10" s="1"/>
  <c r="BN20" i="4"/>
  <c r="AI20" i="4"/>
  <c r="AI134" i="4"/>
  <c r="AI96" i="4"/>
  <c r="BN72" i="4"/>
  <c r="AI72" i="4"/>
  <c r="BN29" i="4"/>
  <c r="AI29" i="4"/>
  <c r="AI135" i="4"/>
  <c r="BN43" i="4"/>
  <c r="AI43" i="4"/>
  <c r="BN33" i="4"/>
  <c r="AI33" i="4"/>
  <c r="BN38" i="4"/>
  <c r="AI38" i="4"/>
  <c r="AI153" i="4"/>
  <c r="BN45" i="4"/>
  <c r="AI45" i="4"/>
  <c r="AI119" i="4"/>
  <c r="BN70" i="4"/>
  <c r="AI70" i="4"/>
  <c r="AI144" i="4"/>
  <c r="AI87" i="4"/>
  <c r="AI83" i="4"/>
  <c r="BN22" i="4"/>
  <c r="AI22" i="4"/>
  <c r="AI101" i="4"/>
  <c r="BN28" i="4"/>
  <c r="AI28" i="4"/>
  <c r="BN60" i="4"/>
  <c r="AI60" i="4"/>
  <c r="AI114" i="4"/>
  <c r="BN50" i="4"/>
  <c r="AI50" i="4"/>
  <c r="AI147" i="4"/>
  <c r="BN12" i="4"/>
  <c r="AI12" i="4"/>
  <c r="BN9" i="4"/>
  <c r="AI9" i="4"/>
  <c r="AI151" i="4"/>
  <c r="AI98" i="4"/>
  <c r="BN14" i="4"/>
  <c r="AI14" i="4"/>
  <c r="AI139" i="4"/>
  <c r="AI85" i="4"/>
  <c r="AI128" i="4"/>
  <c r="BN23" i="4"/>
  <c r="AI23" i="4"/>
  <c r="AI109" i="4"/>
  <c r="BN17" i="4"/>
  <c r="AI17" i="4"/>
  <c r="AI127" i="4"/>
  <c r="BN44" i="4"/>
  <c r="AI44" i="4"/>
  <c r="BN18" i="4"/>
  <c r="AI18" i="4"/>
  <c r="BN25" i="4"/>
  <c r="AI25" i="4"/>
  <c r="BN58" i="4"/>
  <c r="AI58" i="4"/>
  <c r="AI103" i="4"/>
  <c r="AI138" i="4"/>
  <c r="BN11" i="4"/>
  <c r="AI11" i="4"/>
  <c r="AI132" i="4"/>
  <c r="AI131" i="4"/>
  <c r="BN40" i="4"/>
  <c r="AI40" i="4"/>
  <c r="AI89" i="4"/>
  <c r="BN57" i="4"/>
  <c r="AI57" i="4"/>
  <c r="AI100" i="4"/>
  <c r="BN13" i="4"/>
  <c r="AI13" i="4"/>
  <c r="AI86" i="4"/>
  <c r="BN55" i="4"/>
  <c r="AI55" i="4"/>
  <c r="BN27" i="4"/>
  <c r="AI27" i="4"/>
  <c r="AI92" i="4"/>
  <c r="BN74" i="4"/>
  <c r="AI74" i="4"/>
  <c r="AI84" i="4"/>
  <c r="AI105" i="4"/>
  <c r="BN15" i="4"/>
  <c r="AI15" i="4"/>
  <c r="BN53" i="4"/>
  <c r="AI53" i="4"/>
  <c r="BN77" i="4"/>
  <c r="AI77" i="4"/>
  <c r="BN73" i="4"/>
  <c r="AI73" i="4"/>
  <c r="BN16" i="4"/>
  <c r="AI16" i="4"/>
  <c r="AI99" i="4"/>
  <c r="AI93" i="4"/>
  <c r="BN68" i="4"/>
  <c r="AI68" i="4"/>
  <c r="AI129" i="4"/>
  <c r="BN42" i="4"/>
  <c r="AI42" i="4"/>
  <c r="BN10" i="4"/>
  <c r="AI10" i="4"/>
  <c r="BN66" i="4"/>
  <c r="AI66" i="4"/>
  <c r="BN30" i="4"/>
  <c r="AI30" i="4"/>
  <c r="BN31" i="4"/>
  <c r="AI31" i="4"/>
  <c r="BN34" i="4"/>
  <c r="AI34" i="4"/>
  <c r="BN36" i="4"/>
  <c r="AI36" i="4"/>
  <c r="BN78" i="4"/>
  <c r="AI78" i="4"/>
  <c r="AI141" i="4"/>
  <c r="AI80" i="4"/>
  <c r="BN51" i="4"/>
  <c r="AI51" i="4"/>
  <c r="AI115" i="4"/>
  <c r="AI125" i="4"/>
  <c r="BN71" i="4"/>
  <c r="AI71" i="4"/>
  <c r="AI95" i="4"/>
  <c r="BN63" i="4"/>
  <c r="AI63" i="4"/>
  <c r="AI121" i="4"/>
  <c r="BN35" i="4"/>
  <c r="AI35" i="4"/>
  <c r="BN61" i="4"/>
  <c r="AI61" i="4"/>
  <c r="AI155" i="4"/>
  <c r="BN76" i="4"/>
  <c r="AI76" i="4"/>
  <c r="AI88" i="4"/>
  <c r="AI120" i="4"/>
  <c r="X47" i="4"/>
  <c r="Y62" i="4"/>
  <c r="X46" i="4"/>
  <c r="X37" i="4"/>
  <c r="Z102" i="4"/>
  <c r="Y112" i="4"/>
  <c r="Z112" i="4"/>
  <c r="AD7" i="4"/>
  <c r="AH7" i="4"/>
  <c r="W156" i="4"/>
  <c r="X156" i="4" s="1"/>
  <c r="AP107" i="4"/>
  <c r="AO107" i="4" s="1"/>
  <c r="AN107" i="4" s="1"/>
  <c r="W92" i="4"/>
  <c r="X92" i="4" s="1"/>
  <c r="BN8" i="4"/>
  <c r="W107" i="4"/>
  <c r="X107" i="4" s="1"/>
  <c r="Y67" i="4"/>
  <c r="W40" i="4"/>
  <c r="X40" i="4" s="1"/>
  <c r="Z153" i="4"/>
  <c r="AA153" i="4" s="1"/>
  <c r="Y37" i="4"/>
  <c r="AI37" i="4" s="1"/>
  <c r="Y133" i="4"/>
  <c r="W108" i="4"/>
  <c r="X108" i="4" s="1"/>
  <c r="Z92" i="4"/>
  <c r="AA92" i="4" s="1"/>
  <c r="Y59" i="4"/>
  <c r="AI59" i="4" s="1"/>
  <c r="W59" i="4"/>
  <c r="X59" i="4" s="1"/>
  <c r="Z111" i="4"/>
  <c r="Y152" i="4"/>
  <c r="AI152" i="4" s="1"/>
  <c r="W122" i="4"/>
  <c r="X122" i="4" s="1"/>
  <c r="Y111" i="4"/>
  <c r="BI51" i="4"/>
  <c r="BI50" i="4"/>
  <c r="BI12" i="4"/>
  <c r="BI9" i="4"/>
  <c r="BI55" i="4"/>
  <c r="BI96" i="4"/>
  <c r="BI72" i="4"/>
  <c r="BI23" i="4"/>
  <c r="BI127" i="4"/>
  <c r="BI71" i="4"/>
  <c r="W74" i="4"/>
  <c r="X74" i="4" s="1"/>
  <c r="BI35" i="4"/>
  <c r="BI68" i="4"/>
  <c r="BI147" i="4"/>
  <c r="BI151" i="4"/>
  <c r="BI115" i="4"/>
  <c r="BI63" i="4"/>
  <c r="BI61" i="4"/>
  <c r="BI86" i="4"/>
  <c r="BI98" i="4"/>
  <c r="BI139" i="4"/>
  <c r="BI85" i="4"/>
  <c r="BI135" i="4"/>
  <c r="BI101" i="4"/>
  <c r="BI58" i="4"/>
  <c r="BI28" i="4"/>
  <c r="BI45" i="4"/>
  <c r="BI92" i="4"/>
  <c r="BI10" i="4"/>
  <c r="BI77" i="4"/>
  <c r="BI95" i="4"/>
  <c r="BI74" i="4"/>
  <c r="Z74" i="4"/>
  <c r="AA74" i="4" s="1"/>
  <c r="BI31" i="4"/>
  <c r="BI34" i="4"/>
  <c r="BI78" i="4"/>
  <c r="BI128" i="4"/>
  <c r="BI16" i="4"/>
  <c r="BI18" i="4"/>
  <c r="BI25" i="4"/>
  <c r="BI11" i="4"/>
  <c r="BI60" i="4"/>
  <c r="BI114" i="4"/>
  <c r="BI57" i="4"/>
  <c r="BI100" i="4"/>
  <c r="BI129" i="4"/>
  <c r="BI84" i="4"/>
  <c r="Y91" i="4"/>
  <c r="Y122" i="4"/>
  <c r="AI122" i="4" s="1"/>
  <c r="Y140" i="4"/>
  <c r="Y150" i="4"/>
  <c r="Y126" i="4"/>
  <c r="W57" i="4"/>
  <c r="X57" i="4" s="1"/>
  <c r="W100" i="4"/>
  <c r="X100" i="4" s="1"/>
  <c r="W56" i="4"/>
  <c r="X56" i="4" s="1"/>
  <c r="W114" i="4"/>
  <c r="X114" i="4" s="1"/>
  <c r="Z100" i="4"/>
  <c r="AA100" i="4" s="1"/>
  <c r="Y97" i="4"/>
  <c r="Y142" i="4"/>
  <c r="W84" i="4"/>
  <c r="X84" i="4" s="1"/>
  <c r="W157" i="4"/>
  <c r="X157" i="4" s="1"/>
  <c r="W68" i="4"/>
  <c r="X68" i="4" s="1"/>
  <c r="Y41" i="4"/>
  <c r="Y102" i="4"/>
  <c r="AI102" i="4" s="1"/>
  <c r="Y56" i="4"/>
  <c r="W143" i="4"/>
  <c r="X143" i="4" s="1"/>
  <c r="W94" i="4"/>
  <c r="X94" i="4" s="1"/>
  <c r="W41" i="4"/>
  <c r="X41" i="4" s="1"/>
  <c r="Y94" i="4"/>
  <c r="W124" i="4"/>
  <c r="X124" i="4" s="1"/>
  <c r="W129" i="4"/>
  <c r="X129" i="4" s="1"/>
  <c r="W82" i="4"/>
  <c r="X82" i="4" s="1"/>
  <c r="W75" i="4"/>
  <c r="X75" i="4" s="1"/>
  <c r="Z129" i="4"/>
  <c r="AA129" i="4" s="1"/>
  <c r="Z126" i="4"/>
  <c r="Y154" i="4"/>
  <c r="Y75" i="4"/>
  <c r="W60" i="4"/>
  <c r="X60" i="4" s="1"/>
  <c r="W140" i="4"/>
  <c r="X140" i="4" s="1"/>
  <c r="W147" i="4"/>
  <c r="X147" i="4" s="1"/>
  <c r="Z147" i="4"/>
  <c r="AA147" i="4" s="1"/>
  <c r="Z60" i="4"/>
  <c r="AA60" i="4" s="1"/>
  <c r="Y69" i="4"/>
  <c r="Z88" i="4"/>
  <c r="AA88" i="4" s="1"/>
  <c r="Y108" i="4"/>
  <c r="Y39" i="4"/>
  <c r="W88" i="4"/>
  <c r="X88" i="4" s="1"/>
  <c r="W76" i="4"/>
  <c r="X76" i="4" s="1"/>
  <c r="W39" i="4"/>
  <c r="X39" i="4" s="1"/>
  <c r="AP120" i="4"/>
  <c r="AO120" i="4" s="1"/>
  <c r="Y123" i="4"/>
  <c r="W120" i="4"/>
  <c r="X120" i="4" s="1"/>
  <c r="W45" i="4"/>
  <c r="X45" i="4" s="1"/>
  <c r="W153" i="4"/>
  <c r="X153" i="4" s="1"/>
  <c r="W89" i="4"/>
  <c r="X89" i="4" s="1"/>
  <c r="W133" i="4"/>
  <c r="X133" i="4" s="1"/>
  <c r="Z132" i="4"/>
  <c r="AA132" i="4" s="1"/>
  <c r="Z50" i="4"/>
  <c r="AA50" i="4" s="1"/>
  <c r="Z61" i="4"/>
  <c r="AA61" i="4" s="1"/>
  <c r="Y52" i="4"/>
  <c r="W132" i="4"/>
  <c r="X132" i="4" s="1"/>
  <c r="W131" i="4"/>
  <c r="X131" i="4" s="1"/>
  <c r="W50" i="4"/>
  <c r="X50" i="4" s="1"/>
  <c r="Z52" i="4"/>
  <c r="Z131" i="4"/>
  <c r="AA131" i="4" s="1"/>
  <c r="Z145" i="4"/>
  <c r="Y116" i="4"/>
  <c r="Y145" i="4"/>
  <c r="W61" i="4"/>
  <c r="X61" i="4" s="1"/>
  <c r="Y130" i="4"/>
  <c r="W155" i="4"/>
  <c r="X155" i="4" s="1"/>
  <c r="Z90" i="4"/>
  <c r="Y90" i="4"/>
  <c r="AA11" i="4"/>
  <c r="AA38" i="4"/>
  <c r="AA35" i="4"/>
  <c r="X30" i="4"/>
  <c r="X20" i="4"/>
  <c r="X10" i="4"/>
  <c r="X15" i="4"/>
  <c r="X26" i="4"/>
  <c r="X18" i="4"/>
  <c r="X24" i="4"/>
  <c r="X22" i="4"/>
  <c r="AP70" i="4"/>
  <c r="AP151" i="4"/>
  <c r="AP98" i="4"/>
  <c r="AO98" i="4" s="1"/>
  <c r="AP77" i="4"/>
  <c r="AP60" i="4"/>
  <c r="AO60" i="4" s="1"/>
  <c r="AP45" i="4"/>
  <c r="AP109" i="4"/>
  <c r="AP115" i="4"/>
  <c r="AP71" i="4"/>
  <c r="AO71" i="4" s="1"/>
  <c r="AP103" i="4"/>
  <c r="AP28" i="4"/>
  <c r="AO28" i="4" s="1"/>
  <c r="AP12" i="4"/>
  <c r="AP86" i="4"/>
  <c r="AO86" i="4" s="1"/>
  <c r="AP134" i="4"/>
  <c r="AP34" i="4"/>
  <c r="AP131" i="4"/>
  <c r="AP141" i="4"/>
  <c r="AP88" i="4"/>
  <c r="AP68" i="4"/>
  <c r="AO68" i="4" s="1"/>
  <c r="AP125" i="4"/>
  <c r="AP63" i="4"/>
  <c r="AP119" i="4"/>
  <c r="AP13" i="4"/>
  <c r="AP10" i="4"/>
  <c r="AO10" i="4" s="1"/>
  <c r="AP15" i="4"/>
  <c r="AP74" i="4"/>
  <c r="AO74" i="4" s="1"/>
  <c r="AP57" i="4"/>
  <c r="AP55" i="4"/>
  <c r="AP96" i="4"/>
  <c r="AP114" i="4"/>
  <c r="AP155" i="4"/>
  <c r="AP85" i="4"/>
  <c r="AP72" i="4"/>
  <c r="AP83" i="4"/>
  <c r="AO83" i="4" s="1"/>
  <c r="AP135" i="4"/>
  <c r="AP132" i="4"/>
  <c r="AP17" i="4"/>
  <c r="AP93" i="4"/>
  <c r="AP33" i="4"/>
  <c r="AP25" i="4"/>
  <c r="AP38" i="4"/>
  <c r="AP11" i="4"/>
  <c r="AP105" i="4"/>
  <c r="AP66" i="4"/>
  <c r="AP84" i="4"/>
  <c r="AP14" i="4"/>
  <c r="AO14" i="4" s="1"/>
  <c r="AP36" i="4"/>
  <c r="AO36" i="4" s="1"/>
  <c r="AP89" i="4"/>
  <c r="AP127" i="4"/>
  <c r="AP44" i="4"/>
  <c r="AP76" i="4"/>
  <c r="AP42" i="4"/>
  <c r="AP50" i="4"/>
  <c r="AP30" i="4"/>
  <c r="AP31" i="4"/>
  <c r="AP153" i="4"/>
  <c r="AP87" i="4"/>
  <c r="AO87" i="4" s="1"/>
  <c r="AP73" i="4"/>
  <c r="AP92" i="4"/>
  <c r="AP80" i="4"/>
  <c r="AP22" i="4"/>
  <c r="AO22" i="4" s="1"/>
  <c r="AP100" i="4"/>
  <c r="AP95" i="4"/>
  <c r="AO95" i="4" s="1"/>
  <c r="AP138" i="4"/>
  <c r="AP40" i="4"/>
  <c r="AO40" i="4" s="1"/>
  <c r="AP20" i="4"/>
  <c r="AP9" i="4"/>
  <c r="AP144" i="4"/>
  <c r="AP53" i="4"/>
  <c r="AP139" i="4"/>
  <c r="AP27" i="4"/>
  <c r="AP78" i="4"/>
  <c r="AO78" i="4" s="1"/>
  <c r="AP128" i="4"/>
  <c r="AP29" i="4"/>
  <c r="AP23" i="4"/>
  <c r="AP16" i="4"/>
  <c r="AP51" i="4"/>
  <c r="AP129" i="4"/>
  <c r="AP99" i="4"/>
  <c r="AO99" i="4" s="1"/>
  <c r="AP43" i="4"/>
  <c r="AP61" i="4"/>
  <c r="AP147" i="4"/>
  <c r="AP18" i="4"/>
  <c r="AO18" i="4" s="1"/>
  <c r="AP101" i="4"/>
  <c r="AP58" i="4"/>
  <c r="AP35" i="4"/>
  <c r="X21" i="4"/>
  <c r="X12" i="4"/>
  <c r="X9" i="4"/>
  <c r="X33" i="4"/>
  <c r="AA28" i="4"/>
  <c r="X17" i="4"/>
  <c r="X19" i="4"/>
  <c r="X32" i="4"/>
  <c r="X31" i="4"/>
  <c r="X34" i="4"/>
  <c r="X27" i="4"/>
  <c r="AP8" i="4"/>
  <c r="AA103" i="4"/>
  <c r="AA138" i="4"/>
  <c r="X8" i="4"/>
  <c r="X16" i="4"/>
  <c r="X35" i="4"/>
  <c r="X28" i="4"/>
  <c r="X11" i="4"/>
  <c r="AA121" i="4"/>
  <c r="AA63" i="4"/>
  <c r="AA23" i="4"/>
  <c r="AA93" i="4"/>
  <c r="AA115" i="4"/>
  <c r="AA18" i="4"/>
  <c r="AA101" i="4"/>
  <c r="AA125" i="4"/>
  <c r="AA22" i="4"/>
  <c r="AA71" i="4"/>
  <c r="AA44" i="4"/>
  <c r="AA127" i="4"/>
  <c r="AA80" i="4"/>
  <c r="AA43" i="4"/>
  <c r="AA51" i="4"/>
  <c r="Z114" i="4"/>
  <c r="AA114" i="4" s="1"/>
  <c r="Z15" i="4"/>
  <c r="AA15" i="4" s="1"/>
  <c r="Z96" i="4"/>
  <c r="AA96" i="4" s="1"/>
  <c r="Z20" i="4"/>
  <c r="AA20" i="4" s="1"/>
  <c r="Z40" i="4"/>
  <c r="AA40" i="4" s="1"/>
  <c r="Z128" i="4"/>
  <c r="AA128" i="4" s="1"/>
  <c r="Z84" i="4"/>
  <c r="AA84" i="4" s="1"/>
  <c r="Z98" i="4"/>
  <c r="AA98" i="4" s="1"/>
  <c r="Z13" i="4"/>
  <c r="AA13" i="4" s="1"/>
  <c r="Z85" i="4"/>
  <c r="AA85" i="4" s="1"/>
  <c r="Z30" i="4"/>
  <c r="AA30" i="4" s="1"/>
  <c r="Z67" i="4"/>
  <c r="Z66" i="4"/>
  <c r="AA66" i="4" s="1"/>
  <c r="Z97" i="4"/>
  <c r="Y146" i="4"/>
  <c r="Z146" i="4"/>
  <c r="AA12" i="4"/>
  <c r="Y149" i="4"/>
  <c r="Y143" i="4"/>
  <c r="Z9" i="4"/>
  <c r="AA9" i="4" s="1"/>
  <c r="Z149" i="4"/>
  <c r="Z19" i="4"/>
  <c r="Y19" i="4"/>
  <c r="Z65" i="4"/>
  <c r="Y65" i="4"/>
  <c r="Y124" i="4"/>
  <c r="Y156" i="4"/>
  <c r="Y148" i="4"/>
  <c r="Y104" i="4"/>
  <c r="Y157" i="4"/>
  <c r="Y54" i="4"/>
  <c r="Y82" i="4"/>
  <c r="Y117" i="4"/>
  <c r="AA134" i="4"/>
  <c r="Z137" i="4"/>
  <c r="Y137" i="4"/>
  <c r="Z118" i="4"/>
  <c r="Y118" i="4"/>
  <c r="Z113" i="4"/>
  <c r="Y113" i="4"/>
  <c r="Z26" i="4"/>
  <c r="Y26" i="4"/>
  <c r="Z24" i="4"/>
  <c r="Y24" i="4"/>
  <c r="Y48" i="4"/>
  <c r="Y110" i="4"/>
  <c r="Z110" i="4"/>
  <c r="Y49" i="4"/>
  <c r="Y79" i="4"/>
  <c r="Y81" i="4"/>
  <c r="Z81" i="4"/>
  <c r="Z123" i="4"/>
  <c r="AA8" i="4"/>
  <c r="AB8" i="4" s="1"/>
  <c r="AH8" i="4" s="1"/>
  <c r="AA119" i="4"/>
  <c r="AA42" i="4"/>
  <c r="AA70" i="4"/>
  <c r="AA86" i="4"/>
  <c r="AA151" i="4"/>
  <c r="AA144" i="4"/>
  <c r="AA14" i="4"/>
  <c r="AA36" i="4"/>
  <c r="Z136" i="4"/>
  <c r="Y136" i="4"/>
  <c r="Z21" i="4"/>
  <c r="Y21" i="4"/>
  <c r="Z64" i="4"/>
  <c r="Y64" i="4"/>
  <c r="Z106" i="4"/>
  <c r="Y106" i="4"/>
  <c r="Y46" i="4"/>
  <c r="Z32" i="4"/>
  <c r="Y32" i="4"/>
  <c r="Z47" i="4"/>
  <c r="Y47" i="4"/>
  <c r="AA53" i="4"/>
  <c r="AA77" i="4"/>
  <c r="AA27" i="4"/>
  <c r="AA78" i="4"/>
  <c r="AA73" i="4"/>
  <c r="AA141" i="4"/>
  <c r="R116" i="10"/>
  <c r="S403" i="10"/>
  <c r="S185" i="10"/>
  <c r="AC403" i="10"/>
  <c r="AD403" i="10" s="1"/>
  <c r="S300" i="10"/>
  <c r="AC300" i="10"/>
  <c r="AE300" i="10" s="1"/>
  <c r="S92" i="10"/>
  <c r="AC92" i="10"/>
  <c r="AV92" i="10" s="1"/>
  <c r="S486" i="10"/>
  <c r="S174" i="10"/>
  <c r="AC556" i="10"/>
  <c r="AE556" i="10" s="1"/>
  <c r="S365" i="10"/>
  <c r="AC365" i="10"/>
  <c r="AE365" i="10" s="1"/>
  <c r="AC353" i="10"/>
  <c r="AE353" i="10" s="1"/>
  <c r="R462" i="10"/>
  <c r="R353" i="10"/>
  <c r="S377" i="10"/>
  <c r="AC283" i="10"/>
  <c r="AV283" i="10" s="1"/>
  <c r="AW283" i="10" s="1"/>
  <c r="R82" i="10"/>
  <c r="AC141" i="10"/>
  <c r="AD141" i="10" s="1"/>
  <c r="R535" i="10"/>
  <c r="R490" i="10"/>
  <c r="AC288" i="10"/>
  <c r="AD288" i="10" s="1"/>
  <c r="AC165" i="10"/>
  <c r="AE165" i="10" s="1"/>
  <c r="R422" i="10"/>
  <c r="R164" i="10"/>
  <c r="AC557" i="10"/>
  <c r="AD557" i="10" s="1"/>
  <c r="AC520" i="10"/>
  <c r="AV520" i="10" s="1"/>
  <c r="AC51" i="10"/>
  <c r="AD51" i="10" s="1"/>
  <c r="S165" i="10"/>
  <c r="R251" i="10"/>
  <c r="R73" i="10"/>
  <c r="AC132" i="10"/>
  <c r="AE132" i="10" s="1"/>
  <c r="AC464" i="10"/>
  <c r="AE464" i="10" s="1"/>
  <c r="AC137" i="10"/>
  <c r="AV137" i="10" s="1"/>
  <c r="AW137" i="10" s="1"/>
  <c r="AC378" i="10"/>
  <c r="AE378" i="10" s="1"/>
  <c r="AC458" i="10"/>
  <c r="AD458" i="10" s="1"/>
  <c r="AC499" i="10"/>
  <c r="AD499" i="10" s="1"/>
  <c r="S113" i="10"/>
  <c r="S297" i="10"/>
  <c r="S222" i="10"/>
  <c r="AC315" i="10"/>
  <c r="AE315" i="10" s="1"/>
  <c r="AC118" i="10"/>
  <c r="AD118" i="10" s="1"/>
  <c r="AC251" i="10"/>
  <c r="AV251" i="10" s="1"/>
  <c r="AW251" i="10" s="1"/>
  <c r="S478" i="10"/>
  <c r="R548" i="10"/>
  <c r="R127" i="10"/>
  <c r="S180" i="10"/>
  <c r="R413" i="10"/>
  <c r="AC411" i="10"/>
  <c r="AE411" i="10" s="1"/>
  <c r="AC249" i="10"/>
  <c r="AV249" i="10" s="1"/>
  <c r="AC377" i="10"/>
  <c r="AE377" i="10" s="1"/>
  <c r="AC174" i="10"/>
  <c r="AV174" i="10" s="1"/>
  <c r="AW174" i="10" s="1"/>
  <c r="R20" i="10"/>
  <c r="AC558" i="10"/>
  <c r="AD558" i="10" s="1"/>
  <c r="AC48" i="10"/>
  <c r="AE48" i="10" s="1"/>
  <c r="W11" i="10"/>
  <c r="X11" i="10" s="1"/>
  <c r="AC530" i="10"/>
  <c r="AD530" i="10" s="1"/>
  <c r="AC317" i="10"/>
  <c r="AV317" i="10" s="1"/>
  <c r="AC116" i="10"/>
  <c r="AE116" i="10" s="1"/>
  <c r="AC72" i="10"/>
  <c r="AD72" i="10" s="1"/>
  <c r="S250" i="10"/>
  <c r="AC56" i="10"/>
  <c r="AV56" i="10" s="1"/>
  <c r="S77" i="10"/>
  <c r="AC197" i="10"/>
  <c r="AD197" i="10" s="1"/>
  <c r="AC33" i="10"/>
  <c r="AE33" i="10" s="1"/>
  <c r="R437" i="10"/>
  <c r="AC102" i="10"/>
  <c r="AE102" i="10" s="1"/>
  <c r="AC215" i="10"/>
  <c r="AE215" i="10" s="1"/>
  <c r="S556" i="10"/>
  <c r="S475" i="10"/>
  <c r="AC209" i="10"/>
  <c r="AE209" i="10" s="1"/>
  <c r="AC446" i="5"/>
  <c r="AS446" i="5" s="1"/>
  <c r="AU446" i="5" s="1"/>
  <c r="S215" i="10"/>
  <c r="R157" i="10"/>
  <c r="S471" i="10"/>
  <c r="AC348" i="10"/>
  <c r="AV348" i="10" s="1"/>
  <c r="AC34" i="10"/>
  <c r="AV34" i="10" s="1"/>
  <c r="AC127" i="10"/>
  <c r="AV127" i="10" s="1"/>
  <c r="AC544" i="10"/>
  <c r="AE544" i="10" s="1"/>
  <c r="AC100" i="10"/>
  <c r="AE100" i="10" s="1"/>
  <c r="S393" i="10"/>
  <c r="AC488" i="10"/>
  <c r="AV488" i="10" s="1"/>
  <c r="AC89" i="10"/>
  <c r="AD89" i="10" s="1"/>
  <c r="AC373" i="10"/>
  <c r="AD373" i="10" s="1"/>
  <c r="AC41" i="10"/>
  <c r="AV41" i="10" s="1"/>
  <c r="AC172" i="10"/>
  <c r="AV172" i="10" s="1"/>
  <c r="AC314" i="10"/>
  <c r="AE314" i="10" s="1"/>
  <c r="AC203" i="10"/>
  <c r="AD203" i="10" s="1"/>
  <c r="AC382" i="10"/>
  <c r="AD382" i="10" s="1"/>
  <c r="AC380" i="10"/>
  <c r="AV380" i="10" s="1"/>
  <c r="AC290" i="10"/>
  <c r="AD290" i="10" s="1"/>
  <c r="AC432" i="10"/>
  <c r="AE432" i="10" s="1"/>
  <c r="AC13" i="10"/>
  <c r="AV13" i="10" s="1"/>
  <c r="AW13" i="10" s="1"/>
  <c r="AC502" i="10"/>
  <c r="AE502" i="10" s="1"/>
  <c r="AC202" i="10"/>
  <c r="AD202" i="10" s="1"/>
  <c r="S259" i="10"/>
  <c r="R68" i="10"/>
  <c r="R197" i="10"/>
  <c r="AC170" i="10"/>
  <c r="AV170" i="10" s="1"/>
  <c r="AC444" i="10"/>
  <c r="AE444" i="10" s="1"/>
  <c r="AC514" i="10"/>
  <c r="AV514" i="10" s="1"/>
  <c r="R432" i="10"/>
  <c r="S382" i="10"/>
  <c r="R361" i="10"/>
  <c r="AC259" i="10"/>
  <c r="AV259" i="10" s="1"/>
  <c r="S56" i="10"/>
  <c r="R129" i="10"/>
  <c r="R543" i="10"/>
  <c r="S444" i="10"/>
  <c r="R54" i="10"/>
  <c r="S69" i="10"/>
  <c r="S93" i="10"/>
  <c r="AC456" i="10"/>
  <c r="AV456" i="10" s="1"/>
  <c r="S299" i="10"/>
  <c r="S244" i="10"/>
  <c r="R56" i="10"/>
  <c r="R202" i="10"/>
  <c r="AC468" i="10"/>
  <c r="AE468" i="10" s="1"/>
  <c r="AC121" i="10"/>
  <c r="AD121" i="10" s="1"/>
  <c r="AC428" i="10"/>
  <c r="AV428" i="10" s="1"/>
  <c r="AC473" i="10"/>
  <c r="AD473" i="10" s="1"/>
  <c r="AC320" i="10"/>
  <c r="AE320" i="10" s="1"/>
  <c r="S544" i="10"/>
  <c r="S326" i="10"/>
  <c r="S100" i="10"/>
  <c r="S440" i="10"/>
  <c r="AC272" i="10"/>
  <c r="AD272" i="10" s="1"/>
  <c r="AC157" i="10"/>
  <c r="AV157" i="10" s="1"/>
  <c r="S33" i="10"/>
  <c r="R301" i="10"/>
  <c r="S348" i="10"/>
  <c r="R122" i="10"/>
  <c r="R272" i="10"/>
  <c r="S465" i="10"/>
  <c r="R85" i="10"/>
  <c r="S522" i="10"/>
  <c r="R325" i="10"/>
  <c r="AC301" i="10"/>
  <c r="AD301" i="10" s="1"/>
  <c r="AC441" i="10"/>
  <c r="AD441" i="10" s="1"/>
  <c r="AC522" i="10"/>
  <c r="AE522" i="10" s="1"/>
  <c r="AC77" i="10"/>
  <c r="AV77" i="10" s="1"/>
  <c r="AC536" i="10"/>
  <c r="AD536" i="10" s="1"/>
  <c r="AC543" i="10"/>
  <c r="AV543" i="10" s="1"/>
  <c r="AC465" i="10"/>
  <c r="AE465" i="10" s="1"/>
  <c r="AC261" i="10"/>
  <c r="AE261" i="10" s="1"/>
  <c r="AC122" i="10"/>
  <c r="AV122" i="10" s="1"/>
  <c r="R556" i="10"/>
  <c r="AC471" i="10"/>
  <c r="AD471" i="10" s="1"/>
  <c r="AC437" i="10"/>
  <c r="AV437" i="10" s="1"/>
  <c r="AC85" i="10"/>
  <c r="AD85" i="10" s="1"/>
  <c r="AC393" i="10"/>
  <c r="AE393" i="10" s="1"/>
  <c r="AC475" i="10"/>
  <c r="AD475" i="10" s="1"/>
  <c r="AC325" i="10"/>
  <c r="AD325" i="10" s="1"/>
  <c r="R358" i="10"/>
  <c r="S358" i="10"/>
  <c r="R388" i="10"/>
  <c r="AC388" i="10"/>
  <c r="AE388" i="10" s="1"/>
  <c r="S206" i="10"/>
  <c r="R206" i="10"/>
  <c r="AC501" i="10"/>
  <c r="AE501" i="10" s="1"/>
  <c r="R501" i="10"/>
  <c r="S173" i="10"/>
  <c r="R173" i="10"/>
  <c r="AC38" i="10"/>
  <c r="AE38" i="10" s="1"/>
  <c r="S38" i="10"/>
  <c r="AC405" i="10"/>
  <c r="AE405" i="10" s="1"/>
  <c r="S405" i="10"/>
  <c r="AC90" i="10"/>
  <c r="AD90" i="10" s="1"/>
  <c r="R90" i="10"/>
  <c r="S416" i="10"/>
  <c r="R416" i="10"/>
  <c r="S337" i="10"/>
  <c r="R337" i="10"/>
  <c r="AC139" i="10"/>
  <c r="AD139" i="10" s="1"/>
  <c r="S139" i="10"/>
  <c r="R139" i="10"/>
  <c r="AC47" i="10"/>
  <c r="AD47" i="10" s="1"/>
  <c r="R47" i="10"/>
  <c r="R96" i="10"/>
  <c r="S96" i="10"/>
  <c r="AC295" i="10"/>
  <c r="AV295" i="10" s="1"/>
  <c r="R295" i="10"/>
  <c r="R463" i="10"/>
  <c r="S463" i="10"/>
  <c r="AC8" i="10"/>
  <c r="AE8" i="10" s="1"/>
  <c r="R8" i="10"/>
  <c r="AC43" i="10"/>
  <c r="AD43" i="10" s="1"/>
  <c r="R43" i="10"/>
  <c r="AC153" i="10"/>
  <c r="AV153" i="10" s="1"/>
  <c r="R153" i="10"/>
  <c r="R258" i="10"/>
  <c r="AC258" i="10"/>
  <c r="AE258" i="10" s="1"/>
  <c r="S290" i="10"/>
  <c r="R290" i="10"/>
  <c r="AC399" i="10"/>
  <c r="AV399" i="10" s="1"/>
  <c r="AX399" i="10" s="1"/>
  <c r="R399" i="10"/>
  <c r="S512" i="10"/>
  <c r="R512" i="10"/>
  <c r="S469" i="10"/>
  <c r="R469" i="10"/>
  <c r="S452" i="10"/>
  <c r="R452" i="10"/>
  <c r="AC452" i="10"/>
  <c r="AE452" i="10" s="1"/>
  <c r="R387" i="10"/>
  <c r="S387" i="10"/>
  <c r="S39" i="10"/>
  <c r="R39" i="10"/>
  <c r="AC168" i="10"/>
  <c r="AV168" i="10" s="1"/>
  <c r="S168" i="10"/>
  <c r="R72" i="10"/>
  <c r="S72" i="10"/>
  <c r="R115" i="10"/>
  <c r="AC115" i="10"/>
  <c r="AV115" i="10" s="1"/>
  <c r="R286" i="10"/>
  <c r="S286" i="10"/>
  <c r="AC330" i="10"/>
  <c r="AE330" i="10" s="1"/>
  <c r="R330" i="10"/>
  <c r="AC323" i="10"/>
  <c r="AE323" i="10" s="1"/>
  <c r="S323" i="10"/>
  <c r="R323" i="10"/>
  <c r="R391" i="10"/>
  <c r="S391" i="10"/>
  <c r="S436" i="10"/>
  <c r="AC436" i="10"/>
  <c r="AE436" i="10" s="1"/>
  <c r="S492" i="10"/>
  <c r="R492" i="10"/>
  <c r="R466" i="10"/>
  <c r="S466" i="10"/>
  <c r="S507" i="10"/>
  <c r="R507" i="10"/>
  <c r="S500" i="10"/>
  <c r="R500" i="10"/>
  <c r="AC225" i="10"/>
  <c r="AD225" i="10" s="1"/>
  <c r="S225" i="10"/>
  <c r="R225" i="10"/>
  <c r="S37" i="10"/>
  <c r="R37" i="10"/>
  <c r="R312" i="10"/>
  <c r="S312" i="10"/>
  <c r="S430" i="10"/>
  <c r="R430" i="10"/>
  <c r="AC492" i="10"/>
  <c r="AE492" i="10" s="1"/>
  <c r="S219" i="10"/>
  <c r="S47" i="10"/>
  <c r="S501" i="10"/>
  <c r="R425" i="10"/>
  <c r="S533" i="10"/>
  <c r="R167" i="10"/>
  <c r="S8" i="10"/>
  <c r="S115" i="10"/>
  <c r="AC551" i="10"/>
  <c r="AV551" i="10" s="1"/>
  <c r="AC219" i="10"/>
  <c r="AE219" i="10" s="1"/>
  <c r="S560" i="10"/>
  <c r="S90" i="10"/>
  <c r="AC387" i="10"/>
  <c r="AV387" i="10" s="1"/>
  <c r="AC125" i="10"/>
  <c r="AV125" i="10" s="1"/>
  <c r="S399" i="10"/>
  <c r="AC37" i="10"/>
  <c r="AV37" i="10" s="1"/>
  <c r="AX37" i="10" s="1"/>
  <c r="AC367" i="10"/>
  <c r="AV367" i="10" s="1"/>
  <c r="AW367" i="10" s="1"/>
  <c r="R356" i="10"/>
  <c r="R502" i="10"/>
  <c r="AC420" i="10"/>
  <c r="AV420" i="10" s="1"/>
  <c r="AC356" i="10"/>
  <c r="AD356" i="10" s="1"/>
  <c r="S455" i="10"/>
  <c r="R319" i="10"/>
  <c r="S291" i="10"/>
  <c r="S50" i="10"/>
  <c r="R366" i="10"/>
  <c r="S126" i="10"/>
  <c r="S380" i="10"/>
  <c r="AC478" i="10"/>
  <c r="AV478" i="10" s="1"/>
  <c r="S502" i="10"/>
  <c r="R509" i="10"/>
  <c r="S110" i="10"/>
  <c r="S513" i="10"/>
  <c r="S510" i="10"/>
  <c r="R182" i="10"/>
  <c r="R13" i="10"/>
  <c r="AC244" i="10"/>
  <c r="AD244" i="10" s="1"/>
  <c r="AC36" i="10"/>
  <c r="AD36" i="10" s="1"/>
  <c r="AC358" i="10"/>
  <c r="AV358" i="10" s="1"/>
  <c r="AX358" i="10" s="1"/>
  <c r="AC78" i="10"/>
  <c r="AV78" i="10" s="1"/>
  <c r="AC124" i="10"/>
  <c r="AV124" i="10" s="1"/>
  <c r="AC513" i="10"/>
  <c r="AD513" i="10" s="1"/>
  <c r="AC297" i="10"/>
  <c r="AV297" i="10" s="1"/>
  <c r="AC126" i="10"/>
  <c r="AD126" i="10" s="1"/>
  <c r="AC113" i="10"/>
  <c r="AV113" i="10" s="1"/>
  <c r="S372" i="10"/>
  <c r="AC182" i="10"/>
  <c r="AE182" i="10" s="1"/>
  <c r="AC434" i="10"/>
  <c r="AE434" i="10" s="1"/>
  <c r="AC361" i="10"/>
  <c r="AE361" i="10" s="1"/>
  <c r="AC425" i="10"/>
  <c r="AD425" i="10" s="1"/>
  <c r="AC507" i="10"/>
  <c r="AD507" i="10" s="1"/>
  <c r="AC205" i="10"/>
  <c r="AD205" i="10" s="1"/>
  <c r="AC222" i="10"/>
  <c r="AD222" i="10" s="1"/>
  <c r="AC285" i="10"/>
  <c r="AV285" i="10" s="1"/>
  <c r="AW285" i="10" s="1"/>
  <c r="AC342" i="10"/>
  <c r="AE342" i="10" s="1"/>
  <c r="AC443" i="10"/>
  <c r="AV443" i="10" s="1"/>
  <c r="AC455" i="10"/>
  <c r="AE455" i="10" s="1"/>
  <c r="AC552" i="10"/>
  <c r="AE552" i="10" s="1"/>
  <c r="AC218" i="10"/>
  <c r="AE218" i="10" s="1"/>
  <c r="AC275" i="10"/>
  <c r="AD275" i="10" s="1"/>
  <c r="AC93" i="10"/>
  <c r="AD93" i="10" s="1"/>
  <c r="AC490" i="10"/>
  <c r="AE490" i="10" s="1"/>
  <c r="AC291" i="10"/>
  <c r="AE291" i="10" s="1"/>
  <c r="AC104" i="10"/>
  <c r="AD104" i="10" s="1"/>
  <c r="AC188" i="10"/>
  <c r="AE188" i="10" s="1"/>
  <c r="AC248" i="10"/>
  <c r="AD248" i="10" s="1"/>
  <c r="AC413" i="10"/>
  <c r="AD413" i="10" s="1"/>
  <c r="AC512" i="10"/>
  <c r="AE512" i="10" s="1"/>
  <c r="AC110" i="10"/>
  <c r="AE110" i="10" s="1"/>
  <c r="AC500" i="10"/>
  <c r="AE500" i="10" s="1"/>
  <c r="S88" i="10"/>
  <c r="AC88" i="10"/>
  <c r="AD88" i="10" s="1"/>
  <c r="AC503" i="10"/>
  <c r="AV503" i="10" s="1"/>
  <c r="R503" i="10"/>
  <c r="S503" i="10"/>
  <c r="S364" i="10"/>
  <c r="AC364" i="10"/>
  <c r="AV364" i="10" s="1"/>
  <c r="S304" i="10"/>
  <c r="AC304" i="10"/>
  <c r="AD304" i="10" s="1"/>
  <c r="S335" i="10"/>
  <c r="R335" i="10"/>
  <c r="S426" i="10"/>
  <c r="R426" i="10"/>
  <c r="R278" i="10"/>
  <c r="R364" i="10"/>
  <c r="R497" i="10"/>
  <c r="S497" i="10"/>
  <c r="R487" i="10"/>
  <c r="S487" i="10"/>
  <c r="S124" i="10"/>
  <c r="R124" i="10"/>
  <c r="S26" i="10"/>
  <c r="AC26" i="10"/>
  <c r="AD26" i="10" s="1"/>
  <c r="R411" i="10"/>
  <c r="S411" i="10"/>
  <c r="R305" i="10"/>
  <c r="AC305" i="10"/>
  <c r="AV305" i="10" s="1"/>
  <c r="S305" i="10"/>
  <c r="AC176" i="10"/>
  <c r="AE176" i="10" s="1"/>
  <c r="R176" i="10"/>
  <c r="S338" i="10"/>
  <c r="R338" i="10"/>
  <c r="S331" i="10"/>
  <c r="R331" i="10"/>
  <c r="S433" i="10"/>
  <c r="R433" i="10"/>
  <c r="S474" i="10"/>
  <c r="R474" i="10"/>
  <c r="S549" i="10"/>
  <c r="R549" i="10"/>
  <c r="S494" i="10"/>
  <c r="R494" i="10"/>
  <c r="S170" i="10"/>
  <c r="R170" i="10"/>
  <c r="AC491" i="10"/>
  <c r="AE491" i="10" s="1"/>
  <c r="R491" i="10"/>
  <c r="S35" i="10"/>
  <c r="AC35" i="10"/>
  <c r="AV35" i="10" s="1"/>
  <c r="R35" i="10"/>
  <c r="S443" i="10"/>
  <c r="R443" i="10"/>
  <c r="AC254" i="10"/>
  <c r="AE254" i="10" s="1"/>
  <c r="AC462" i="10"/>
  <c r="AE462" i="10" s="1"/>
  <c r="S253" i="10"/>
  <c r="R253" i="10"/>
  <c r="S552" i="10"/>
  <c r="R552" i="10"/>
  <c r="S58" i="10"/>
  <c r="R58" i="10"/>
  <c r="AC252" i="5"/>
  <c r="AS252" i="5" s="1"/>
  <c r="AT252" i="5" s="1"/>
  <c r="AC466" i="10"/>
  <c r="AE466" i="10" s="1"/>
  <c r="AC338" i="10"/>
  <c r="AE338" i="10" s="1"/>
  <c r="AC331" i="10"/>
  <c r="AD331" i="10" s="1"/>
  <c r="S306" i="10"/>
  <c r="S330" i="10"/>
  <c r="R254" i="10"/>
  <c r="R145" i="10"/>
  <c r="R104" i="10"/>
  <c r="R41" i="10"/>
  <c r="R293" i="10"/>
  <c r="S316" i="10"/>
  <c r="R151" i="10"/>
  <c r="R405" i="10"/>
  <c r="R447" i="10"/>
  <c r="S162" i="10"/>
  <c r="S547" i="10"/>
  <c r="S367" i="10"/>
  <c r="R283" i="10"/>
  <c r="S111" i="10"/>
  <c r="R141" i="10"/>
  <c r="R36" i="10"/>
  <c r="R125" i="10"/>
  <c r="R385" i="10"/>
  <c r="S209" i="10"/>
  <c r="R551" i="10"/>
  <c r="R343" i="10"/>
  <c r="S295" i="10"/>
  <c r="S43" i="10"/>
  <c r="R420" i="10"/>
  <c r="AC442" i="10"/>
  <c r="AV442" i="10" s="1"/>
  <c r="AC316" i="10"/>
  <c r="AE316" i="10" s="1"/>
  <c r="S434" i="10"/>
  <c r="R227" i="10"/>
  <c r="S153" i="10"/>
  <c r="R304" i="10"/>
  <c r="S401" i="10"/>
  <c r="S317" i="10"/>
  <c r="R526" i="10"/>
  <c r="R521" i="10"/>
  <c r="R78" i="10"/>
  <c r="R558" i="10"/>
  <c r="R280" i="10"/>
  <c r="AC371" i="10"/>
  <c r="AV371" i="10" s="1"/>
  <c r="S371" i="10"/>
  <c r="R76" i="10"/>
  <c r="S76" i="10"/>
  <c r="S223" i="10"/>
  <c r="R223" i="10"/>
  <c r="S508" i="10"/>
  <c r="R508" i="10"/>
  <c r="R340" i="10"/>
  <c r="S340" i="10"/>
  <c r="AC340" i="10"/>
  <c r="AD340" i="10" s="1"/>
  <c r="AC280" i="10"/>
  <c r="AV280" i="10" s="1"/>
  <c r="AC526" i="10"/>
  <c r="AV526" i="10" s="1"/>
  <c r="S390" i="10"/>
  <c r="R390" i="10"/>
  <c r="AC79" i="10"/>
  <c r="AV79" i="10" s="1"/>
  <c r="S79" i="10"/>
  <c r="S186" i="10"/>
  <c r="R186" i="10"/>
  <c r="R208" i="10"/>
  <c r="AC208" i="10"/>
  <c r="AD208" i="10" s="1"/>
  <c r="S208" i="10"/>
  <c r="AC105" i="10"/>
  <c r="AE105" i="10" s="1"/>
  <c r="R188" i="10"/>
  <c r="S188" i="10"/>
  <c r="S263" i="10"/>
  <c r="R263" i="10"/>
  <c r="S485" i="10"/>
  <c r="R485" i="10"/>
  <c r="S181" i="10"/>
  <c r="R181" i="10"/>
  <c r="AC181" i="10"/>
  <c r="AE181" i="10" s="1"/>
  <c r="S117" i="10"/>
  <c r="R117" i="10"/>
  <c r="AC112" i="10"/>
  <c r="AD112" i="10" s="1"/>
  <c r="R112" i="10"/>
  <c r="R80" i="10"/>
  <c r="S80" i="10"/>
  <c r="AC123" i="10"/>
  <c r="AE123" i="10" s="1"/>
  <c r="S123" i="10"/>
  <c r="R123" i="10"/>
  <c r="AC229" i="10"/>
  <c r="AV229" i="10" s="1"/>
  <c r="R229" i="10"/>
  <c r="S249" i="10"/>
  <c r="R249" i="10"/>
  <c r="R102" i="10"/>
  <c r="S102" i="10"/>
  <c r="AC469" i="10"/>
  <c r="AV469" i="10" s="1"/>
  <c r="AW469" i="10" s="1"/>
  <c r="S342" i="10"/>
  <c r="R342" i="10"/>
  <c r="R534" i="10"/>
  <c r="S534" i="10"/>
  <c r="R412" i="10"/>
  <c r="AC412" i="10"/>
  <c r="AE412" i="10" s="1"/>
  <c r="AC227" i="10"/>
  <c r="AE227" i="10" s="1"/>
  <c r="AC111" i="10"/>
  <c r="AV111" i="10" s="1"/>
  <c r="AC433" i="10"/>
  <c r="AE433" i="10" s="1"/>
  <c r="S514" i="10"/>
  <c r="R514" i="10"/>
  <c r="AC497" i="10"/>
  <c r="AD497" i="10" s="1"/>
  <c r="AC486" i="10"/>
  <c r="AE486" i="10" s="1"/>
  <c r="AC381" i="10"/>
  <c r="AE381" i="10" s="1"/>
  <c r="AC410" i="10"/>
  <c r="AE410" i="10" s="1"/>
  <c r="AC322" i="10"/>
  <c r="AV322" i="10" s="1"/>
  <c r="AC309" i="10"/>
  <c r="AV309" i="10" s="1"/>
  <c r="AC186" i="10"/>
  <c r="AD186" i="10" s="1"/>
  <c r="AC117" i="10"/>
  <c r="AV117" i="10" s="1"/>
  <c r="R370" i="10"/>
  <c r="S232" i="10"/>
  <c r="S105" i="10"/>
  <c r="R435" i="10"/>
  <c r="R468" i="10"/>
  <c r="R38" i="10"/>
  <c r="S369" i="10"/>
  <c r="R190" i="10"/>
  <c r="AC138" i="10"/>
  <c r="AD138" i="10" s="1"/>
  <c r="S275" i="10"/>
  <c r="R79" i="10"/>
  <c r="R228" i="10"/>
  <c r="S491" i="10"/>
  <c r="R209" i="10"/>
  <c r="S218" i="10"/>
  <c r="R204" i="10"/>
  <c r="R545" i="10"/>
  <c r="R239" i="10"/>
  <c r="R67" i="10"/>
  <c r="R257" i="10"/>
  <c r="S248" i="10"/>
  <c r="AC73" i="10"/>
  <c r="AD73" i="10" s="1"/>
  <c r="S258" i="10"/>
  <c r="R240" i="10"/>
  <c r="S118" i="10"/>
  <c r="S285" i="10"/>
  <c r="R320" i="10"/>
  <c r="R210" i="10"/>
  <c r="S138" i="10"/>
  <c r="R516" i="10"/>
  <c r="AC233" i="10"/>
  <c r="AV233" i="10" s="1"/>
  <c r="AC228" i="10"/>
  <c r="AD228" i="10" s="1"/>
  <c r="AC422" i="10"/>
  <c r="AE422" i="10" s="1"/>
  <c r="AC510" i="10"/>
  <c r="AV510" i="10" s="1"/>
  <c r="AC253" i="10"/>
  <c r="AE253" i="10" s="1"/>
  <c r="AC319" i="10"/>
  <c r="AD319" i="10" s="1"/>
  <c r="AC509" i="10"/>
  <c r="AD509" i="10" s="1"/>
  <c r="AC351" i="10"/>
  <c r="AD351" i="10" s="1"/>
  <c r="AC241" i="10"/>
  <c r="AE241" i="10" s="1"/>
  <c r="AC194" i="10"/>
  <c r="AV194" i="10" s="1"/>
  <c r="AC221" i="10"/>
  <c r="AE221" i="10" s="1"/>
  <c r="AC59" i="10"/>
  <c r="AE59" i="10" s="1"/>
  <c r="AC236" i="10"/>
  <c r="AD236" i="10" s="1"/>
  <c r="AC318" i="10"/>
  <c r="AE318" i="10" s="1"/>
  <c r="AC363" i="10"/>
  <c r="AD363" i="10" s="1"/>
  <c r="AC540" i="10"/>
  <c r="AE540" i="10" s="1"/>
  <c r="AC143" i="10"/>
  <c r="AE143" i="10" s="1"/>
  <c r="AC296" i="10"/>
  <c r="AD296" i="10" s="1"/>
  <c r="AC538" i="10"/>
  <c r="AD538" i="10" s="1"/>
  <c r="AC276" i="10"/>
  <c r="AD276" i="10" s="1"/>
  <c r="AC136" i="10"/>
  <c r="AE136" i="10" s="1"/>
  <c r="AC63" i="10"/>
  <c r="AE63" i="10" s="1"/>
  <c r="AC302" i="10"/>
  <c r="AE302" i="10" s="1"/>
  <c r="AC362" i="10"/>
  <c r="AE362" i="10" s="1"/>
  <c r="AC423" i="10"/>
  <c r="AE423" i="10" s="1"/>
  <c r="AC406" i="10"/>
  <c r="AD406" i="10" s="1"/>
  <c r="AC383" i="10"/>
  <c r="AV383" i="10" s="1"/>
  <c r="AC293" i="10"/>
  <c r="AD293" i="10" s="1"/>
  <c r="AC337" i="10"/>
  <c r="AV337" i="10" s="1"/>
  <c r="AC286" i="10"/>
  <c r="AE286" i="10" s="1"/>
  <c r="AC350" i="10"/>
  <c r="AD350" i="10" s="1"/>
  <c r="AC416" i="10"/>
  <c r="AV416" i="10" s="1"/>
  <c r="AC391" i="10"/>
  <c r="AV391" i="10" s="1"/>
  <c r="AC463" i="10"/>
  <c r="AE463" i="10" s="1"/>
  <c r="AC547" i="10"/>
  <c r="AV547" i="10" s="1"/>
  <c r="AC263" i="10"/>
  <c r="AE263" i="10" s="1"/>
  <c r="AC45" i="10"/>
  <c r="AV45" i="10" s="1"/>
  <c r="AC145" i="10"/>
  <c r="AE145" i="10" s="1"/>
  <c r="AC61" i="10"/>
  <c r="AD61" i="10" s="1"/>
  <c r="AC58" i="10"/>
  <c r="AD58" i="10" s="1"/>
  <c r="AC82" i="10"/>
  <c r="AD82" i="10" s="1"/>
  <c r="AC167" i="10"/>
  <c r="AE167" i="10" s="1"/>
  <c r="AC80" i="10"/>
  <c r="AE80" i="10" s="1"/>
  <c r="AC284" i="10"/>
  <c r="AD284" i="10" s="1"/>
  <c r="AC206" i="10"/>
  <c r="AV206" i="10" s="1"/>
  <c r="AX206" i="10" s="1"/>
  <c r="AC335" i="10"/>
  <c r="AD335" i="10" s="1"/>
  <c r="AC385" i="10"/>
  <c r="AV385" i="10" s="1"/>
  <c r="AW385" i="10" s="1"/>
  <c r="AC487" i="10"/>
  <c r="AE487" i="10" s="1"/>
  <c r="AC533" i="10"/>
  <c r="AE533" i="10" s="1"/>
  <c r="AC195" i="10"/>
  <c r="AD195" i="10" s="1"/>
  <c r="R62" i="10"/>
  <c r="R524" i="10"/>
  <c r="R446" i="10"/>
  <c r="R314" i="10"/>
  <c r="R99" i="10"/>
  <c r="R55" i="10"/>
  <c r="R245" i="10"/>
  <c r="S213" i="10"/>
  <c r="AC152" i="10"/>
  <c r="AV152" i="10" s="1"/>
  <c r="R175" i="10"/>
  <c r="AC107" i="10"/>
  <c r="AV107" i="10" s="1"/>
  <c r="S541" i="10"/>
  <c r="S418" i="10"/>
  <c r="S322" i="10"/>
  <c r="R108" i="10"/>
  <c r="S439" i="10"/>
  <c r="R537" i="10"/>
  <c r="R410" i="10"/>
  <c r="R203" i="10"/>
  <c r="R152" i="10"/>
  <c r="R121" i="10"/>
  <c r="S154" i="10"/>
  <c r="R296" i="10"/>
  <c r="S318" i="10"/>
  <c r="AC389" i="10"/>
  <c r="AD389" i="10" s="1"/>
  <c r="S458" i="10"/>
  <c r="S378" i="10"/>
  <c r="S107" i="10"/>
  <c r="R408" i="10"/>
  <c r="S554" i="10"/>
  <c r="AC343" i="10"/>
  <c r="AV343" i="10" s="1"/>
  <c r="AC334" i="10"/>
  <c r="AE334" i="10" s="1"/>
  <c r="AC446" i="10"/>
  <c r="AE446" i="10" s="1"/>
  <c r="AC494" i="10"/>
  <c r="AD494" i="10" s="1"/>
  <c r="AC535" i="10"/>
  <c r="AV535" i="10" s="1"/>
  <c r="AC173" i="10"/>
  <c r="AV173" i="10" s="1"/>
  <c r="AC151" i="10"/>
  <c r="AE151" i="10" s="1"/>
  <c r="AC204" i="10"/>
  <c r="AV204" i="10" s="1"/>
  <c r="AC310" i="10"/>
  <c r="AV310" i="10" s="1"/>
  <c r="AX310" i="10" s="1"/>
  <c r="AC485" i="10"/>
  <c r="AE485" i="10" s="1"/>
  <c r="AC560" i="10"/>
  <c r="AD560" i="10" s="1"/>
  <c r="AS7" i="5"/>
  <c r="AU7" i="5" s="1"/>
  <c r="R419" i="10"/>
  <c r="AC419" i="10"/>
  <c r="AD419" i="10" s="1"/>
  <c r="S419" i="10"/>
  <c r="AC60" i="10"/>
  <c r="AD60" i="10" s="1"/>
  <c r="R60" i="10"/>
  <c r="S321" i="10"/>
  <c r="R321" i="10"/>
  <c r="AC135" i="10"/>
  <c r="AE135" i="10" s="1"/>
  <c r="R135" i="10"/>
  <c r="S135" i="10"/>
  <c r="R163" i="10"/>
  <c r="AC163" i="10"/>
  <c r="AE163" i="10" s="1"/>
  <c r="R193" i="10"/>
  <c r="S193" i="10"/>
  <c r="AC193" i="10"/>
  <c r="AD193" i="10" s="1"/>
  <c r="AC238" i="10"/>
  <c r="AE238" i="10" s="1"/>
  <c r="S238" i="10"/>
  <c r="R479" i="10"/>
  <c r="S479" i="10"/>
  <c r="AC479" i="10"/>
  <c r="AD479" i="10" s="1"/>
  <c r="S288" i="10"/>
  <c r="R288" i="10"/>
  <c r="AC515" i="10"/>
  <c r="AD515" i="10" s="1"/>
  <c r="R515" i="10"/>
  <c r="S515" i="10"/>
  <c r="S527" i="10"/>
  <c r="AC527" i="10"/>
  <c r="AV527" i="10" s="1"/>
  <c r="R352" i="10"/>
  <c r="AC352" i="10"/>
  <c r="AD352" i="10" s="1"/>
  <c r="S268" i="10"/>
  <c r="R268" i="10"/>
  <c r="R21" i="10"/>
  <c r="AC21" i="10"/>
  <c r="AD21" i="10" s="1"/>
  <c r="S140" i="10"/>
  <c r="R140" i="10"/>
  <c r="S65" i="10"/>
  <c r="R65" i="10"/>
  <c r="AC65" i="10"/>
  <c r="AV65" i="10" s="1"/>
  <c r="AC183" i="10"/>
  <c r="AE183" i="10" s="1"/>
  <c r="S183" i="10"/>
  <c r="R183" i="10"/>
  <c r="S303" i="10"/>
  <c r="R303" i="10"/>
  <c r="R379" i="10"/>
  <c r="S379" i="10"/>
  <c r="AC379" i="10"/>
  <c r="AD379" i="10" s="1"/>
  <c r="R427" i="10"/>
  <c r="S427" i="10"/>
  <c r="AC427" i="10"/>
  <c r="AV427" i="10" s="1"/>
  <c r="R441" i="10"/>
  <c r="S441" i="10"/>
  <c r="S289" i="10"/>
  <c r="AC289" i="10"/>
  <c r="AE289" i="10" s="1"/>
  <c r="R101" i="10"/>
  <c r="AC101" i="10"/>
  <c r="AE101" i="10" s="1"/>
  <c r="R29" i="10"/>
  <c r="AC29" i="10"/>
  <c r="AD29" i="10" s="1"/>
  <c r="S192" i="10"/>
  <c r="R192" i="10"/>
  <c r="S75" i="10"/>
  <c r="R75" i="10"/>
  <c r="AC75" i="10"/>
  <c r="AD75" i="10" s="1"/>
  <c r="AC266" i="10"/>
  <c r="AE266" i="10" s="1"/>
  <c r="S266" i="10"/>
  <c r="R354" i="10"/>
  <c r="AC354" i="10"/>
  <c r="AE354" i="10" s="1"/>
  <c r="R347" i="10"/>
  <c r="AC347" i="10"/>
  <c r="AD347" i="10" s="1"/>
  <c r="S347" i="10"/>
  <c r="S386" i="10"/>
  <c r="R386" i="10"/>
  <c r="AC386" i="10"/>
  <c r="AV386" i="10" s="1"/>
  <c r="AC489" i="10"/>
  <c r="AE489" i="10" s="1"/>
  <c r="R489" i="10"/>
  <c r="R12" i="10"/>
  <c r="S12" i="10"/>
  <c r="S166" i="10"/>
  <c r="R166" i="10"/>
  <c r="S189" i="10"/>
  <c r="AC189" i="10"/>
  <c r="AV189" i="10" s="1"/>
  <c r="AW189" i="10" s="1"/>
  <c r="R189" i="10"/>
  <c r="S198" i="10"/>
  <c r="AC198" i="10"/>
  <c r="AV198" i="10" s="1"/>
  <c r="AC169" i="10"/>
  <c r="AV169" i="10" s="1"/>
  <c r="S169" i="10"/>
  <c r="AC332" i="10"/>
  <c r="AD332" i="10" s="1"/>
  <c r="R332" i="10"/>
  <c r="AC109" i="10"/>
  <c r="AD109" i="10" s="1"/>
  <c r="R109" i="10"/>
  <c r="AC184" i="10"/>
  <c r="AE184" i="10" s="1"/>
  <c r="R184" i="10"/>
  <c r="AC161" i="10"/>
  <c r="AE161" i="10" s="1"/>
  <c r="R161" i="10"/>
  <c r="S161" i="10"/>
  <c r="AC346" i="10"/>
  <c r="AE346" i="10" s="1"/>
  <c r="S346" i="10"/>
  <c r="R346" i="10"/>
  <c r="AC339" i="10"/>
  <c r="AD339" i="10" s="1"/>
  <c r="S339" i="10"/>
  <c r="R339" i="10"/>
  <c r="S477" i="10"/>
  <c r="AC477" i="10"/>
  <c r="AE477" i="10" s="1"/>
  <c r="R482" i="10"/>
  <c r="S482" i="10"/>
  <c r="AC559" i="10"/>
  <c r="AE559" i="10" s="1"/>
  <c r="R559" i="10"/>
  <c r="S481" i="10"/>
  <c r="AC481" i="10"/>
  <c r="AD481" i="10" s="1"/>
  <c r="AC148" i="10"/>
  <c r="AD148" i="10" s="1"/>
  <c r="R148" i="10"/>
  <c r="S400" i="10"/>
  <c r="R400" i="10"/>
  <c r="R200" i="10"/>
  <c r="S200" i="10"/>
  <c r="R196" i="10"/>
  <c r="S196" i="10"/>
  <c r="R130" i="10"/>
  <c r="S130" i="10"/>
  <c r="R553" i="10"/>
  <c r="S553" i="10"/>
  <c r="AC553" i="10"/>
  <c r="AV553" i="10" s="1"/>
  <c r="AC292" i="10"/>
  <c r="AE292" i="10" s="1"/>
  <c r="AC277" i="10"/>
  <c r="AV277" i="10" s="1"/>
  <c r="AC546" i="10"/>
  <c r="AD546" i="10" s="1"/>
  <c r="AC12" i="10"/>
  <c r="AV12" i="10" s="1"/>
  <c r="AW12" i="10" s="1"/>
  <c r="AC128" i="10"/>
  <c r="AD128" i="10" s="1"/>
  <c r="AC192" i="10"/>
  <c r="AV192" i="10" s="1"/>
  <c r="AX192" i="10" s="1"/>
  <c r="AC376" i="10"/>
  <c r="AV376" i="10" s="1"/>
  <c r="AC415" i="10"/>
  <c r="AD415" i="10" s="1"/>
  <c r="AC133" i="10"/>
  <c r="AE133" i="10" s="1"/>
  <c r="S489" i="10"/>
  <c r="S354" i="10"/>
  <c r="S163" i="10"/>
  <c r="AC372" i="10"/>
  <c r="AD372" i="10" s="1"/>
  <c r="AC303" i="10"/>
  <c r="AV303" i="10" s="1"/>
  <c r="S184" i="10"/>
  <c r="R527" i="10"/>
  <c r="S60" i="10"/>
  <c r="S109" i="10"/>
  <c r="S376" i="10"/>
  <c r="S531" i="10"/>
  <c r="S529" i="10"/>
  <c r="R529" i="10"/>
  <c r="AC529" i="10"/>
  <c r="AV529" i="10" s="1"/>
  <c r="R34" i="10"/>
  <c r="S34" i="10"/>
  <c r="R233" i="10"/>
  <c r="S233" i="10"/>
  <c r="R546" i="10"/>
  <c r="S546" i="10"/>
  <c r="S498" i="10"/>
  <c r="R498" i="10"/>
  <c r="R550" i="10"/>
  <c r="S550" i="10"/>
  <c r="AC550" i="10"/>
  <c r="AV550" i="10" s="1"/>
  <c r="AC333" i="10"/>
  <c r="AV333" i="10" s="1"/>
  <c r="S333" i="10"/>
  <c r="R333" i="10"/>
  <c r="R142" i="10"/>
  <c r="AC142" i="10"/>
  <c r="AV142" i="10" s="1"/>
  <c r="S142" i="10"/>
  <c r="AC360" i="10"/>
  <c r="AD360" i="10" s="1"/>
  <c r="S360" i="10"/>
  <c r="AC32" i="10"/>
  <c r="AE32" i="10" s="1"/>
  <c r="S32" i="10"/>
  <c r="S384" i="10"/>
  <c r="AC384" i="10"/>
  <c r="AV384" i="10" s="1"/>
  <c r="R384" i="10"/>
  <c r="R57" i="10"/>
  <c r="S57" i="10"/>
  <c r="AC57" i="10"/>
  <c r="AD57" i="10" s="1"/>
  <c r="R46" i="10"/>
  <c r="AC46" i="10"/>
  <c r="AV46" i="10" s="1"/>
  <c r="R220" i="10"/>
  <c r="S220" i="10"/>
  <c r="S87" i="10"/>
  <c r="R87" i="10"/>
  <c r="R271" i="10"/>
  <c r="AC271" i="10"/>
  <c r="AD271" i="10" s="1"/>
  <c r="S398" i="10"/>
  <c r="R398" i="10"/>
  <c r="AC496" i="10"/>
  <c r="AE496" i="10" s="1"/>
  <c r="S496" i="10"/>
  <c r="R496" i="10"/>
  <c r="R329" i="10"/>
  <c r="S329" i="10"/>
  <c r="S292" i="10"/>
  <c r="R292" i="10"/>
  <c r="AC66" i="10"/>
  <c r="AV66" i="10" s="1"/>
  <c r="R66" i="10"/>
  <c r="S66" i="10"/>
  <c r="R128" i="10"/>
  <c r="S128" i="10"/>
  <c r="S48" i="10"/>
  <c r="R48" i="10"/>
  <c r="S171" i="10"/>
  <c r="R171" i="10"/>
  <c r="AC171" i="10"/>
  <c r="AE171" i="10" s="1"/>
  <c r="S298" i="10"/>
  <c r="AC298" i="10"/>
  <c r="AD298" i="10" s="1"/>
  <c r="R243" i="10"/>
  <c r="AC243" i="10"/>
  <c r="AE243" i="10" s="1"/>
  <c r="S243" i="10"/>
  <c r="R415" i="10"/>
  <c r="S415" i="10"/>
  <c r="R467" i="10"/>
  <c r="AC467" i="10"/>
  <c r="AE467" i="10" s="1"/>
  <c r="S467" i="10"/>
  <c r="AC525" i="10"/>
  <c r="AD525" i="10" s="1"/>
  <c r="S525" i="10"/>
  <c r="R217" i="10"/>
  <c r="AC217" i="10"/>
  <c r="AE217" i="10" s="1"/>
  <c r="S217" i="10"/>
  <c r="S506" i="10"/>
  <c r="R506" i="10"/>
  <c r="AC506" i="10"/>
  <c r="AV506" i="10" s="1"/>
  <c r="AC421" i="10"/>
  <c r="AV421" i="10" s="1"/>
  <c r="R421" i="10"/>
  <c r="AC106" i="10"/>
  <c r="AE106" i="10" s="1"/>
  <c r="R106" i="10"/>
  <c r="AC424" i="10"/>
  <c r="AE424" i="10" s="1"/>
  <c r="S424" i="10"/>
  <c r="AC345" i="10"/>
  <c r="AE345" i="10" s="1"/>
  <c r="S345" i="10"/>
  <c r="AC155" i="10"/>
  <c r="AE155" i="10" s="1"/>
  <c r="R155" i="10"/>
  <c r="S49" i="10"/>
  <c r="AC49" i="10"/>
  <c r="AE49" i="10" s="1"/>
  <c r="AC120" i="10"/>
  <c r="AE120" i="10" s="1"/>
  <c r="S120" i="10"/>
  <c r="R120" i="10"/>
  <c r="R24" i="10"/>
  <c r="AC24" i="10"/>
  <c r="AD24" i="10" s="1"/>
  <c r="S131" i="10"/>
  <c r="R131" i="10"/>
  <c r="AC131" i="10"/>
  <c r="AV131" i="10" s="1"/>
  <c r="AC294" i="10"/>
  <c r="AD294" i="10" s="1"/>
  <c r="R294" i="10"/>
  <c r="R235" i="10"/>
  <c r="S235" i="10"/>
  <c r="AC235" i="10"/>
  <c r="AD235" i="10" s="1"/>
  <c r="R407" i="10"/>
  <c r="S407" i="10"/>
  <c r="S459" i="10"/>
  <c r="AC459" i="10"/>
  <c r="AE459" i="10" s="1"/>
  <c r="S517" i="10"/>
  <c r="AC517" i="10"/>
  <c r="AV517" i="10" s="1"/>
  <c r="AX517" i="10" s="1"/>
  <c r="S449" i="10"/>
  <c r="AC449" i="10"/>
  <c r="AV449" i="10" s="1"/>
  <c r="R449" i="10"/>
  <c r="R191" i="10"/>
  <c r="AC191" i="10"/>
  <c r="AD191" i="10" s="1"/>
  <c r="S191" i="10"/>
  <c r="R252" i="10"/>
  <c r="AC252" i="10"/>
  <c r="AD252" i="10" s="1"/>
  <c r="AC349" i="10"/>
  <c r="AE349" i="10" s="1"/>
  <c r="S349" i="10"/>
  <c r="R349" i="10"/>
  <c r="AC321" i="10"/>
  <c r="AV321" i="10" s="1"/>
  <c r="AC400" i="10"/>
  <c r="AE400" i="10" s="1"/>
  <c r="AC299" i="10"/>
  <c r="AE299" i="10" s="1"/>
  <c r="AC130" i="10"/>
  <c r="AE130" i="10" s="1"/>
  <c r="AC68" i="10"/>
  <c r="AD68" i="10" s="1"/>
  <c r="AC268" i="10"/>
  <c r="AE268" i="10" s="1"/>
  <c r="AC398" i="10"/>
  <c r="AV398" i="10" s="1"/>
  <c r="R459" i="10"/>
  <c r="R477" i="10"/>
  <c r="S294" i="10"/>
  <c r="R262" i="10"/>
  <c r="S277" i="10"/>
  <c r="R32" i="10"/>
  <c r="R133" i="10"/>
  <c r="R98" i="10"/>
  <c r="R238" i="10"/>
  <c r="S148" i="10"/>
  <c r="S155" i="10"/>
  <c r="S332" i="10"/>
  <c r="R198" i="10"/>
  <c r="AC140" i="10"/>
  <c r="AD140" i="10" s="1"/>
  <c r="AC50" i="10"/>
  <c r="AD50" i="10" s="1"/>
  <c r="S559" i="10"/>
  <c r="R517" i="10"/>
  <c r="AC407" i="10"/>
  <c r="AD407" i="10" s="1"/>
  <c r="R49" i="10"/>
  <c r="R345" i="10"/>
  <c r="R169" i="10"/>
  <c r="S252" i="10"/>
  <c r="AC87" i="10"/>
  <c r="AV87" i="10" s="1"/>
  <c r="R359" i="10"/>
  <c r="S101" i="10"/>
  <c r="R114" i="10"/>
  <c r="AC114" i="10"/>
  <c r="AE114" i="10" s="1"/>
  <c r="S30" i="10"/>
  <c r="AC30" i="10"/>
  <c r="AV30" i="10" s="1"/>
  <c r="S7" i="10"/>
  <c r="AC7" i="10"/>
  <c r="AD7" i="10" s="1"/>
  <c r="S178" i="10"/>
  <c r="AC178" i="10"/>
  <c r="AD178" i="10" s="1"/>
  <c r="AC451" i="10"/>
  <c r="AE451" i="10" s="1"/>
  <c r="AC482" i="10"/>
  <c r="AV482" i="10" s="1"/>
  <c r="AC220" i="10"/>
  <c r="AD220" i="10" s="1"/>
  <c r="AC531" i="10"/>
  <c r="AV531" i="10" s="1"/>
  <c r="AC374" i="5"/>
  <c r="AE374" i="5" s="1"/>
  <c r="S557" i="10"/>
  <c r="AC396" i="10"/>
  <c r="AE396" i="10" s="1"/>
  <c r="AC52" i="10"/>
  <c r="AV52" i="10" s="1"/>
  <c r="R207" i="10"/>
  <c r="AC518" i="10"/>
  <c r="AD518" i="10" s="1"/>
  <c r="S256" i="10"/>
  <c r="AC256" i="10"/>
  <c r="AD256" i="10" s="1"/>
  <c r="AC214" i="10"/>
  <c r="AD214" i="10" s="1"/>
  <c r="R95" i="10"/>
  <c r="AC95" i="10"/>
  <c r="AV95" i="10" s="1"/>
  <c r="AC166" i="10"/>
  <c r="AD166" i="10" s="1"/>
  <c r="AC359" i="10"/>
  <c r="AE359" i="10" s="1"/>
  <c r="AC103" i="10"/>
  <c r="AE103" i="10" s="1"/>
  <c r="AC262" i="10"/>
  <c r="AV262" i="10" s="1"/>
  <c r="AX262" i="10" s="1"/>
  <c r="AC81" i="10"/>
  <c r="AE81" i="10" s="1"/>
  <c r="R221" i="10"/>
  <c r="R484" i="10"/>
  <c r="S313" i="10"/>
  <c r="AC196" i="10"/>
  <c r="AD196" i="10" s="1"/>
  <c r="AC366" i="10"/>
  <c r="AV366" i="10" s="1"/>
  <c r="AC390" i="10"/>
  <c r="AV390" i="10" s="1"/>
  <c r="AC67" i="10"/>
  <c r="AE67" i="10" s="1"/>
  <c r="AC98" i="10"/>
  <c r="AV98" i="10" s="1"/>
  <c r="AX98" i="10" s="1"/>
  <c r="AC239" i="10"/>
  <c r="AE239" i="10" s="1"/>
  <c r="AC329" i="10"/>
  <c r="AE329" i="10" s="1"/>
  <c r="AC25" i="10"/>
  <c r="AV25" i="10" s="1"/>
  <c r="AC369" i="10"/>
  <c r="AE369" i="10" s="1"/>
  <c r="AC549" i="10"/>
  <c r="AE549" i="10" s="1"/>
  <c r="AC39" i="10"/>
  <c r="AV39" i="10" s="1"/>
  <c r="AC312" i="10"/>
  <c r="AV312" i="10" s="1"/>
  <c r="AC44" i="10"/>
  <c r="AE44" i="10" s="1"/>
  <c r="AC414" i="10"/>
  <c r="AD414" i="10" s="1"/>
  <c r="AC555" i="10"/>
  <c r="AD555" i="10" s="1"/>
  <c r="S536" i="10"/>
  <c r="R394" i="10"/>
  <c r="R351" i="10"/>
  <c r="S456" i="10"/>
  <c r="R44" i="10"/>
  <c r="R241" i="10"/>
  <c r="AC445" i="10"/>
  <c r="AV445" i="10" s="1"/>
  <c r="AC476" i="10"/>
  <c r="AV476" i="10" s="1"/>
  <c r="AC324" i="10"/>
  <c r="AE324" i="10" s="1"/>
  <c r="AC265" i="10"/>
  <c r="AD265" i="10" s="1"/>
  <c r="R453" i="10"/>
  <c r="R423" i="10"/>
  <c r="R362" i="10"/>
  <c r="R246" i="10"/>
  <c r="S63" i="10"/>
  <c r="S94" i="10"/>
  <c r="R381" i="10"/>
  <c r="S397" i="10"/>
  <c r="R373" i="10"/>
  <c r="R89" i="10"/>
  <c r="R519" i="10"/>
  <c r="S429" i="10"/>
  <c r="AC175" i="10"/>
  <c r="AV175" i="10" s="1"/>
  <c r="AC154" i="10"/>
  <c r="AD154" i="10" s="1"/>
  <c r="R518" i="10"/>
  <c r="S53" i="10"/>
  <c r="R276" i="10"/>
  <c r="R538" i="10"/>
  <c r="S450" i="10"/>
  <c r="R334" i="10"/>
  <c r="S279" i="10"/>
  <c r="R236" i="10"/>
  <c r="AC210" i="10"/>
  <c r="AE210" i="10" s="1"/>
  <c r="S511" i="10"/>
  <c r="S431" i="10"/>
  <c r="S211" i="10"/>
  <c r="S274" i="10"/>
  <c r="S84" i="10"/>
  <c r="R61" i="10"/>
  <c r="R234" i="10"/>
  <c r="AC374" i="10"/>
  <c r="AV374" i="10" s="1"/>
  <c r="R555" i="10"/>
  <c r="AC435" i="10"/>
  <c r="AD435" i="10" s="1"/>
  <c r="T11" i="10"/>
  <c r="U11" i="10" s="1"/>
  <c r="AC461" i="10"/>
  <c r="AD461" i="10" s="1"/>
  <c r="AC328" i="10"/>
  <c r="AD328" i="10" s="1"/>
  <c r="AC480" i="10"/>
  <c r="AV480" i="10" s="1"/>
  <c r="AX480" i="10" s="1"/>
  <c r="AC22" i="10"/>
  <c r="AV22" i="10" s="1"/>
  <c r="S302" i="10"/>
  <c r="S177" i="10"/>
  <c r="AC70" i="10"/>
  <c r="AD70" i="10" s="1"/>
  <c r="AC23" i="10"/>
  <c r="AD23" i="10" s="1"/>
  <c r="R540" i="10"/>
  <c r="R363" i="10"/>
  <c r="R307" i="10"/>
  <c r="R224" i="10"/>
  <c r="AC483" i="10"/>
  <c r="AE483" i="10" s="1"/>
  <c r="S414" i="10"/>
  <c r="R311" i="10"/>
  <c r="AC344" i="10"/>
  <c r="AE344" i="10" s="1"/>
  <c r="AC144" i="10"/>
  <c r="AE144" i="10" s="1"/>
  <c r="AC269" i="10"/>
  <c r="AD269" i="10" s="1"/>
  <c r="AC313" i="10"/>
  <c r="AE313" i="10" s="1"/>
  <c r="AC392" i="10"/>
  <c r="AE392" i="10" s="1"/>
  <c r="AC431" i="10"/>
  <c r="AE431" i="10" s="1"/>
  <c r="AC539" i="10"/>
  <c r="AD539" i="10" s="1"/>
  <c r="R83" i="10"/>
  <c r="AC177" i="10"/>
  <c r="AV177" i="10" s="1"/>
  <c r="AC542" i="10"/>
  <c r="AV542" i="10" s="1"/>
  <c r="AC495" i="10"/>
  <c r="AD495" i="10" s="1"/>
  <c r="AC450" i="10"/>
  <c r="AE450" i="10" s="1"/>
  <c r="AC439" i="10"/>
  <c r="AE439" i="10" s="1"/>
  <c r="AC76" i="10"/>
  <c r="AV76" i="10" s="1"/>
  <c r="AC158" i="10"/>
  <c r="AD158" i="10" s="1"/>
  <c r="S23" i="10"/>
  <c r="R261" i="10"/>
  <c r="R464" i="10"/>
  <c r="S194" i="10"/>
  <c r="S70" i="10"/>
  <c r="S409" i="10"/>
  <c r="S22" i="10"/>
  <c r="R406" i="10"/>
  <c r="R132" i="10"/>
  <c r="R30" i="10"/>
  <c r="S214" i="10"/>
  <c r="S143" i="10"/>
  <c r="R327" i="10"/>
  <c r="AC418" i="10"/>
  <c r="AV418" i="10" s="1"/>
  <c r="AC273" i="10"/>
  <c r="AV273" i="10" s="1"/>
  <c r="AC86" i="10"/>
  <c r="AD86" i="10" s="1"/>
  <c r="AC247" i="10"/>
  <c r="AV247" i="10" s="1"/>
  <c r="R499" i="10"/>
  <c r="S473" i="10"/>
  <c r="S315" i="10"/>
  <c r="S282" i="10"/>
  <c r="S137" i="10"/>
  <c r="S160" i="10"/>
  <c r="R178" i="10"/>
  <c r="S395" i="10"/>
  <c r="AC162" i="10"/>
  <c r="AV162" i="10" s="1"/>
  <c r="AX162" i="10" s="1"/>
  <c r="AC96" i="10"/>
  <c r="AE96" i="10" s="1"/>
  <c r="AC474" i="10"/>
  <c r="AE474" i="10" s="1"/>
  <c r="AC401" i="10"/>
  <c r="AV401" i="10" s="1"/>
  <c r="AX401" i="10" s="1"/>
  <c r="AC430" i="10"/>
  <c r="AV430" i="10" s="1"/>
  <c r="AW430" i="10" s="1"/>
  <c r="AC511" i="10"/>
  <c r="AD511" i="10" s="1"/>
  <c r="AC341" i="10"/>
  <c r="AE341" i="10" s="1"/>
  <c r="AC97" i="10"/>
  <c r="AE97" i="10" s="1"/>
  <c r="S528" i="10"/>
  <c r="S423" i="10"/>
  <c r="S355" i="10"/>
  <c r="R302" i="10"/>
  <c r="S270" i="10"/>
  <c r="R63" i="10"/>
  <c r="R216" i="10"/>
  <c r="R150" i="10"/>
  <c r="S221" i="10"/>
  <c r="S461" i="10"/>
  <c r="R194" i="10"/>
  <c r="R308" i="10"/>
  <c r="R344" i="10"/>
  <c r="S451" i="10"/>
  <c r="AC493" i="10"/>
  <c r="AV493" i="10" s="1"/>
  <c r="AC368" i="10"/>
  <c r="AV368" i="10" s="1"/>
  <c r="AC260" i="10"/>
  <c r="AD260" i="10" s="1"/>
  <c r="AC207" i="10"/>
  <c r="AV207" i="10" s="1"/>
  <c r="AC62" i="10"/>
  <c r="AV62" i="10" s="1"/>
  <c r="S518" i="10"/>
  <c r="R488" i="10"/>
  <c r="S95" i="10"/>
  <c r="R212" i="10"/>
  <c r="R53" i="10"/>
  <c r="S276" i="10"/>
  <c r="R214" i="10"/>
  <c r="S538" i="10"/>
  <c r="S296" i="10"/>
  <c r="R456" i="10"/>
  <c r="R143" i="10"/>
  <c r="S374" i="10"/>
  <c r="R318" i="10"/>
  <c r="R279" i="10"/>
  <c r="S236" i="10"/>
  <c r="S156" i="10"/>
  <c r="R336" i="10"/>
  <c r="S74" i="10"/>
  <c r="S241" i="10"/>
  <c r="S64" i="10"/>
  <c r="R357" i="10"/>
  <c r="S539" i="10"/>
  <c r="AC484" i="10"/>
  <c r="AV484" i="10" s="1"/>
  <c r="AC355" i="10"/>
  <c r="AV355" i="10" s="1"/>
  <c r="AC84" i="10"/>
  <c r="AD84" i="10" s="1"/>
  <c r="AC40" i="10"/>
  <c r="AD40" i="10" s="1"/>
  <c r="S445" i="10"/>
  <c r="S363" i="10"/>
  <c r="R383" i="10"/>
  <c r="R274" i="10"/>
  <c r="S187" i="10"/>
  <c r="S224" i="10"/>
  <c r="S144" i="10"/>
  <c r="S480" i="10"/>
  <c r="R493" i="10"/>
  <c r="R448" i="10"/>
  <c r="AC504" i="10"/>
  <c r="AE504" i="10" s="1"/>
  <c r="AC454" i="10"/>
  <c r="AE454" i="10" s="1"/>
  <c r="AC408" i="10"/>
  <c r="AV408" i="10" s="1"/>
  <c r="AC119" i="10"/>
  <c r="AE119" i="10" s="1"/>
  <c r="S247" i="10"/>
  <c r="R149" i="10"/>
  <c r="S172" i="10"/>
  <c r="R40" i="10"/>
  <c r="S273" i="10"/>
  <c r="R417" i="10"/>
  <c r="AC199" i="10"/>
  <c r="AD199" i="10" s="1"/>
  <c r="AC528" i="10"/>
  <c r="AD528" i="10" s="1"/>
  <c r="AC394" i="10"/>
  <c r="AE394" i="10" s="1"/>
  <c r="AC308" i="10"/>
  <c r="AE308" i="10" s="1"/>
  <c r="AC234" i="10"/>
  <c r="AE234" i="10" s="1"/>
  <c r="AC216" i="10"/>
  <c r="AD216" i="10" s="1"/>
  <c r="AC179" i="10"/>
  <c r="AE179" i="10" s="1"/>
  <c r="AC375" i="10"/>
  <c r="AD375" i="10" s="1"/>
  <c r="AC83" i="10"/>
  <c r="AE83" i="10" s="1"/>
  <c r="AC64" i="10"/>
  <c r="AE64" i="10" s="1"/>
  <c r="R495" i="10"/>
  <c r="S375" i="10"/>
  <c r="S362" i="10"/>
  <c r="R179" i="10"/>
  <c r="R136" i="10"/>
  <c r="R226" i="10"/>
  <c r="R520" i="10"/>
  <c r="S505" i="10"/>
  <c r="R396" i="10"/>
  <c r="R557" i="10"/>
  <c r="AC270" i="10"/>
  <c r="AE270" i="10" s="1"/>
  <c r="AC336" i="10"/>
  <c r="AD336" i="10" s="1"/>
  <c r="AC311" i="10"/>
  <c r="AD311" i="10" s="1"/>
  <c r="AC307" i="10"/>
  <c r="AV307" i="10" s="1"/>
  <c r="AC42" i="10"/>
  <c r="AE42" i="10" s="1"/>
  <c r="S406" i="10"/>
  <c r="S351" i="10"/>
  <c r="R199" i="10"/>
  <c r="R267" i="10"/>
  <c r="R81" i="10"/>
  <c r="R281" i="10"/>
  <c r="R392" i="10"/>
  <c r="S42" i="10"/>
  <c r="R368" i="10"/>
  <c r="S158" i="10"/>
  <c r="R341" i="10"/>
  <c r="S114" i="10"/>
  <c r="S542" i="10"/>
  <c r="R504" i="10"/>
  <c r="R454" i="10"/>
  <c r="R103" i="10"/>
  <c r="R59" i="10"/>
  <c r="R52" i="10"/>
  <c r="S260" i="10"/>
  <c r="S483" i="10"/>
  <c r="S328" i="10"/>
  <c r="AC505" i="10"/>
  <c r="AE505" i="10" s="1"/>
  <c r="AC226" i="10"/>
  <c r="AD226" i="10" s="1"/>
  <c r="AC187" i="10"/>
  <c r="AE187" i="10" s="1"/>
  <c r="AC150" i="10"/>
  <c r="AE150" i="10" s="1"/>
  <c r="AC91" i="10"/>
  <c r="AE91" i="10" s="1"/>
  <c r="S540" i="10"/>
  <c r="R402" i="10"/>
  <c r="R195" i="10"/>
  <c r="R91" i="10"/>
  <c r="R51" i="10"/>
  <c r="R97" i="10"/>
  <c r="R269" i="10"/>
  <c r="R7" i="10"/>
  <c r="AC146" i="10"/>
  <c r="AD146" i="10" s="1"/>
  <c r="AC281" i="10"/>
  <c r="AD281" i="10" s="1"/>
  <c r="AC156" i="10"/>
  <c r="AE156" i="10" s="1"/>
  <c r="S136" i="10"/>
  <c r="S520" i="10"/>
  <c r="AC448" i="10"/>
  <c r="AV448" i="10" s="1"/>
  <c r="AC212" i="10"/>
  <c r="AD212" i="10" s="1"/>
  <c r="AC267" i="10"/>
  <c r="AE267" i="10" s="1"/>
  <c r="S59" i="10"/>
  <c r="AC402" i="10"/>
  <c r="AV402" i="10" s="1"/>
  <c r="S51" i="10"/>
  <c r="AC417" i="10"/>
  <c r="AV417" i="10" s="1"/>
  <c r="AE7" i="5"/>
  <c r="AC537" i="10"/>
  <c r="AV537" i="10" s="1"/>
  <c r="AC397" i="10"/>
  <c r="AE397" i="10" s="1"/>
  <c r="AC404" i="10"/>
  <c r="AD404" i="10" s="1"/>
  <c r="AC232" i="10"/>
  <c r="AD232" i="10" s="1"/>
  <c r="AC94" i="10"/>
  <c r="AV94" i="10" s="1"/>
  <c r="AC149" i="10"/>
  <c r="AD149" i="10" s="1"/>
  <c r="AC20" i="10"/>
  <c r="AV20" i="10" s="1"/>
  <c r="AC524" i="10"/>
  <c r="AD524" i="10" s="1"/>
  <c r="AC523" i="10"/>
  <c r="AE523" i="10" s="1"/>
  <c r="AC508" i="10"/>
  <c r="AD508" i="10" s="1"/>
  <c r="AC409" i="10"/>
  <c r="AE409" i="10" s="1"/>
  <c r="AC230" i="10"/>
  <c r="AV230" i="10" s="1"/>
  <c r="AC213" i="10"/>
  <c r="AD213" i="10" s="1"/>
  <c r="S442" i="10"/>
  <c r="S310" i="10"/>
  <c r="R88" i="10"/>
  <c r="S19" i="10"/>
  <c r="S28" i="10"/>
  <c r="S242" i="10"/>
  <c r="S265" i="10"/>
  <c r="R237" i="10"/>
  <c r="S457" i="10"/>
  <c r="R530" i="10"/>
  <c r="R532" i="10"/>
  <c r="R71" i="10"/>
  <c r="R324" i="10"/>
  <c r="S476" i="10"/>
  <c r="R86" i="10"/>
  <c r="R264" i="10"/>
  <c r="S309" i="10"/>
  <c r="S404" i="10"/>
  <c r="R27" i="10"/>
  <c r="S45" i="10"/>
  <c r="S460" i="10"/>
  <c r="S428" i="10"/>
  <c r="S438" i="10"/>
  <c r="S255" i="10"/>
  <c r="S119" i="10"/>
  <c r="S31" i="10"/>
  <c r="R134" i="10"/>
  <c r="R146" i="10"/>
  <c r="AC521" i="10"/>
  <c r="AD521" i="10" s="1"/>
  <c r="AC457" i="10"/>
  <c r="AD457" i="10" s="1"/>
  <c r="AC447" i="10"/>
  <c r="AE447" i="10" s="1"/>
  <c r="AC282" i="10"/>
  <c r="AV282" i="10" s="1"/>
  <c r="AC240" i="10"/>
  <c r="AD240" i="10" s="1"/>
  <c r="R541" i="10"/>
  <c r="S499" i="10"/>
  <c r="R458" i="10"/>
  <c r="R473" i="10"/>
  <c r="R378" i="10"/>
  <c r="R315" i="10"/>
  <c r="R211" i="10"/>
  <c r="R250" i="10"/>
  <c r="R137" i="10"/>
  <c r="R160" i="10"/>
  <c r="S320" i="10"/>
  <c r="AC470" i="10"/>
  <c r="AD470" i="10" s="1"/>
  <c r="AC190" i="10"/>
  <c r="AE190" i="10" s="1"/>
  <c r="AC223" i="10"/>
  <c r="AE223" i="10" s="1"/>
  <c r="S470" i="10"/>
  <c r="S350" i="10"/>
  <c r="S287" i="10"/>
  <c r="S205" i="10"/>
  <c r="R389" i="10"/>
  <c r="S25" i="10"/>
  <c r="S388" i="10"/>
  <c r="AC237" i="10"/>
  <c r="AD237" i="10" s="1"/>
  <c r="AC246" i="10"/>
  <c r="AE246" i="10" s="1"/>
  <c r="AG11" i="10"/>
  <c r="AH11" i="10" s="1"/>
  <c r="AM11" i="10"/>
  <c r="AN11" i="10" s="1"/>
  <c r="AC545" i="10"/>
  <c r="AE545" i="10" s="1"/>
  <c r="AC519" i="10"/>
  <c r="AD519" i="10" s="1"/>
  <c r="AC453" i="10"/>
  <c r="AD453" i="10" s="1"/>
  <c r="AC429" i="10"/>
  <c r="AD429" i="10" s="1"/>
  <c r="AC306" i="10"/>
  <c r="AV306" i="10" s="1"/>
  <c r="AC357" i="10"/>
  <c r="AD357" i="10" s="1"/>
  <c r="AC370" i="10"/>
  <c r="AV370" i="10" s="1"/>
  <c r="AC264" i="10"/>
  <c r="AE264" i="10" s="1"/>
  <c r="AC147" i="10"/>
  <c r="AE147" i="10" s="1"/>
  <c r="AC99" i="10"/>
  <c r="AV99" i="10" s="1"/>
  <c r="S203" i="10"/>
  <c r="S314" i="10"/>
  <c r="S278" i="10"/>
  <c r="S55" i="10"/>
  <c r="S41" i="10"/>
  <c r="S121" i="10"/>
  <c r="S245" i="10"/>
  <c r="S464" i="10"/>
  <c r="S373" i="10"/>
  <c r="S468" i="10"/>
  <c r="S89" i="10"/>
  <c r="AC532" i="10"/>
  <c r="AV532" i="10" s="1"/>
  <c r="AC472" i="10"/>
  <c r="AV472" i="10" s="1"/>
  <c r="AC327" i="10"/>
  <c r="AE327" i="10" s="1"/>
  <c r="AC159" i="10"/>
  <c r="AE159" i="10" s="1"/>
  <c r="AC74" i="10"/>
  <c r="AD74" i="10" s="1"/>
  <c r="AC255" i="10"/>
  <c r="AD255" i="10" s="1"/>
  <c r="S488" i="10"/>
  <c r="R371" i="10"/>
  <c r="S132" i="10"/>
  <c r="S257" i="10"/>
  <c r="AC554" i="10"/>
  <c r="AE554" i="10" s="1"/>
  <c r="AC438" i="10"/>
  <c r="AE438" i="10" s="1"/>
  <c r="AC134" i="10"/>
  <c r="AV134" i="10" s="1"/>
  <c r="AC71" i="10"/>
  <c r="AD71" i="10" s="1"/>
  <c r="S284" i="10"/>
  <c r="R201" i="10"/>
  <c r="R230" i="10"/>
  <c r="R523" i="10"/>
  <c r="R147" i="10"/>
  <c r="R472" i="10"/>
  <c r="R159" i="10"/>
  <c r="R395" i="10"/>
  <c r="R172" i="10"/>
  <c r="S108" i="10"/>
  <c r="AC19" i="10"/>
  <c r="AD19" i="10" s="1"/>
  <c r="AJ11" i="10"/>
  <c r="AK11" i="10" s="1"/>
  <c r="Z11" i="10"/>
  <c r="S10" i="10"/>
  <c r="AC460" i="10"/>
  <c r="AD460" i="10" s="1"/>
  <c r="AC27" i="10"/>
  <c r="AD27" i="10" s="1"/>
  <c r="AC201" i="10"/>
  <c r="AE201" i="10" s="1"/>
  <c r="AC287" i="10"/>
  <c r="AE287" i="10" s="1"/>
  <c r="AC31" i="10"/>
  <c r="AE31" i="10" s="1"/>
  <c r="R28" i="10"/>
  <c r="R242" i="10"/>
  <c r="R428" i="10"/>
  <c r="S146" i="10"/>
  <c r="AP11" i="10"/>
  <c r="AQ11" i="10" s="1"/>
  <c r="AC10" i="10"/>
  <c r="AV10" i="10" s="1"/>
  <c r="H82" i="1"/>
  <c r="S274" i="5"/>
  <c r="AC52" i="5"/>
  <c r="AE52" i="5" s="1"/>
  <c r="AC274" i="5"/>
  <c r="AD274" i="5" s="1"/>
  <c r="AC115" i="5"/>
  <c r="AE115" i="5" s="1"/>
  <c r="S205" i="5"/>
  <c r="AC288" i="5"/>
  <c r="AD288" i="5" s="1"/>
  <c r="R481" i="5"/>
  <c r="AC481" i="5"/>
  <c r="AE481" i="5" s="1"/>
  <c r="S422" i="5"/>
  <c r="AC205" i="5"/>
  <c r="AE205" i="5" s="1"/>
  <c r="S52" i="5"/>
  <c r="S287" i="5"/>
  <c r="R115" i="5"/>
  <c r="S288" i="5"/>
  <c r="R374" i="5"/>
  <c r="R33" i="5"/>
  <c r="R470" i="5"/>
  <c r="AC397" i="5"/>
  <c r="AD397" i="5" s="1"/>
  <c r="S397" i="5"/>
  <c r="S366" i="5"/>
  <c r="AC470" i="5"/>
  <c r="AD470" i="5" s="1"/>
  <c r="R306" i="5"/>
  <c r="S229" i="5"/>
  <c r="S479" i="5"/>
  <c r="S214" i="5"/>
  <c r="AC216" i="5"/>
  <c r="AS216" i="5" s="1"/>
  <c r="AT216" i="5" s="1"/>
  <c r="AC204" i="5"/>
  <c r="AE204" i="5" s="1"/>
  <c r="AC229" i="5"/>
  <c r="AD229" i="5" s="1"/>
  <c r="R509" i="5"/>
  <c r="AC422" i="5"/>
  <c r="AS422" i="5" s="1"/>
  <c r="AT422" i="5" s="1"/>
  <c r="S408" i="5"/>
  <c r="R434" i="5"/>
  <c r="S19" i="5"/>
  <c r="S216" i="5"/>
  <c r="AM11" i="5"/>
  <c r="AO11" i="5" s="1"/>
  <c r="S204" i="5"/>
  <c r="AC440" i="5"/>
  <c r="AD440" i="5" s="1"/>
  <c r="AC540" i="5"/>
  <c r="AE540" i="5" s="1"/>
  <c r="R347" i="5"/>
  <c r="AC306" i="5"/>
  <c r="AE306" i="5" s="1"/>
  <c r="AC160" i="5"/>
  <c r="AS160" i="5" s="1"/>
  <c r="AU160" i="5" s="1"/>
  <c r="AC363" i="5"/>
  <c r="AD363" i="5" s="1"/>
  <c r="S504" i="5"/>
  <c r="R416" i="5"/>
  <c r="R461" i="5"/>
  <c r="S515" i="5"/>
  <c r="R363" i="5"/>
  <c r="S160" i="5"/>
  <c r="AC366" i="5"/>
  <c r="AS366" i="5" s="1"/>
  <c r="AU366" i="5" s="1"/>
  <c r="S240" i="5"/>
  <c r="R117" i="5"/>
  <c r="S273" i="5"/>
  <c r="R305" i="5"/>
  <c r="R194" i="5"/>
  <c r="AC117" i="5"/>
  <c r="AS117" i="5" s="1"/>
  <c r="AU117" i="5" s="1"/>
  <c r="S437" i="5"/>
  <c r="R22" i="5"/>
  <c r="R189" i="5"/>
  <c r="AC19" i="5"/>
  <c r="AE19" i="5" s="1"/>
  <c r="AC347" i="5"/>
  <c r="AE347" i="5" s="1"/>
  <c r="AC287" i="5"/>
  <c r="AD287" i="5" s="1"/>
  <c r="AC189" i="5"/>
  <c r="AD189" i="5" s="1"/>
  <c r="AC240" i="5"/>
  <c r="AD240" i="5" s="1"/>
  <c r="AC515" i="5"/>
  <c r="AD515" i="5" s="1"/>
  <c r="AC434" i="5"/>
  <c r="AS434" i="5" s="1"/>
  <c r="AT434" i="5" s="1"/>
  <c r="AC9" i="10"/>
  <c r="AD9" i="10" s="1"/>
  <c r="R9" i="10"/>
  <c r="S9" i="10"/>
  <c r="AC492" i="5"/>
  <c r="AE492" i="5" s="1"/>
  <c r="AH9" i="10"/>
  <c r="AI9" i="10"/>
  <c r="AO9" i="10"/>
  <c r="AN9" i="10"/>
  <c r="AS9" i="10"/>
  <c r="R188" i="5"/>
  <c r="R446" i="5"/>
  <c r="R540" i="5"/>
  <c r="AC483" i="5"/>
  <c r="AE483" i="5" s="1"/>
  <c r="AQ9" i="10"/>
  <c r="AR9" i="10"/>
  <c r="AA9" i="10"/>
  <c r="AB9" i="10"/>
  <c r="U9" i="10"/>
  <c r="V9" i="10"/>
  <c r="AC33" i="5"/>
  <c r="AS33" i="5" s="1"/>
  <c r="AT33" i="5" s="1"/>
  <c r="S11" i="10"/>
  <c r="R11" i="10"/>
  <c r="S440" i="5"/>
  <c r="AC437" i="5"/>
  <c r="AD437" i="5" s="1"/>
  <c r="AC22" i="5"/>
  <c r="AE22" i="5" s="1"/>
  <c r="AC266" i="5"/>
  <c r="AE266" i="5" s="1"/>
  <c r="AC504" i="5"/>
  <c r="AS504" i="5" s="1"/>
  <c r="AT504" i="5" s="1"/>
  <c r="Y9" i="10"/>
  <c r="X9" i="10"/>
  <c r="AK9" i="10"/>
  <c r="AL9" i="10"/>
  <c r="S95" i="5"/>
  <c r="S30" i="5"/>
  <c r="S498" i="5"/>
  <c r="S203" i="5"/>
  <c r="R107" i="5"/>
  <c r="R89" i="5"/>
  <c r="R73" i="5"/>
  <c r="S147" i="5"/>
  <c r="R37" i="5"/>
  <c r="AC193" i="5"/>
  <c r="AE193" i="5" s="1"/>
  <c r="AC73" i="5"/>
  <c r="AE73" i="5" s="1"/>
  <c r="AC203" i="5"/>
  <c r="AD203" i="5" s="1"/>
  <c r="AC30" i="5"/>
  <c r="AD30" i="5" s="1"/>
  <c r="AC107" i="5"/>
  <c r="AE107" i="5" s="1"/>
  <c r="AC147" i="5"/>
  <c r="AS147" i="5" s="1"/>
  <c r="AU147" i="5" s="1"/>
  <c r="R281" i="5"/>
  <c r="R530" i="5"/>
  <c r="S492" i="5"/>
  <c r="R355" i="5"/>
  <c r="S266" i="5"/>
  <c r="S193" i="5"/>
  <c r="AC281" i="5"/>
  <c r="AS281" i="5" s="1"/>
  <c r="AU281" i="5" s="1"/>
  <c r="AC89" i="5"/>
  <c r="AD89" i="5" s="1"/>
  <c r="AC530" i="5"/>
  <c r="AD530" i="5" s="1"/>
  <c r="AC95" i="5"/>
  <c r="AE95" i="5" s="1"/>
  <c r="R65" i="5"/>
  <c r="R346" i="5"/>
  <c r="R483" i="5"/>
  <c r="R146" i="5"/>
  <c r="S519" i="5"/>
  <c r="S190" i="5"/>
  <c r="T11" i="5"/>
  <c r="U11" i="5" s="1"/>
  <c r="R175" i="5"/>
  <c r="S169" i="5"/>
  <c r="R252" i="5"/>
  <c r="AC188" i="5"/>
  <c r="AS188" i="5" s="1"/>
  <c r="AU188" i="5" s="1"/>
  <c r="AC138" i="5"/>
  <c r="AD138" i="5" s="1"/>
  <c r="R138" i="5"/>
  <c r="R432" i="5"/>
  <c r="S525" i="5"/>
  <c r="S329" i="5"/>
  <c r="R42" i="5"/>
  <c r="AC519" i="5"/>
  <c r="AD519" i="5" s="1"/>
  <c r="AC279" i="5"/>
  <c r="AS279" i="5" s="1"/>
  <c r="AU279" i="5" s="1"/>
  <c r="AC194" i="5"/>
  <c r="AE194" i="5" s="1"/>
  <c r="AC342" i="5"/>
  <c r="AD342" i="5" s="1"/>
  <c r="AC213" i="5"/>
  <c r="AS213" i="5" s="1"/>
  <c r="AU213" i="5" s="1"/>
  <c r="AC346" i="5"/>
  <c r="AE346" i="5" s="1"/>
  <c r="AC329" i="5"/>
  <c r="AE329" i="5" s="1"/>
  <c r="AC525" i="5"/>
  <c r="AE525" i="5" s="1"/>
  <c r="AC408" i="5"/>
  <c r="AS408" i="5" s="1"/>
  <c r="AU408" i="5" s="1"/>
  <c r="AC190" i="5"/>
  <c r="AD190" i="5" s="1"/>
  <c r="AE426" i="10"/>
  <c r="AV426" i="10"/>
  <c r="AD426" i="10"/>
  <c r="AE250" i="10"/>
  <c r="AV250" i="10"/>
  <c r="AD250" i="10"/>
  <c r="AV257" i="10"/>
  <c r="AD257" i="10"/>
  <c r="AE257" i="10"/>
  <c r="AE211" i="10"/>
  <c r="AD211" i="10"/>
  <c r="AV211" i="10"/>
  <c r="R403" i="5"/>
  <c r="R90" i="5"/>
  <c r="AC403" i="5"/>
  <c r="AD403" i="5" s="1"/>
  <c r="AC90" i="5"/>
  <c r="AE90" i="5" s="1"/>
  <c r="AV185" i="10"/>
  <c r="AE185" i="10"/>
  <c r="AD185" i="10"/>
  <c r="AE231" i="10"/>
  <c r="AD231" i="10"/>
  <c r="AV231" i="10"/>
  <c r="AE129" i="10"/>
  <c r="R388" i="5"/>
  <c r="S411" i="5"/>
  <c r="AD164" i="10"/>
  <c r="S162" i="5"/>
  <c r="S319" i="5"/>
  <c r="R157" i="5"/>
  <c r="S70" i="5"/>
  <c r="AC305" i="5"/>
  <c r="AS305" i="5" s="1"/>
  <c r="AU305" i="5" s="1"/>
  <c r="AC65" i="5"/>
  <c r="AD65" i="5" s="1"/>
  <c r="AC411" i="5"/>
  <c r="AE411" i="5" s="1"/>
  <c r="AD395" i="10"/>
  <c r="AE395" i="10"/>
  <c r="AV395" i="10"/>
  <c r="AE108" i="10"/>
  <c r="AD108" i="10"/>
  <c r="AV108" i="10"/>
  <c r="AE541" i="10"/>
  <c r="AV541" i="10"/>
  <c r="AD541" i="10"/>
  <c r="AV245" i="10"/>
  <c r="AD245" i="10"/>
  <c r="AE245" i="10"/>
  <c r="AD224" i="10"/>
  <c r="AV224" i="10"/>
  <c r="AE224" i="10"/>
  <c r="AV54" i="10"/>
  <c r="AD54" i="10"/>
  <c r="AE54" i="10"/>
  <c r="AC388" i="5"/>
  <c r="AD388" i="5" s="1"/>
  <c r="S394" i="5"/>
  <c r="S100" i="5"/>
  <c r="R399" i="5"/>
  <c r="AC400" i="5"/>
  <c r="AE400" i="5" s="1"/>
  <c r="S207" i="5"/>
  <c r="R400" i="5"/>
  <c r="AC100" i="5"/>
  <c r="AS100" i="5" s="1"/>
  <c r="AT100" i="5" s="1"/>
  <c r="AC207" i="5"/>
  <c r="AS207" i="5" s="1"/>
  <c r="AU207" i="5" s="1"/>
  <c r="AC355" i="5"/>
  <c r="AD355" i="5" s="1"/>
  <c r="S421" i="5"/>
  <c r="AC421" i="5"/>
  <c r="AE421" i="5" s="1"/>
  <c r="R541" i="5"/>
  <c r="R296" i="5"/>
  <c r="R477" i="5"/>
  <c r="S86" i="5"/>
  <c r="S61" i="5"/>
  <c r="S279" i="5"/>
  <c r="R445" i="5"/>
  <c r="R300" i="5"/>
  <c r="R369" i="5"/>
  <c r="S60" i="5"/>
  <c r="R213" i="5"/>
  <c r="R176" i="5"/>
  <c r="R113" i="5"/>
  <c r="S236" i="5"/>
  <c r="R342" i="5"/>
  <c r="AC176" i="5"/>
  <c r="AE176" i="5" s="1"/>
  <c r="AC70" i="5"/>
  <c r="AS70" i="5" s="1"/>
  <c r="AT70" i="5" s="1"/>
  <c r="AC94" i="5"/>
  <c r="AE94" i="5" s="1"/>
  <c r="AC42" i="5"/>
  <c r="AE42" i="5" s="1"/>
  <c r="AC60" i="5"/>
  <c r="AS60" i="5" s="1"/>
  <c r="S522" i="5"/>
  <c r="R126" i="5"/>
  <c r="AC522" i="5"/>
  <c r="AD522" i="5" s="1"/>
  <c r="S383" i="5"/>
  <c r="AC394" i="5"/>
  <c r="AD394" i="5" s="1"/>
  <c r="AC239" i="5"/>
  <c r="AE239" i="5" s="1"/>
  <c r="AC393" i="5"/>
  <c r="AS393" i="5" s="1"/>
  <c r="AU393" i="5" s="1"/>
  <c r="S148" i="5"/>
  <c r="R170" i="5"/>
  <c r="S83" i="5"/>
  <c r="R549" i="5"/>
  <c r="R239" i="5"/>
  <c r="AC383" i="5"/>
  <c r="AE383" i="5" s="1"/>
  <c r="AC410" i="5"/>
  <c r="AE410" i="5" s="1"/>
  <c r="AC83" i="5"/>
  <c r="AD83" i="5" s="1"/>
  <c r="AC170" i="5"/>
  <c r="AE170" i="5" s="1"/>
  <c r="R257" i="5"/>
  <c r="S447" i="5"/>
  <c r="R410" i="5"/>
  <c r="R393" i="5"/>
  <c r="R36" i="5"/>
  <c r="AC549" i="5"/>
  <c r="AE549" i="5" s="1"/>
  <c r="R337" i="5"/>
  <c r="R47" i="5"/>
  <c r="S520" i="5"/>
  <c r="S350" i="5"/>
  <c r="S496" i="5"/>
  <c r="S351" i="5"/>
  <c r="AC292" i="5"/>
  <c r="AD292" i="5" s="1"/>
  <c r="AC337" i="5"/>
  <c r="AS337" i="5" s="1"/>
  <c r="AT337" i="5" s="1"/>
  <c r="AC196" i="5"/>
  <c r="AE196" i="5" s="1"/>
  <c r="AC86" i="5"/>
  <c r="AD86" i="5" s="1"/>
  <c r="AC541" i="5"/>
  <c r="AS541" i="5" s="1"/>
  <c r="AT541" i="5" s="1"/>
  <c r="S292" i="5"/>
  <c r="R373" i="5"/>
  <c r="S94" i="5"/>
  <c r="AC296" i="5"/>
  <c r="AE296" i="5" s="1"/>
  <c r="AC47" i="5"/>
  <c r="AE47" i="5" s="1"/>
  <c r="AC351" i="5"/>
  <c r="AD351" i="5" s="1"/>
  <c r="AC257" i="5"/>
  <c r="AD257" i="5" s="1"/>
  <c r="AC520" i="5"/>
  <c r="AS520" i="5" s="1"/>
  <c r="AT520" i="5" s="1"/>
  <c r="S201" i="5"/>
  <c r="R536" i="5"/>
  <c r="AC496" i="5"/>
  <c r="AD496" i="5" s="1"/>
  <c r="AC536" i="5"/>
  <c r="AD536" i="5" s="1"/>
  <c r="AC201" i="5"/>
  <c r="AS201" i="5" s="1"/>
  <c r="AT201" i="5" s="1"/>
  <c r="S109" i="5"/>
  <c r="S227" i="5"/>
  <c r="S311" i="5"/>
  <c r="AC311" i="5"/>
  <c r="AS311" i="5" s="1"/>
  <c r="AU311" i="5" s="1"/>
  <c r="AC109" i="5"/>
  <c r="AS109" i="5" s="1"/>
  <c r="AU109" i="5" s="1"/>
  <c r="AC373" i="5"/>
  <c r="AS373" i="5" s="1"/>
  <c r="AU373" i="5" s="1"/>
  <c r="AC227" i="5"/>
  <c r="AS227" i="5" s="1"/>
  <c r="AU227" i="5" s="1"/>
  <c r="R246" i="5"/>
  <c r="AC246" i="5"/>
  <c r="AE246" i="5" s="1"/>
  <c r="AC482" i="5"/>
  <c r="AE482" i="5" s="1"/>
  <c r="S265" i="5"/>
  <c r="R512" i="5"/>
  <c r="AC66" i="5"/>
  <c r="AS66" i="5" s="1"/>
  <c r="AU66" i="5" s="1"/>
  <c r="R423" i="5"/>
  <c r="S66" i="5"/>
  <c r="R183" i="5"/>
  <c r="S277" i="5"/>
  <c r="AC423" i="5"/>
  <c r="AD423" i="5" s="1"/>
  <c r="AC183" i="5"/>
  <c r="AS183" i="5" s="1"/>
  <c r="AU183" i="5" s="1"/>
  <c r="AC335" i="5"/>
  <c r="AE335" i="5" s="1"/>
  <c r="S487" i="5"/>
  <c r="S245" i="5"/>
  <c r="S458" i="5"/>
  <c r="AC460" i="5"/>
  <c r="AD460" i="5" s="1"/>
  <c r="R500" i="5"/>
  <c r="Z11" i="5"/>
  <c r="AA11" i="5" s="1"/>
  <c r="S368" i="5"/>
  <c r="R560" i="5"/>
  <c r="R268" i="5"/>
  <c r="R154" i="5"/>
  <c r="R28" i="5"/>
  <c r="S152" i="5"/>
  <c r="S465" i="5"/>
  <c r="S452" i="5"/>
  <c r="R468" i="5"/>
  <c r="S102" i="5"/>
  <c r="S127" i="5"/>
  <c r="S166" i="5"/>
  <c r="S99" i="5"/>
  <c r="AC500" i="5"/>
  <c r="AE500" i="5" s="1"/>
  <c r="AC503" i="5"/>
  <c r="AE503" i="5" s="1"/>
  <c r="AC326" i="5"/>
  <c r="AE326" i="5" s="1"/>
  <c r="AC113" i="5"/>
  <c r="AS113" i="5" s="1"/>
  <c r="AT113" i="5" s="1"/>
  <c r="AC553" i="5"/>
  <c r="AS553" i="5" s="1"/>
  <c r="AT553" i="5" s="1"/>
  <c r="AC102" i="5"/>
  <c r="AD102" i="5" s="1"/>
  <c r="AC162" i="5"/>
  <c r="AS162" i="5" s="1"/>
  <c r="AT162" i="5" s="1"/>
  <c r="AC278" i="5"/>
  <c r="AE278" i="5" s="1"/>
  <c r="AC459" i="5"/>
  <c r="AD459" i="5" s="1"/>
  <c r="AC324" i="5"/>
  <c r="AE324" i="5" s="1"/>
  <c r="AC256" i="5"/>
  <c r="AS256" i="5" s="1"/>
  <c r="AU256" i="5" s="1"/>
  <c r="AC191" i="5"/>
  <c r="AE191" i="5" s="1"/>
  <c r="AC452" i="5"/>
  <c r="AD452" i="5" s="1"/>
  <c r="AC244" i="5"/>
  <c r="AE244" i="5" s="1"/>
  <c r="AI11" i="5"/>
  <c r="R156" i="5"/>
  <c r="S427" i="5"/>
  <c r="S405" i="5"/>
  <c r="R324" i="5"/>
  <c r="S545" i="5"/>
  <c r="R77" i="5"/>
  <c r="R241" i="5"/>
  <c r="S69" i="5"/>
  <c r="R414" i="5"/>
  <c r="S552" i="5"/>
  <c r="R330" i="5"/>
  <c r="S68" i="5"/>
  <c r="R225" i="5"/>
  <c r="AC143" i="5"/>
  <c r="AD143" i="5" s="1"/>
  <c r="AC35" i="5"/>
  <c r="AD35" i="5" s="1"/>
  <c r="AC61" i="5"/>
  <c r="AS61" i="5" s="1"/>
  <c r="AU61" i="5" s="1"/>
  <c r="AC368" i="5"/>
  <c r="AE368" i="5" s="1"/>
  <c r="AC54" i="5"/>
  <c r="AS54" i="5" s="1"/>
  <c r="AU54" i="5" s="1"/>
  <c r="AC136" i="5"/>
  <c r="AS136" i="5" s="1"/>
  <c r="AU136" i="5" s="1"/>
  <c r="AC360" i="5"/>
  <c r="AS360" i="5" s="1"/>
  <c r="AT360" i="5" s="1"/>
  <c r="AC268" i="5"/>
  <c r="AE268" i="5" s="1"/>
  <c r="AC461" i="5"/>
  <c r="AS461" i="5" s="1"/>
  <c r="AC417" i="5"/>
  <c r="AE417" i="5" s="1"/>
  <c r="AC529" i="5"/>
  <c r="AS529" i="5" s="1"/>
  <c r="AC545" i="5"/>
  <c r="AD545" i="5" s="1"/>
  <c r="AC416" i="5"/>
  <c r="AE416" i="5" s="1"/>
  <c r="AC154" i="5"/>
  <c r="AE154" i="5" s="1"/>
  <c r="AC127" i="5"/>
  <c r="AE127" i="5" s="1"/>
  <c r="R426" i="5"/>
  <c r="AJ11" i="5"/>
  <c r="S67" i="5"/>
  <c r="S453" i="5"/>
  <c r="R514" i="5"/>
  <c r="S417" i="5"/>
  <c r="R529" i="5"/>
  <c r="S35" i="5"/>
  <c r="R27" i="5"/>
  <c r="R235" i="5"/>
  <c r="R105" i="5"/>
  <c r="S360" i="5"/>
  <c r="R244" i="5"/>
  <c r="AC273" i="5"/>
  <c r="AE273" i="5" s="1"/>
  <c r="AC177" i="5"/>
  <c r="AS177" i="5" s="1"/>
  <c r="AC253" i="5"/>
  <c r="AS253" i="5" s="1"/>
  <c r="AT253" i="5" s="1"/>
  <c r="R395" i="5"/>
  <c r="AC330" i="5"/>
  <c r="AD330" i="5" s="1"/>
  <c r="AC426" i="5"/>
  <c r="AD426" i="5" s="1"/>
  <c r="AC215" i="5"/>
  <c r="AS215" i="5" s="1"/>
  <c r="AU215" i="5" s="1"/>
  <c r="AC395" i="5"/>
  <c r="AS395" i="5" s="1"/>
  <c r="AT395" i="5" s="1"/>
  <c r="AC169" i="5"/>
  <c r="AS169" i="5" s="1"/>
  <c r="AT169" i="5" s="1"/>
  <c r="S58" i="5"/>
  <c r="R97" i="5"/>
  <c r="S460" i="5"/>
  <c r="R144" i="5"/>
  <c r="S450" i="5"/>
  <c r="S466" i="5"/>
  <c r="R335" i="5"/>
  <c r="AC81" i="5"/>
  <c r="AS81" i="5" s="1"/>
  <c r="AT81" i="5" s="1"/>
  <c r="S362" i="5"/>
  <c r="S81" i="5"/>
  <c r="R196" i="5"/>
  <c r="AC450" i="5"/>
  <c r="AS450" i="5" s="1"/>
  <c r="AU450" i="5" s="1"/>
  <c r="AC97" i="5"/>
  <c r="AD97" i="5" s="1"/>
  <c r="S29" i="5"/>
  <c r="R180" i="5"/>
  <c r="S482" i="5"/>
  <c r="S354" i="5"/>
  <c r="R200" i="5"/>
  <c r="AC200" i="5"/>
  <c r="AS200" i="5" s="1"/>
  <c r="AU200" i="5" s="1"/>
  <c r="AC429" i="5"/>
  <c r="AD429" i="5" s="1"/>
  <c r="S341" i="5"/>
  <c r="S533" i="5"/>
  <c r="S528" i="5"/>
  <c r="S444" i="5"/>
  <c r="W11" i="5"/>
  <c r="X11" i="5" s="1"/>
  <c r="R322" i="5"/>
  <c r="S206" i="5"/>
  <c r="S256" i="5"/>
  <c r="S339" i="5"/>
  <c r="R459" i="5"/>
  <c r="S370" i="5"/>
  <c r="S179" i="5"/>
  <c r="S125" i="5"/>
  <c r="R289" i="5"/>
  <c r="S371" i="5"/>
  <c r="R497" i="5"/>
  <c r="R74" i="5"/>
  <c r="R297" i="5"/>
  <c r="R143" i="5"/>
  <c r="R263" i="5"/>
  <c r="R547" i="5"/>
  <c r="S293" i="5"/>
  <c r="R120" i="5"/>
  <c r="R462" i="5"/>
  <c r="AC300" i="5"/>
  <c r="AE300" i="5" s="1"/>
  <c r="AC472" i="5"/>
  <c r="AD472" i="5" s="1"/>
  <c r="AC235" i="5"/>
  <c r="AD235" i="5" s="1"/>
  <c r="AC552" i="5"/>
  <c r="AD552" i="5" s="1"/>
  <c r="AC341" i="5"/>
  <c r="AS341" i="5" s="1"/>
  <c r="AU341" i="5" s="1"/>
  <c r="AC99" i="5"/>
  <c r="AD99" i="5" s="1"/>
  <c r="AC544" i="5"/>
  <c r="AD544" i="5" s="1"/>
  <c r="AC560" i="5"/>
  <c r="AD560" i="5" s="1"/>
  <c r="AC69" i="5"/>
  <c r="AS69" i="5" s="1"/>
  <c r="AT69" i="5" s="1"/>
  <c r="AC370" i="5"/>
  <c r="AD370" i="5" s="1"/>
  <c r="AC75" i="5"/>
  <c r="AD75" i="5" s="1"/>
  <c r="AC68" i="5"/>
  <c r="AD68" i="5" s="1"/>
  <c r="AC371" i="5"/>
  <c r="AE371" i="5" s="1"/>
  <c r="AC221" i="5"/>
  <c r="AE221" i="5" s="1"/>
  <c r="AC547" i="5"/>
  <c r="AD547" i="5" s="1"/>
  <c r="AC263" i="5"/>
  <c r="AE263" i="5" s="1"/>
  <c r="AC206" i="5"/>
  <c r="AS206" i="5" s="1"/>
  <c r="AT206" i="5" s="1"/>
  <c r="AC387" i="5"/>
  <c r="AD387" i="5" s="1"/>
  <c r="S503" i="5"/>
  <c r="R378" i="5"/>
  <c r="S231" i="5"/>
  <c r="Q11" i="5"/>
  <c r="R11" i="5" s="1"/>
  <c r="R124" i="5"/>
  <c r="R82" i="5"/>
  <c r="R136" i="5"/>
  <c r="R54" i="5"/>
  <c r="S8" i="5"/>
  <c r="R221" i="5"/>
  <c r="R372" i="5"/>
  <c r="R544" i="5"/>
  <c r="R326" i="5"/>
  <c r="S59" i="5"/>
  <c r="S472" i="5"/>
  <c r="R387" i="5"/>
  <c r="S253" i="5"/>
  <c r="S75" i="5"/>
  <c r="R513" i="5"/>
  <c r="S177" i="5"/>
  <c r="R215" i="5"/>
  <c r="R391" i="5"/>
  <c r="S20" i="5"/>
  <c r="R553" i="5"/>
  <c r="R278" i="5"/>
  <c r="AC405" i="5"/>
  <c r="AE405" i="5" s="1"/>
  <c r="AC391" i="5"/>
  <c r="AD391" i="5" s="1"/>
  <c r="AC462" i="5"/>
  <c r="AS462" i="5" s="1"/>
  <c r="AT462" i="5" s="1"/>
  <c r="AC339" i="5"/>
  <c r="AS339" i="5" s="1"/>
  <c r="AU339" i="5" s="1"/>
  <c r="AC357" i="5"/>
  <c r="AS357" i="5" s="1"/>
  <c r="AU357" i="5" s="1"/>
  <c r="AC369" i="5"/>
  <c r="AE369" i="5" s="1"/>
  <c r="AC27" i="5"/>
  <c r="AS27" i="5" s="1"/>
  <c r="AT27" i="5" s="1"/>
  <c r="AC156" i="5"/>
  <c r="AE156" i="5" s="1"/>
  <c r="AC465" i="5"/>
  <c r="AS465" i="5" s="1"/>
  <c r="AC241" i="5"/>
  <c r="AS241" i="5" s="1"/>
  <c r="AU241" i="5" s="1"/>
  <c r="S357" i="5"/>
  <c r="AC444" i="5"/>
  <c r="AE444" i="5" s="1"/>
  <c r="AC175" i="5"/>
  <c r="AE175" i="5" s="1"/>
  <c r="AC293" i="5"/>
  <c r="AD293" i="5" s="1"/>
  <c r="AC432" i="5"/>
  <c r="AE432" i="5" s="1"/>
  <c r="AC480" i="5"/>
  <c r="AS480" i="5" s="1"/>
  <c r="AU480" i="5" s="1"/>
  <c r="AC199" i="5"/>
  <c r="AE199" i="5" s="1"/>
  <c r="AC533" i="5"/>
  <c r="AD533" i="5" s="1"/>
  <c r="AC157" i="5"/>
  <c r="AS157" i="5" s="1"/>
  <c r="AU157" i="5" s="1"/>
  <c r="AC319" i="5"/>
  <c r="AS319" i="5" s="1"/>
  <c r="AU319" i="5" s="1"/>
  <c r="AC166" i="5"/>
  <c r="AD166" i="5" s="1"/>
  <c r="AC378" i="5"/>
  <c r="AD378" i="5" s="1"/>
  <c r="AC67" i="5"/>
  <c r="AE67" i="5" s="1"/>
  <c r="AC514" i="5"/>
  <c r="AE514" i="5" s="1"/>
  <c r="AC105" i="5"/>
  <c r="AS105" i="5" s="1"/>
  <c r="AT105" i="5" s="1"/>
  <c r="AC477" i="5"/>
  <c r="AE477" i="5" s="1"/>
  <c r="R219" i="5"/>
  <c r="R381" i="5"/>
  <c r="S486" i="5"/>
  <c r="AC449" i="5"/>
  <c r="AE449" i="5" s="1"/>
  <c r="AC554" i="5"/>
  <c r="AE554" i="5" s="1"/>
  <c r="AC212" i="5"/>
  <c r="AD212" i="5" s="1"/>
  <c r="AC407" i="5"/>
  <c r="AE407" i="5" s="1"/>
  <c r="AC76" i="5"/>
  <c r="AD76" i="5" s="1"/>
  <c r="AC382" i="5"/>
  <c r="AE382" i="5" s="1"/>
  <c r="AC518" i="5"/>
  <c r="AE518" i="5" s="1"/>
  <c r="AC29" i="5"/>
  <c r="AD29" i="5" s="1"/>
  <c r="R260" i="5"/>
  <c r="R142" i="5"/>
  <c r="AC380" i="5"/>
  <c r="AE380" i="5" s="1"/>
  <c r="S230" i="5"/>
  <c r="AC230" i="5"/>
  <c r="AE230" i="5" s="1"/>
  <c r="AC334" i="5"/>
  <c r="AD334" i="5" s="1"/>
  <c r="R250" i="5"/>
  <c r="S336" i="5"/>
  <c r="S471" i="5"/>
  <c r="AC303" i="5"/>
  <c r="AE303" i="5" s="1"/>
  <c r="AC336" i="5"/>
  <c r="AD336" i="5" s="1"/>
  <c r="AC120" i="5"/>
  <c r="AD120" i="5" s="1"/>
  <c r="R133" i="5"/>
  <c r="R187" i="5"/>
  <c r="R26" i="5"/>
  <c r="S428" i="5"/>
  <c r="S456" i="5"/>
  <c r="R518" i="5"/>
  <c r="S72" i="5"/>
  <c r="S321" i="5"/>
  <c r="R314" i="5"/>
  <c r="S50" i="5"/>
  <c r="R57" i="5"/>
  <c r="R454" i="5"/>
  <c r="AC456" i="5"/>
  <c r="AD456" i="5" s="1"/>
  <c r="AC464" i="5"/>
  <c r="AD464" i="5" s="1"/>
  <c r="AC354" i="5"/>
  <c r="AD354" i="5" s="1"/>
  <c r="AC192" i="5"/>
  <c r="AS192" i="5" s="1"/>
  <c r="AU192" i="5" s="1"/>
  <c r="AC133" i="5"/>
  <c r="AD133" i="5" s="1"/>
  <c r="AC43" i="5"/>
  <c r="AS43" i="5" s="1"/>
  <c r="AT43" i="5" s="1"/>
  <c r="AC435" i="5"/>
  <c r="AD435" i="5" s="1"/>
  <c r="AC436" i="5"/>
  <c r="AD436" i="5" s="1"/>
  <c r="AC270" i="5"/>
  <c r="AD270" i="5" s="1"/>
  <c r="AC236" i="5"/>
  <c r="AE236" i="5" s="1"/>
  <c r="AC271" i="5"/>
  <c r="AE271" i="5" s="1"/>
  <c r="AC284" i="5"/>
  <c r="AD284" i="5" s="1"/>
  <c r="R349" i="5"/>
  <c r="S285" i="5"/>
  <c r="AC118" i="5"/>
  <c r="AS118" i="5" s="1"/>
  <c r="AT118" i="5" s="1"/>
  <c r="R495" i="5"/>
  <c r="S114" i="5"/>
  <c r="AC286" i="5"/>
  <c r="AS286" i="5" s="1"/>
  <c r="AU286" i="5" s="1"/>
  <c r="AC172" i="5"/>
  <c r="AE172" i="5" s="1"/>
  <c r="AC238" i="5"/>
  <c r="AS238" i="5" s="1"/>
  <c r="AT238" i="5" s="1"/>
  <c r="AC527" i="5"/>
  <c r="AS527" i="5" s="1"/>
  <c r="AC548" i="5"/>
  <c r="AS548" i="5" s="1"/>
  <c r="AT548" i="5" s="1"/>
  <c r="AC420" i="5"/>
  <c r="AD420" i="5" s="1"/>
  <c r="AC392" i="5"/>
  <c r="AS392" i="5" s="1"/>
  <c r="AT392" i="5" s="1"/>
  <c r="AC364" i="5"/>
  <c r="AS364" i="5" s="1"/>
  <c r="AU364" i="5" s="1"/>
  <c r="AC103" i="5"/>
  <c r="AD103" i="5" s="1"/>
  <c r="AC219" i="5"/>
  <c r="AE219" i="5" s="1"/>
  <c r="AC173" i="5"/>
  <c r="AS173" i="5" s="1"/>
  <c r="AU173" i="5" s="1"/>
  <c r="R286" i="5"/>
  <c r="R129" i="5"/>
  <c r="S192" i="5"/>
  <c r="R534" i="5"/>
  <c r="R264" i="5"/>
  <c r="AC255" i="5"/>
  <c r="AD255" i="5" s="1"/>
  <c r="AC250" i="5"/>
  <c r="AE250" i="5" s="1"/>
  <c r="R333" i="5"/>
  <c r="R433" i="5"/>
  <c r="R238" i="5"/>
  <c r="R172" i="5"/>
  <c r="S491" i="5"/>
  <c r="R532" i="5"/>
  <c r="R404" i="5"/>
  <c r="R262" i="5"/>
  <c r="S457" i="5"/>
  <c r="S429" i="5"/>
  <c r="R271" i="5"/>
  <c r="R116" i="5"/>
  <c r="R139" i="5"/>
  <c r="R554" i="5"/>
  <c r="AC262" i="5"/>
  <c r="AD262" i="5" s="1"/>
  <c r="R407" i="5"/>
  <c r="R270" i="5"/>
  <c r="S334" i="5"/>
  <c r="AC180" i="5"/>
  <c r="AD180" i="5" s="1"/>
  <c r="R64" i="5"/>
  <c r="AC486" i="5"/>
  <c r="AD486" i="5" s="1"/>
  <c r="AC116" i="5"/>
  <c r="AS116" i="5" s="1"/>
  <c r="AU116" i="5" s="1"/>
  <c r="R202" i="5"/>
  <c r="R272" i="5"/>
  <c r="AC202" i="5"/>
  <c r="AS202" i="5" s="1"/>
  <c r="AU202" i="5" s="1"/>
  <c r="AC272" i="5"/>
  <c r="AD272" i="5" s="1"/>
  <c r="AC331" i="5"/>
  <c r="AD331" i="5" s="1"/>
  <c r="S210" i="5"/>
  <c r="R198" i="5"/>
  <c r="R352" i="5"/>
  <c r="R316" i="5"/>
  <c r="S96" i="5"/>
  <c r="S110" i="5"/>
  <c r="R484" i="5"/>
  <c r="S255" i="5"/>
  <c r="S137" i="5"/>
  <c r="S386" i="5"/>
  <c r="R464" i="5"/>
  <c r="AC264" i="5"/>
  <c r="AD264" i="5" s="1"/>
  <c r="AC413" i="5"/>
  <c r="AS413" i="5" s="1"/>
  <c r="AU413" i="5" s="1"/>
  <c r="AC26" i="5"/>
  <c r="AE26" i="5" s="1"/>
  <c r="AC433" i="5"/>
  <c r="AS433" i="5" s="1"/>
  <c r="AU433" i="5" s="1"/>
  <c r="AC475" i="5"/>
  <c r="AS475" i="5" s="1"/>
  <c r="AT475" i="5" s="1"/>
  <c r="AC114" i="5"/>
  <c r="AD114" i="5" s="1"/>
  <c r="AC386" i="5"/>
  <c r="AS386" i="5" s="1"/>
  <c r="AC93" i="5"/>
  <c r="AE93" i="5" s="1"/>
  <c r="AC96" i="5"/>
  <c r="AS96" i="5" s="1"/>
  <c r="AU96" i="5" s="1"/>
  <c r="AC226" i="5"/>
  <c r="AD226" i="5" s="1"/>
  <c r="AC455" i="5"/>
  <c r="AD455" i="5" s="1"/>
  <c r="R261" i="5"/>
  <c r="S392" i="5"/>
  <c r="R380" i="5"/>
  <c r="S84" i="5"/>
  <c r="S93" i="5"/>
  <c r="S475" i="5"/>
  <c r="R181" i="5"/>
  <c r="AC285" i="5"/>
  <c r="AE285" i="5" s="1"/>
  <c r="AC314" i="5"/>
  <c r="AD314" i="5" s="1"/>
  <c r="AC439" i="5"/>
  <c r="AD439" i="5" s="1"/>
  <c r="AC51" i="5"/>
  <c r="AS51" i="5" s="1"/>
  <c r="AT51" i="5" s="1"/>
  <c r="AC333" i="5"/>
  <c r="AD333" i="5" s="1"/>
  <c r="S548" i="5"/>
  <c r="S51" i="5"/>
  <c r="R168" i="5"/>
  <c r="S418" i="5"/>
  <c r="S111" i="5"/>
  <c r="S516" i="5"/>
  <c r="S267" i="5"/>
  <c r="S226" i="5"/>
  <c r="S439" i="5"/>
  <c r="S248" i="5"/>
  <c r="R310" i="5"/>
  <c r="AC242" i="5"/>
  <c r="AD242" i="5" s="1"/>
  <c r="AC321" i="5"/>
  <c r="AD321" i="5" s="1"/>
  <c r="AC310" i="5"/>
  <c r="AD310" i="5" s="1"/>
  <c r="S485" i="5"/>
  <c r="R556" i="5"/>
  <c r="S223" i="5"/>
  <c r="AC489" i="5"/>
  <c r="AS489" i="5" s="1"/>
  <c r="AU489" i="5" s="1"/>
  <c r="AC149" i="5"/>
  <c r="AE149" i="5" s="1"/>
  <c r="AC62" i="5"/>
  <c r="AS62" i="5" s="1"/>
  <c r="AT62" i="5" s="1"/>
  <c r="AC232" i="5"/>
  <c r="AS232" i="5" s="1"/>
  <c r="AU232" i="5" s="1"/>
  <c r="AC328" i="5"/>
  <c r="AE328" i="5" s="1"/>
  <c r="AC502" i="5"/>
  <c r="AS502" i="5" s="1"/>
  <c r="AT502" i="5" s="1"/>
  <c r="AC38" i="5"/>
  <c r="AE38" i="5" s="1"/>
  <c r="AC123" i="5"/>
  <c r="AD123" i="5" s="1"/>
  <c r="AC424" i="5"/>
  <c r="AS424" i="5" s="1"/>
  <c r="AT424" i="5" s="1"/>
  <c r="AC259" i="5"/>
  <c r="AE259" i="5" s="1"/>
  <c r="S511" i="5"/>
  <c r="AC317" i="5"/>
  <c r="AS317" i="5" s="1"/>
  <c r="AT317" i="5" s="1"/>
  <c r="S208" i="5"/>
  <c r="S441" i="5"/>
  <c r="AC254" i="5"/>
  <c r="AD254" i="5" s="1"/>
  <c r="AC234" i="5"/>
  <c r="AS234" i="5" s="1"/>
  <c r="AU234" i="5" s="1"/>
  <c r="AC307" i="5"/>
  <c r="AE307" i="5" s="1"/>
  <c r="AC110" i="5"/>
  <c r="AS110" i="5" s="1"/>
  <c r="AU110" i="5" s="1"/>
  <c r="AC441" i="5"/>
  <c r="AE441" i="5" s="1"/>
  <c r="AC25" i="5"/>
  <c r="AD25" i="5" s="1"/>
  <c r="AC13" i="5"/>
  <c r="AS13" i="5" s="1"/>
  <c r="AU13" i="5" s="1"/>
  <c r="AC111" i="5"/>
  <c r="AD111" i="5" s="1"/>
  <c r="AC267" i="5"/>
  <c r="AS267" i="5" s="1"/>
  <c r="AU267" i="5" s="1"/>
  <c r="AC290" i="5"/>
  <c r="AS290" i="5" s="1"/>
  <c r="AU290" i="5" s="1"/>
  <c r="AC168" i="5"/>
  <c r="AD168" i="5" s="1"/>
  <c r="AC381" i="5"/>
  <c r="AD381" i="5" s="1"/>
  <c r="AC418" i="5"/>
  <c r="AS418" i="5" s="1"/>
  <c r="AT418" i="5" s="1"/>
  <c r="S494" i="5"/>
  <c r="R103" i="5"/>
  <c r="R254" i="5"/>
  <c r="S435" i="5"/>
  <c r="R211" i="5"/>
  <c r="R413" i="5"/>
  <c r="S108" i="5"/>
  <c r="S106" i="5"/>
  <c r="R455" i="5"/>
  <c r="R307" i="5"/>
  <c r="R290" i="5"/>
  <c r="R234" i="5"/>
  <c r="AC106" i="5"/>
  <c r="AD106" i="5" s="1"/>
  <c r="AC181" i="5"/>
  <c r="AS181" i="5" s="1"/>
  <c r="AC79" i="5"/>
  <c r="AD79" i="5" s="1"/>
  <c r="AC495" i="5"/>
  <c r="AS495" i="5" s="1"/>
  <c r="AU495" i="5" s="1"/>
  <c r="R25" i="5"/>
  <c r="R527" i="5"/>
  <c r="R13" i="5"/>
  <c r="R269" i="5"/>
  <c r="R309" i="5"/>
  <c r="R79" i="5"/>
  <c r="R490" i="5"/>
  <c r="S345" i="5"/>
  <c r="R282" i="5"/>
  <c r="R178" i="5"/>
  <c r="R161" i="5"/>
  <c r="R145" i="5"/>
  <c r="S323" i="5"/>
  <c r="S101" i="5"/>
  <c r="S420" i="5"/>
  <c r="R34" i="5"/>
  <c r="S436" i="5"/>
  <c r="AC490" i="5"/>
  <c r="AE490" i="5" s="1"/>
  <c r="AC532" i="5"/>
  <c r="AD532" i="5" s="1"/>
  <c r="AC352" i="5"/>
  <c r="AS352" i="5" s="1"/>
  <c r="AU352" i="5" s="1"/>
  <c r="AC491" i="5"/>
  <c r="AE491" i="5" s="1"/>
  <c r="AC145" i="5"/>
  <c r="AS145" i="5" s="1"/>
  <c r="AT145" i="5" s="1"/>
  <c r="AC137" i="5"/>
  <c r="AS137" i="5" s="1"/>
  <c r="AU137" i="5" s="1"/>
  <c r="AC428" i="5"/>
  <c r="AE428" i="5" s="1"/>
  <c r="AC248" i="5"/>
  <c r="AS248" i="5" s="1"/>
  <c r="AU248" i="5" s="1"/>
  <c r="AC349" i="5"/>
  <c r="AD349" i="5" s="1"/>
  <c r="S242" i="5"/>
  <c r="AC516" i="5"/>
  <c r="AE516" i="5" s="1"/>
  <c r="AC129" i="5"/>
  <c r="AE129" i="5" s="1"/>
  <c r="AC57" i="5"/>
  <c r="AS57" i="5" s="1"/>
  <c r="AU57" i="5" s="1"/>
  <c r="AC484" i="5"/>
  <c r="AS484" i="5" s="1"/>
  <c r="AT484" i="5" s="1"/>
  <c r="AC261" i="5"/>
  <c r="AE261" i="5" s="1"/>
  <c r="AC198" i="5"/>
  <c r="AE198" i="5" s="1"/>
  <c r="AC50" i="5"/>
  <c r="AE50" i="5" s="1"/>
  <c r="S104" i="5"/>
  <c r="S247" i="5"/>
  <c r="R41" i="5"/>
  <c r="R118" i="5"/>
  <c r="S149" i="5"/>
  <c r="R304" i="5"/>
  <c r="S353" i="5"/>
  <c r="R542" i="5"/>
  <c r="R343" i="5"/>
  <c r="R232" i="5"/>
  <c r="S98" i="5"/>
  <c r="R365" i="5"/>
  <c r="R546" i="5"/>
  <c r="AC494" i="5"/>
  <c r="AD494" i="5" s="1"/>
  <c r="AC10" i="5"/>
  <c r="AD10" i="5" s="1"/>
  <c r="AC478" i="5"/>
  <c r="AE478" i="5" s="1"/>
  <c r="AC367" i="5"/>
  <c r="AE367" i="5" s="1"/>
  <c r="AC283" i="5"/>
  <c r="AS283" i="5" s="1"/>
  <c r="AT283" i="5" s="1"/>
  <c r="AC165" i="5"/>
  <c r="AD165" i="5" s="1"/>
  <c r="AC208" i="5"/>
  <c r="AD208" i="5" s="1"/>
  <c r="AC217" i="5"/>
  <c r="AS217" i="5" s="1"/>
  <c r="AU217" i="5" s="1"/>
  <c r="AC32" i="5"/>
  <c r="AS32" i="5" s="1"/>
  <c r="AU32" i="5" s="1"/>
  <c r="S10" i="5"/>
  <c r="R499" i="5"/>
  <c r="AC463" i="5"/>
  <c r="AE463" i="5" s="1"/>
  <c r="R243" i="5"/>
  <c r="S165" i="5"/>
  <c r="S140" i="5"/>
  <c r="R39" i="5"/>
  <c r="R32" i="5"/>
  <c r="S62" i="5"/>
  <c r="AC141" i="5"/>
  <c r="AS141" i="5" s="1"/>
  <c r="AU141" i="5" s="1"/>
  <c r="R128" i="5"/>
  <c r="R298" i="5"/>
  <c r="S237" i="5"/>
  <c r="S535" i="5"/>
  <c r="R467" i="5"/>
  <c r="R63" i="5"/>
  <c r="R348" i="5"/>
  <c r="AC425" i="5"/>
  <c r="AE425" i="5" s="1"/>
  <c r="AC442" i="5"/>
  <c r="AS442" i="5" s="1"/>
  <c r="AU442" i="5" s="1"/>
  <c r="AC195" i="5"/>
  <c r="AE195" i="5" s="1"/>
  <c r="S431" i="5"/>
  <c r="S325" i="5"/>
  <c r="S489" i="5"/>
  <c r="S228" i="5"/>
  <c r="S195" i="5"/>
  <c r="R463" i="5"/>
  <c r="S71" i="5"/>
  <c r="R313" i="5"/>
  <c r="R402" i="5"/>
  <c r="S280" i="5"/>
  <c r="R478" i="5"/>
  <c r="R473" i="5"/>
  <c r="R259" i="5"/>
  <c r="S317" i="5"/>
  <c r="R121" i="5"/>
  <c r="R153" i="5"/>
  <c r="R502" i="5"/>
  <c r="R283" i="5"/>
  <c r="R151" i="5"/>
  <c r="AC153" i="5"/>
  <c r="AD153" i="5" s="1"/>
  <c r="AC228" i="5"/>
  <c r="AD228" i="5" s="1"/>
  <c r="AC467" i="5"/>
  <c r="AS467" i="5" s="1"/>
  <c r="AU467" i="5" s="1"/>
  <c r="AC53" i="5"/>
  <c r="AD53" i="5" s="1"/>
  <c r="AC48" i="5"/>
  <c r="AE48" i="5" s="1"/>
  <c r="AC98" i="5"/>
  <c r="AS98" i="5" s="1"/>
  <c r="AC474" i="5"/>
  <c r="AD474" i="5" s="1"/>
  <c r="AC280" i="5"/>
  <c r="AS280" i="5" s="1"/>
  <c r="AU280" i="5" s="1"/>
  <c r="AC485" i="5"/>
  <c r="AD485" i="5" s="1"/>
  <c r="AC531" i="5"/>
  <c r="AE531" i="5" s="1"/>
  <c r="AC473" i="5"/>
  <c r="AD473" i="5" s="1"/>
  <c r="AC210" i="5"/>
  <c r="AD210" i="5" s="1"/>
  <c r="AC365" i="5"/>
  <c r="AS365" i="5" s="1"/>
  <c r="AU365" i="5" s="1"/>
  <c r="AC104" i="5"/>
  <c r="AS104" i="5" s="1"/>
  <c r="AC23" i="5"/>
  <c r="AE23" i="5" s="1"/>
  <c r="AC546" i="5"/>
  <c r="AD546" i="5" s="1"/>
  <c r="AC243" i="5"/>
  <c r="AD243" i="5" s="1"/>
  <c r="AC282" i="5"/>
  <c r="AE282" i="5" s="1"/>
  <c r="AC325" i="5"/>
  <c r="AD325" i="5" s="1"/>
  <c r="AC313" i="5"/>
  <c r="AE313" i="5" s="1"/>
  <c r="R449" i="5"/>
  <c r="S135" i="5"/>
  <c r="R523" i="5"/>
  <c r="S23" i="5"/>
  <c r="R389" i="5"/>
  <c r="S184" i="5"/>
  <c r="S123" i="5"/>
  <c r="S40" i="5"/>
  <c r="S141" i="5"/>
  <c r="S358" i="5"/>
  <c r="S367" i="5"/>
  <c r="S182" i="5"/>
  <c r="R258" i="5"/>
  <c r="R474" i="5"/>
  <c r="S442" i="5"/>
  <c r="R45" i="5"/>
  <c r="S92" i="5"/>
  <c r="S443" i="5"/>
  <c r="AC358" i="5"/>
  <c r="AD358" i="5" s="1"/>
  <c r="AC39" i="5"/>
  <c r="AE39" i="5" s="1"/>
  <c r="AC269" i="5"/>
  <c r="AE269" i="5" s="1"/>
  <c r="AC431" i="5"/>
  <c r="AD431" i="5" s="1"/>
  <c r="AC499" i="5"/>
  <c r="AS499" i="5" s="1"/>
  <c r="AU499" i="5" s="1"/>
  <c r="AC128" i="5"/>
  <c r="AS128" i="5" s="1"/>
  <c r="AT128" i="5" s="1"/>
  <c r="AC443" i="5"/>
  <c r="AE443" i="5" s="1"/>
  <c r="AC220" i="5"/>
  <c r="AD220" i="5" s="1"/>
  <c r="AC340" i="5"/>
  <c r="AD340" i="5" s="1"/>
  <c r="AC179" i="5"/>
  <c r="AS179" i="5" s="1"/>
  <c r="AT179" i="5" s="1"/>
  <c r="S412" i="5"/>
  <c r="R390" i="5"/>
  <c r="S91" i="5"/>
  <c r="R382" i="5"/>
  <c r="R451" i="5"/>
  <c r="S303" i="5"/>
  <c r="R150" i="5"/>
  <c r="S469" i="5"/>
  <c r="AC469" i="5"/>
  <c r="AD469" i="5" s="1"/>
  <c r="AC28" i="5"/>
  <c r="AE28" i="5" s="1"/>
  <c r="AC139" i="5"/>
  <c r="AD139" i="5" s="1"/>
  <c r="R130" i="5"/>
  <c r="S174" i="5"/>
  <c r="R401" i="5"/>
  <c r="S76" i="5"/>
  <c r="AC448" i="5"/>
  <c r="AS448" i="5" s="1"/>
  <c r="AU448" i="5" s="1"/>
  <c r="AC209" i="5"/>
  <c r="AD209" i="5" s="1"/>
  <c r="AC88" i="5"/>
  <c r="AS88" i="5" s="1"/>
  <c r="AU88" i="5" s="1"/>
  <c r="AC174" i="5"/>
  <c r="AS174" i="5" s="1"/>
  <c r="AT174" i="5" s="1"/>
  <c r="AC318" i="5"/>
  <c r="AD318" i="5" s="1"/>
  <c r="AC119" i="5"/>
  <c r="AD119" i="5" s="1"/>
  <c r="AC332" i="5"/>
  <c r="AS332" i="5" s="1"/>
  <c r="AU332" i="5" s="1"/>
  <c r="AC251" i="5"/>
  <c r="AS251" i="5" s="1"/>
  <c r="AU251" i="5" s="1"/>
  <c r="R276" i="5"/>
  <c r="S276" i="5"/>
  <c r="R506" i="5"/>
  <c r="S506" i="5"/>
  <c r="R212" i="5"/>
  <c r="S212" i="5"/>
  <c r="S438" i="5"/>
  <c r="R438" i="5"/>
  <c r="AC294" i="5"/>
  <c r="AE294" i="5" s="1"/>
  <c r="AC543" i="5"/>
  <c r="AS543" i="5" s="1"/>
  <c r="AU543" i="5" s="1"/>
  <c r="R406" i="5"/>
  <c r="S112" i="5"/>
  <c r="S119" i="5"/>
  <c r="R295" i="5"/>
  <c r="S448" i="5"/>
  <c r="S155" i="5"/>
  <c r="S415" i="5"/>
  <c r="R338" i="5"/>
  <c r="S233" i="5"/>
  <c r="S78" i="5"/>
  <c r="R396" i="5"/>
  <c r="S379" i="5"/>
  <c r="R557" i="5"/>
  <c r="AC295" i="5"/>
  <c r="AD295" i="5" s="1"/>
  <c r="S377" i="5"/>
  <c r="R377" i="5"/>
  <c r="S385" i="5"/>
  <c r="R385" i="5"/>
  <c r="R122" i="5"/>
  <c r="S122" i="5"/>
  <c r="R510" i="5"/>
  <c r="S510" i="5"/>
  <c r="R80" i="5"/>
  <c r="S80" i="5"/>
  <c r="AC78" i="5"/>
  <c r="AS78" i="5" s="1"/>
  <c r="AT78" i="5" s="1"/>
  <c r="AC21" i="5"/>
  <c r="AS21" i="5" s="1"/>
  <c r="AU21" i="5" s="1"/>
  <c r="S543" i="5"/>
  <c r="R131" i="5"/>
  <c r="S275" i="5"/>
  <c r="R356" i="5"/>
  <c r="R308" i="5"/>
  <c r="R44" i="5"/>
  <c r="S550" i="5"/>
  <c r="AC130" i="5"/>
  <c r="AD130" i="5" s="1"/>
  <c r="AC356" i="5"/>
  <c r="AD356" i="5" s="1"/>
  <c r="AC359" i="5"/>
  <c r="AE359" i="5" s="1"/>
  <c r="AC558" i="5"/>
  <c r="AE558" i="5" s="1"/>
  <c r="S501" i="5"/>
  <c r="AC71" i="5"/>
  <c r="AS71" i="5" s="1"/>
  <c r="AU71" i="5" s="1"/>
  <c r="AC87" i="5"/>
  <c r="AE87" i="5" s="1"/>
  <c r="AC361" i="5"/>
  <c r="AE361" i="5" s="1"/>
  <c r="AC501" i="5"/>
  <c r="AS501" i="5" s="1"/>
  <c r="AU501" i="5" s="1"/>
  <c r="AC457" i="5"/>
  <c r="AD457" i="5" s="1"/>
  <c r="AC308" i="5"/>
  <c r="AS308" i="5" s="1"/>
  <c r="AT308" i="5" s="1"/>
  <c r="AC222" i="5"/>
  <c r="AE222" i="5" s="1"/>
  <c r="AC275" i="5"/>
  <c r="AS275" i="5" s="1"/>
  <c r="AT275" i="5" s="1"/>
  <c r="AC131" i="5"/>
  <c r="AE131" i="5" s="1"/>
  <c r="AC171" i="5"/>
  <c r="AS171" i="5" s="1"/>
  <c r="AU171" i="5" s="1"/>
  <c r="AC276" i="5"/>
  <c r="AE276" i="5" s="1"/>
  <c r="AC550" i="5"/>
  <c r="AS550" i="5" s="1"/>
  <c r="AU550" i="5" s="1"/>
  <c r="R299" i="5"/>
  <c r="S299" i="5"/>
  <c r="R53" i="5"/>
  <c r="S53" i="5"/>
  <c r="S521" i="5"/>
  <c r="R521" i="5"/>
  <c r="R173" i="5"/>
  <c r="S173" i="5"/>
  <c r="R186" i="5"/>
  <c r="S186" i="5"/>
  <c r="R284" i="5"/>
  <c r="S284" i="5"/>
  <c r="S48" i="5"/>
  <c r="R48" i="5"/>
  <c r="R531" i="5"/>
  <c r="S531" i="5"/>
  <c r="S217" i="5"/>
  <c r="R217" i="5"/>
  <c r="R331" i="5"/>
  <c r="S331" i="5"/>
  <c r="S24" i="5"/>
  <c r="R24" i="5"/>
  <c r="S38" i="5"/>
  <c r="R38" i="5"/>
  <c r="S526" i="5"/>
  <c r="R526" i="5"/>
  <c r="R328" i="5"/>
  <c r="S328" i="5"/>
  <c r="R361" i="5"/>
  <c r="S361" i="5"/>
  <c r="R384" i="5"/>
  <c r="S384" i="5"/>
  <c r="R167" i="5"/>
  <c r="S167" i="5"/>
  <c r="R220" i="5"/>
  <c r="S220" i="5"/>
  <c r="R49" i="5"/>
  <c r="S49" i="5"/>
  <c r="S340" i="5"/>
  <c r="R340" i="5"/>
  <c r="R185" i="5"/>
  <c r="S185" i="5"/>
  <c r="R430" i="5"/>
  <c r="S312" i="5"/>
  <c r="S398" i="5"/>
  <c r="R555" i="5"/>
  <c r="S302" i="5"/>
  <c r="S488" i="5"/>
  <c r="R209" i="5"/>
  <c r="R251" i="5"/>
  <c r="R320" i="5"/>
  <c r="R163" i="5"/>
  <c r="S558" i="5"/>
  <c r="R85" i="5"/>
  <c r="R493" i="5"/>
  <c r="R21" i="5"/>
  <c r="AC49" i="5"/>
  <c r="AS49" i="5" s="1"/>
  <c r="AT49" i="5" s="1"/>
  <c r="AC438" i="5"/>
  <c r="AD438" i="5" s="1"/>
  <c r="AC155" i="5"/>
  <c r="AD155" i="5" s="1"/>
  <c r="AC327" i="5"/>
  <c r="AD327" i="5" s="1"/>
  <c r="AC488" i="5"/>
  <c r="AE488" i="5" s="1"/>
  <c r="R476" i="5"/>
  <c r="R507" i="5"/>
  <c r="S327" i="5"/>
  <c r="R222" i="5"/>
  <c r="R318" i="5"/>
  <c r="S132" i="5"/>
  <c r="R87" i="5"/>
  <c r="R375" i="5"/>
  <c r="S315" i="5"/>
  <c r="S171" i="5"/>
  <c r="R12" i="5"/>
  <c r="S294" i="5"/>
  <c r="AC415" i="5"/>
  <c r="AE415" i="5" s="1"/>
  <c r="AC379" i="5"/>
  <c r="AE379" i="5" s="1"/>
  <c r="AC384" i="5"/>
  <c r="AS384" i="5" s="1"/>
  <c r="AT384" i="5" s="1"/>
  <c r="AC493" i="5"/>
  <c r="AS493" i="5" s="1"/>
  <c r="AT493" i="5" s="1"/>
  <c r="AC12" i="5"/>
  <c r="AD12" i="5" s="1"/>
  <c r="AC320" i="5"/>
  <c r="AE320" i="5" s="1"/>
  <c r="AC85" i="5"/>
  <c r="AE85" i="5" s="1"/>
  <c r="S31" i="5"/>
  <c r="AC398" i="5"/>
  <c r="AS398" i="5" s="1"/>
  <c r="AC555" i="5"/>
  <c r="AD555" i="5" s="1"/>
  <c r="AC167" i="5"/>
  <c r="AD167" i="5" s="1"/>
  <c r="AC223" i="5"/>
  <c r="AS223" i="5" s="1"/>
  <c r="AT223" i="5" s="1"/>
  <c r="AC237" i="5"/>
  <c r="AD237" i="5" s="1"/>
  <c r="AC163" i="5"/>
  <c r="AE163" i="5" s="1"/>
  <c r="AC406" i="5"/>
  <c r="AE406" i="5" s="1"/>
  <c r="AC557" i="5"/>
  <c r="AS557" i="5" s="1"/>
  <c r="AT557" i="5" s="1"/>
  <c r="AC298" i="5"/>
  <c r="AE298" i="5" s="1"/>
  <c r="AC511" i="5"/>
  <c r="AD511" i="5" s="1"/>
  <c r="AC135" i="5"/>
  <c r="AD135" i="5" s="1"/>
  <c r="AC385" i="5"/>
  <c r="AE385" i="5" s="1"/>
  <c r="AC122" i="5"/>
  <c r="AS122" i="5" s="1"/>
  <c r="AC184" i="5"/>
  <c r="AS184" i="5" s="1"/>
  <c r="AU184" i="5" s="1"/>
  <c r="AC41" i="5"/>
  <c r="AE41" i="5" s="1"/>
  <c r="AC312" i="5"/>
  <c r="AE312" i="5" s="1"/>
  <c r="AC377" i="5"/>
  <c r="AD377" i="5" s="1"/>
  <c r="AC510" i="5"/>
  <c r="AS510" i="5" s="1"/>
  <c r="AU510" i="5" s="1"/>
  <c r="AC353" i="5"/>
  <c r="AS353" i="5" s="1"/>
  <c r="AU353" i="5" s="1"/>
  <c r="AC348" i="5"/>
  <c r="AD348" i="5" s="1"/>
  <c r="AC231" i="5"/>
  <c r="AS231" i="5" s="1"/>
  <c r="AT231" i="5" s="1"/>
  <c r="AC535" i="5"/>
  <c r="AD535" i="5" s="1"/>
  <c r="AC182" i="5"/>
  <c r="AS182" i="5" s="1"/>
  <c r="AT182" i="5" s="1"/>
  <c r="AC542" i="5"/>
  <c r="AE542" i="5" s="1"/>
  <c r="AC338" i="5"/>
  <c r="AS338" i="5" s="1"/>
  <c r="AU338" i="5" s="1"/>
  <c r="AC31" i="5"/>
  <c r="AD31" i="5" s="1"/>
  <c r="AC390" i="5"/>
  <c r="AD390" i="5" s="1"/>
  <c r="AC401" i="5"/>
  <c r="AE401" i="5" s="1"/>
  <c r="AC82" i="5"/>
  <c r="AE82" i="5" s="1"/>
  <c r="AC63" i="5"/>
  <c r="AS63" i="5" s="1"/>
  <c r="AU63" i="5" s="1"/>
  <c r="AC161" i="5"/>
  <c r="AE161" i="5" s="1"/>
  <c r="AC507" i="5"/>
  <c r="AD507" i="5" s="1"/>
  <c r="AC91" i="5"/>
  <c r="AD91" i="5" s="1"/>
  <c r="AC402" i="5"/>
  <c r="AE402" i="5" s="1"/>
  <c r="AC479" i="5"/>
  <c r="AS479" i="5" s="1"/>
  <c r="AT479" i="5" s="1"/>
  <c r="AC304" i="5"/>
  <c r="AE304" i="5" s="1"/>
  <c r="AC225" i="5"/>
  <c r="AD225" i="5" s="1"/>
  <c r="AC40" i="5"/>
  <c r="AE40" i="5" s="1"/>
  <c r="AC185" i="5"/>
  <c r="AD185" i="5" s="1"/>
  <c r="AC24" i="5"/>
  <c r="AD24" i="5" s="1"/>
  <c r="AC140" i="5"/>
  <c r="AD140" i="5" s="1"/>
  <c r="AC396" i="5"/>
  <c r="AE396" i="5" s="1"/>
  <c r="AC132" i="5"/>
  <c r="AE132" i="5" s="1"/>
  <c r="AC521" i="5"/>
  <c r="AE521" i="5" s="1"/>
  <c r="AC299" i="5"/>
  <c r="AS299" i="5" s="1"/>
  <c r="AT299" i="5" s="1"/>
  <c r="AC414" i="5"/>
  <c r="AD414" i="5" s="1"/>
  <c r="AC427" i="5"/>
  <c r="AE427" i="5" s="1"/>
  <c r="AC345" i="5"/>
  <c r="AD345" i="5" s="1"/>
  <c r="AC506" i="5"/>
  <c r="AS506" i="5" s="1"/>
  <c r="AU506" i="5" s="1"/>
  <c r="AC92" i="5"/>
  <c r="AE92" i="5" s="1"/>
  <c r="AC302" i="5"/>
  <c r="AD302" i="5" s="1"/>
  <c r="AC343" i="5"/>
  <c r="AD343" i="5" s="1"/>
  <c r="AC211" i="5"/>
  <c r="AD211" i="5" s="1"/>
  <c r="AC233" i="5"/>
  <c r="AE233" i="5" s="1"/>
  <c r="AC430" i="5"/>
  <c r="AS430" i="5" s="1"/>
  <c r="AU430" i="5" s="1"/>
  <c r="S424" i="5"/>
  <c r="R424" i="5"/>
  <c r="R43" i="5"/>
  <c r="S43" i="5"/>
  <c r="AC101" i="5"/>
  <c r="AE101" i="5" s="1"/>
  <c r="AC517" i="5"/>
  <c r="AS517" i="5" s="1"/>
  <c r="AU517" i="5" s="1"/>
  <c r="R505" i="5"/>
  <c r="S517" i="5"/>
  <c r="AC551" i="5"/>
  <c r="AD551" i="5" s="1"/>
  <c r="AC20" i="5"/>
  <c r="AD20" i="5" s="1"/>
  <c r="AC159" i="5"/>
  <c r="AD159" i="5" s="1"/>
  <c r="S199" i="5"/>
  <c r="S537" i="5"/>
  <c r="R159" i="5"/>
  <c r="S559" i="5"/>
  <c r="AC559" i="5"/>
  <c r="AD559" i="5" s="1"/>
  <c r="R425" i="5"/>
  <c r="S524" i="5"/>
  <c r="AC524" i="5"/>
  <c r="AD524" i="5" s="1"/>
  <c r="AC505" i="5"/>
  <c r="AD505" i="5" s="1"/>
  <c r="AC55" i="5"/>
  <c r="AD55" i="5" s="1"/>
  <c r="S551" i="5"/>
  <c r="AC538" i="5"/>
  <c r="AS538" i="5" s="1"/>
  <c r="AU538" i="5" s="1"/>
  <c r="R46" i="5"/>
  <c r="S538" i="5"/>
  <c r="S55" i="5"/>
  <c r="S419" i="5"/>
  <c r="AC46" i="5"/>
  <c r="AS46" i="5" s="1"/>
  <c r="AT46" i="5" s="1"/>
  <c r="AC419" i="5"/>
  <c r="AD419" i="5" s="1"/>
  <c r="S332" i="5"/>
  <c r="R359" i="5"/>
  <c r="R291" i="5"/>
  <c r="R376" i="5"/>
  <c r="AC344" i="5"/>
  <c r="AS344" i="5" s="1"/>
  <c r="AU344" i="5" s="1"/>
  <c r="S344" i="5"/>
  <c r="R164" i="5"/>
  <c r="AC164" i="5"/>
  <c r="AD164" i="5" s="1"/>
  <c r="AC134" i="5"/>
  <c r="AS134" i="5" s="1"/>
  <c r="AU134" i="5" s="1"/>
  <c r="AC218" i="5"/>
  <c r="AS218" i="5" s="1"/>
  <c r="AT218" i="5" s="1"/>
  <c r="AC197" i="5"/>
  <c r="AD197" i="5" s="1"/>
  <c r="AC249" i="5"/>
  <c r="AS249" i="5" s="1"/>
  <c r="AT249" i="5" s="1"/>
  <c r="AC376" i="5"/>
  <c r="AD376" i="5" s="1"/>
  <c r="S249" i="5"/>
  <c r="R134" i="5"/>
  <c r="R56" i="5"/>
  <c r="S88" i="5"/>
  <c r="S218" i="5"/>
  <c r="S191" i="5"/>
  <c r="AC537" i="5"/>
  <c r="AD537" i="5" s="1"/>
  <c r="AC291" i="5"/>
  <c r="AE291" i="5" s="1"/>
  <c r="S539" i="5"/>
  <c r="S158" i="5"/>
  <c r="R480" i="5"/>
  <c r="AC301" i="5"/>
  <c r="AS301" i="5" s="1"/>
  <c r="AT301" i="5" s="1"/>
  <c r="AC158" i="5"/>
  <c r="AE158" i="5" s="1"/>
  <c r="AC468" i="5"/>
  <c r="AS468" i="5" s="1"/>
  <c r="AT468" i="5" s="1"/>
  <c r="AC56" i="5"/>
  <c r="AE56" i="5" s="1"/>
  <c r="R224" i="5"/>
  <c r="AC224" i="5"/>
  <c r="AD224" i="5" s="1"/>
  <c r="AC409" i="5"/>
  <c r="AE409" i="5" s="1"/>
  <c r="R409" i="5"/>
  <c r="K113" i="2"/>
  <c r="R197" i="5"/>
  <c r="R301" i="5"/>
  <c r="R364" i="5"/>
  <c r="B99" i="2"/>
  <c r="B105" i="2" s="1"/>
  <c r="B107" i="2" s="1"/>
  <c r="H33" i="1" s="1"/>
  <c r="H31" i="1"/>
  <c r="Z17" i="4"/>
  <c r="AA17" i="4" s="1"/>
  <c r="Z130" i="4"/>
  <c r="Z154" i="4"/>
  <c r="Z152" i="4"/>
  <c r="Z120" i="4"/>
  <c r="AA120" i="4" s="1"/>
  <c r="Z155" i="4"/>
  <c r="AA155" i="4" s="1"/>
  <c r="Z46" i="4"/>
  <c r="Z56" i="4"/>
  <c r="Z54" i="4"/>
  <c r="Z139" i="4"/>
  <c r="AA139" i="4" s="1"/>
  <c r="Z16" i="4"/>
  <c r="AA16" i="4" s="1"/>
  <c r="Z62" i="4"/>
  <c r="Z68" i="4"/>
  <c r="AA68" i="4" s="1"/>
  <c r="Z89" i="4"/>
  <c r="AA89" i="4" s="1"/>
  <c r="Z72" i="4"/>
  <c r="AA72" i="4" s="1"/>
  <c r="Z133" i="4"/>
  <c r="Z135" i="4"/>
  <c r="AA135" i="4" s="1"/>
  <c r="Z34" i="4"/>
  <c r="AA34" i="4" s="1"/>
  <c r="Z37" i="4"/>
  <c r="Z150" i="4"/>
  <c r="Z76" i="4"/>
  <c r="AA76" i="4" s="1"/>
  <c r="Z69" i="4"/>
  <c r="Z116" i="4"/>
  <c r="Z10" i="4"/>
  <c r="AA10" i="4" s="1"/>
  <c r="Z41" i="4"/>
  <c r="Z107" i="4"/>
  <c r="AA107" i="4" s="1"/>
  <c r="Z109" i="4"/>
  <c r="AA109" i="4" s="1"/>
  <c r="Z91" i="4"/>
  <c r="Z142" i="4"/>
  <c r="Z87" i="4"/>
  <c r="AA87" i="4" s="1"/>
  <c r="Z29" i="4"/>
  <c r="AA29" i="4" s="1"/>
  <c r="Z95" i="4"/>
  <c r="AA95" i="4" s="1"/>
  <c r="Z99" i="4"/>
  <c r="AA99" i="4" s="1"/>
  <c r="Z55" i="4"/>
  <c r="AA55" i="4" s="1"/>
  <c r="Z57" i="4"/>
  <c r="AA57" i="4" s="1"/>
  <c r="Z25" i="4"/>
  <c r="AA25" i="4" s="1"/>
  <c r="Z105" i="4"/>
  <c r="AA105" i="4" s="1"/>
  <c r="Z104" i="4"/>
  <c r="Z83" i="4"/>
  <c r="AA83" i="4" s="1"/>
  <c r="Z58" i="4"/>
  <c r="AA58" i="4" s="1"/>
  <c r="Z31" i="4"/>
  <c r="AA31" i="4" s="1"/>
  <c r="Z45" i="4"/>
  <c r="AA45" i="4" s="1"/>
  <c r="Z75" i="4"/>
  <c r="Z39" i="4"/>
  <c r="Z79" i="4"/>
  <c r="Z49" i="4"/>
  <c r="Z33" i="4"/>
  <c r="AA33" i="4" s="1"/>
  <c r="AE497" i="5"/>
  <c r="AD44" i="5"/>
  <c r="AS44" i="5"/>
  <c r="AT44" i="5" s="1"/>
  <c r="AE323" i="5"/>
  <c r="AD508" i="5"/>
  <c r="AS58" i="5"/>
  <c r="AT58" i="5" s="1"/>
  <c r="AS509" i="5"/>
  <c r="AT509" i="5" s="1"/>
  <c r="AE487" i="5"/>
  <c r="AS487" i="5"/>
  <c r="AT487" i="5" s="1"/>
  <c r="AD58" i="5"/>
  <c r="AE509" i="5"/>
  <c r="AS526" i="5"/>
  <c r="AU526" i="5" s="1"/>
  <c r="AE375" i="5"/>
  <c r="AS186" i="5"/>
  <c r="AT186" i="5" s="1"/>
  <c r="AT152" i="5"/>
  <c r="AD186" i="5"/>
  <c r="AS375" i="5"/>
  <c r="AU375" i="5" s="1"/>
  <c r="AE152" i="5"/>
  <c r="AD150" i="5"/>
  <c r="AD152" i="5"/>
  <c r="AU512" i="5"/>
  <c r="AD512" i="5"/>
  <c r="AS148" i="5"/>
  <c r="AT148" i="5" s="1"/>
  <c r="AU412" i="5"/>
  <c r="AC9" i="5"/>
  <c r="AD9" i="5" s="1"/>
  <c r="AU146" i="5"/>
  <c r="AS497" i="5"/>
  <c r="AU497" i="5" s="1"/>
  <c r="AE512" i="5"/>
  <c r="AE508" i="5"/>
  <c r="AE412" i="5"/>
  <c r="AD412" i="5"/>
  <c r="AS323" i="5"/>
  <c r="AU323" i="5" s="1"/>
  <c r="AD148" i="5"/>
  <c r="AN9" i="5"/>
  <c r="AO9" i="5"/>
  <c r="AS150" i="5"/>
  <c r="AU150" i="5" s="1"/>
  <c r="AE258" i="5"/>
  <c r="X9" i="5"/>
  <c r="Y9" i="5"/>
  <c r="AD471" i="5"/>
  <c r="AE471" i="5"/>
  <c r="AE8" i="5"/>
  <c r="AD8" i="5"/>
  <c r="B255" i="2" s="1"/>
  <c r="B256" i="2" s="1"/>
  <c r="B257" i="2" s="1"/>
  <c r="F86" i="1" s="1"/>
  <c r="R9" i="5"/>
  <c r="S9" i="5"/>
  <c r="AI9" i="5"/>
  <c r="AH9" i="5"/>
  <c r="AP9" i="5"/>
  <c r="AU471" i="5"/>
  <c r="AB9" i="5"/>
  <c r="AA9" i="5"/>
  <c r="AK9" i="5"/>
  <c r="AL9" i="5"/>
  <c r="U9" i="5"/>
  <c r="V9" i="5"/>
  <c r="AS64" i="5"/>
  <c r="AU64" i="5" s="1"/>
  <c r="AU372" i="5"/>
  <c r="AU8" i="5"/>
  <c r="AT8" i="5"/>
  <c r="AD146" i="5"/>
  <c r="AE146" i="5"/>
  <c r="AD64" i="5"/>
  <c r="AE372" i="5"/>
  <c r="AE144" i="5"/>
  <c r="AD247" i="5"/>
  <c r="AS523" i="5"/>
  <c r="AU523" i="5" s="1"/>
  <c r="AE36" i="5"/>
  <c r="AT260" i="5"/>
  <c r="AD258" i="5"/>
  <c r="AD350" i="5"/>
  <c r="AE72" i="5"/>
  <c r="AS350" i="5"/>
  <c r="AT350" i="5" s="1"/>
  <c r="AS125" i="5"/>
  <c r="AU125" i="5" s="1"/>
  <c r="AD372" i="5"/>
  <c r="AD526" i="5"/>
  <c r="AS72" i="5"/>
  <c r="AD389" i="5"/>
  <c r="AS265" i="5"/>
  <c r="AT265" i="5" s="1"/>
  <c r="AD126" i="5"/>
  <c r="AS445" i="5"/>
  <c r="AT445" i="5" s="1"/>
  <c r="AT454" i="5"/>
  <c r="AE389" i="5"/>
  <c r="AD297" i="5"/>
  <c r="AD454" i="5"/>
  <c r="AD445" i="5"/>
  <c r="AE454" i="5"/>
  <c r="AD523" i="5"/>
  <c r="AD59" i="5"/>
  <c r="AS37" i="5"/>
  <c r="AU37" i="5" s="1"/>
  <c r="AS77" i="5"/>
  <c r="AT77" i="5" s="1"/>
  <c r="AS315" i="5"/>
  <c r="AU315" i="5" s="1"/>
  <c r="AD315" i="5"/>
  <c r="AS362" i="5"/>
  <c r="AT362" i="5" s="1"/>
  <c r="AE362" i="5"/>
  <c r="AD309" i="5"/>
  <c r="AE309" i="5"/>
  <c r="AS309" i="5"/>
  <c r="AT309" i="5" s="1"/>
  <c r="AS458" i="5"/>
  <c r="AU458" i="5" s="1"/>
  <c r="AD458" i="5"/>
  <c r="AE77" i="5"/>
  <c r="AS59" i="5"/>
  <c r="AT59" i="5" s="1"/>
  <c r="AD539" i="5"/>
  <c r="AS539" i="5"/>
  <c r="AE539" i="5"/>
  <c r="AE214" i="5"/>
  <c r="AE121" i="5"/>
  <c r="AS74" i="5"/>
  <c r="AT74" i="5" s="1"/>
  <c r="AE260" i="5"/>
  <c r="AS513" i="5"/>
  <c r="AU513" i="5" s="1"/>
  <c r="AE265" i="5"/>
  <c r="AE187" i="5"/>
  <c r="AD277" i="5"/>
  <c r="AD260" i="5"/>
  <c r="AS453" i="5"/>
  <c r="AT453" i="5" s="1"/>
  <c r="AS121" i="5"/>
  <c r="AT121" i="5" s="1"/>
  <c r="AD453" i="5"/>
  <c r="AS277" i="5"/>
  <c r="AT277" i="5" s="1"/>
  <c r="AD37" i="5"/>
  <c r="AU528" i="5"/>
  <c r="AD528" i="5"/>
  <c r="AE528" i="5"/>
  <c r="AE245" i="5"/>
  <c r="AD245" i="5"/>
  <c r="AS297" i="5"/>
  <c r="AT297" i="5" s="1"/>
  <c r="AU214" i="5"/>
  <c r="AD513" i="5"/>
  <c r="AD362" i="5"/>
  <c r="AD214" i="5"/>
  <c r="AS245" i="5"/>
  <c r="AU245" i="5" s="1"/>
  <c r="AE126" i="5"/>
  <c r="AS36" i="5"/>
  <c r="AT36" i="5" s="1"/>
  <c r="AE316" i="5"/>
  <c r="AS187" i="5"/>
  <c r="AT187" i="5" s="1"/>
  <c r="AD125" i="5"/>
  <c r="AE74" i="5"/>
  <c r="AE124" i="5"/>
  <c r="AS124" i="5"/>
  <c r="AT124" i="5" s="1"/>
  <c r="AE451" i="5"/>
  <c r="AS316" i="5"/>
  <c r="AT316" i="5" s="1"/>
  <c r="AU389" i="5"/>
  <c r="AT389" i="5"/>
  <c r="AU258" i="5"/>
  <c r="AT258" i="5"/>
  <c r="AT126" i="5"/>
  <c r="AU126" i="5"/>
  <c r="AU142" i="5"/>
  <c r="AU508" i="5"/>
  <c r="AT508" i="5"/>
  <c r="AE440" i="10" l="1"/>
  <c r="AD142" i="5"/>
  <c r="AD556" i="5"/>
  <c r="AS534" i="5"/>
  <c r="AT534" i="5" s="1"/>
  <c r="AD274" i="10"/>
  <c r="AS80" i="5"/>
  <c r="AV274" i="10"/>
  <c r="AD80" i="5"/>
  <c r="AE142" i="5"/>
  <c r="AS556" i="5"/>
  <c r="AT556" i="5" s="1"/>
  <c r="AS322" i="5"/>
  <c r="AT322" i="5" s="1"/>
  <c r="AD178" i="5"/>
  <c r="AE322" i="5"/>
  <c r="AE447" i="5"/>
  <c r="AE178" i="5"/>
  <c r="AD447" i="5"/>
  <c r="AU447" i="5"/>
  <c r="AT178" i="5"/>
  <c r="AS34" i="5"/>
  <c r="AT34" i="5" s="1"/>
  <c r="AE34" i="5"/>
  <c r="AE534" i="5"/>
  <c r="AV180" i="10"/>
  <c r="AE180" i="10"/>
  <c r="AV440" i="10"/>
  <c r="AE69" i="10"/>
  <c r="AV69" i="10"/>
  <c r="AW69" i="10" s="1"/>
  <c r="AS404" i="5"/>
  <c r="AT404" i="5" s="1"/>
  <c r="AD45" i="5"/>
  <c r="AE404" i="5"/>
  <c r="AE516" i="10"/>
  <c r="AD399" i="5"/>
  <c r="AV516" i="10"/>
  <c r="AW516" i="10" s="1"/>
  <c r="AS45" i="5"/>
  <c r="AT45" i="5" s="1"/>
  <c r="AS399" i="5"/>
  <c r="AU399" i="5" s="1"/>
  <c r="AT498" i="5"/>
  <c r="AD151" i="5"/>
  <c r="AE151" i="5"/>
  <c r="AD451" i="5"/>
  <c r="AT151" i="5"/>
  <c r="AU451" i="5"/>
  <c r="AE498" i="5"/>
  <c r="AD498" i="5"/>
  <c r="AS466" i="5"/>
  <c r="AT466" i="5" s="1"/>
  <c r="AE466" i="5"/>
  <c r="AS476" i="5"/>
  <c r="AT476" i="5" s="1"/>
  <c r="AT247" i="5"/>
  <c r="AE247" i="5"/>
  <c r="AE476" i="5"/>
  <c r="AD112" i="5"/>
  <c r="AS112" i="5"/>
  <c r="AT112" i="5" s="1"/>
  <c r="AE278" i="10"/>
  <c r="AV278" i="10"/>
  <c r="AW278" i="10" s="1"/>
  <c r="AD326" i="10"/>
  <c r="AW326" i="10"/>
  <c r="AE326" i="10"/>
  <c r="AS289" i="5"/>
  <c r="AU289" i="5" s="1"/>
  <c r="AE289" i="5"/>
  <c r="AT144" i="5"/>
  <c r="AD279" i="10"/>
  <c r="AD144" i="5"/>
  <c r="AV279" i="10"/>
  <c r="AX279" i="10" s="1"/>
  <c r="AV53" i="10"/>
  <c r="AD53" i="10"/>
  <c r="AD84" i="5"/>
  <c r="AS84" i="5"/>
  <c r="AT84" i="5" s="1"/>
  <c r="AV160" i="10"/>
  <c r="AW160" i="10" s="1"/>
  <c r="AV242" i="10"/>
  <c r="AE242" i="10"/>
  <c r="AE200" i="10"/>
  <c r="AV200" i="10"/>
  <c r="AW200" i="10" s="1"/>
  <c r="AT108" i="5"/>
  <c r="AD28" i="10"/>
  <c r="AV28" i="10"/>
  <c r="AX28" i="10" s="1"/>
  <c r="AD108" i="5"/>
  <c r="AE108" i="5"/>
  <c r="AW55" i="10"/>
  <c r="AD55" i="10"/>
  <c r="AE160" i="10"/>
  <c r="AE498" i="10"/>
  <c r="AD498" i="10"/>
  <c r="AV129" i="10"/>
  <c r="AW129" i="10" s="1"/>
  <c r="AE55" i="10"/>
  <c r="AO153" i="4"/>
  <c r="AN153" i="4" s="1"/>
  <c r="AV164" i="10"/>
  <c r="AW164" i="10" s="1"/>
  <c r="AD548" i="10"/>
  <c r="AV548" i="10"/>
  <c r="AW548" i="10" s="1"/>
  <c r="AV534" i="10"/>
  <c r="AW534" i="10" s="1"/>
  <c r="AE248" i="10"/>
  <c r="AV465" i="10"/>
  <c r="AX465" i="10" s="1"/>
  <c r="AD534" i="10"/>
  <c r="BN64" i="4"/>
  <c r="AI64" i="4"/>
  <c r="AI156" i="4"/>
  <c r="AI143" i="4"/>
  <c r="AI145" i="4"/>
  <c r="BN52" i="4"/>
  <c r="AI52" i="4"/>
  <c r="AI126" i="4"/>
  <c r="AI91" i="4"/>
  <c r="BN46" i="4"/>
  <c r="AI46" i="4"/>
  <c r="AI81" i="4"/>
  <c r="BN26" i="4"/>
  <c r="AI26" i="4"/>
  <c r="AI124" i="4"/>
  <c r="AI149" i="4"/>
  <c r="AI116" i="4"/>
  <c r="AI123" i="4"/>
  <c r="BN69" i="4"/>
  <c r="AI69" i="4"/>
  <c r="BN41" i="4"/>
  <c r="AI41" i="4"/>
  <c r="AI142" i="4"/>
  <c r="AI150" i="4"/>
  <c r="AI106" i="4"/>
  <c r="BN21" i="4"/>
  <c r="AI21" i="4"/>
  <c r="BN79" i="4"/>
  <c r="AI79" i="4"/>
  <c r="BN48" i="4"/>
  <c r="AI48" i="4"/>
  <c r="AI117" i="4"/>
  <c r="AI104" i="4"/>
  <c r="BN65" i="4"/>
  <c r="AI65" i="4"/>
  <c r="AI130" i="4"/>
  <c r="BN39" i="4"/>
  <c r="AI39" i="4"/>
  <c r="AI97" i="4"/>
  <c r="AI140" i="4"/>
  <c r="AI136" i="4"/>
  <c r="BN54" i="4"/>
  <c r="AI54" i="4"/>
  <c r="BN19" i="4"/>
  <c r="AI19" i="4"/>
  <c r="AI146" i="4"/>
  <c r="AI154" i="4"/>
  <c r="BN47" i="4"/>
  <c r="AI47" i="4"/>
  <c r="AI110" i="4"/>
  <c r="AI118" i="4"/>
  <c r="AI157" i="4"/>
  <c r="BN32" i="4"/>
  <c r="AI32" i="4"/>
  <c r="BN49" i="4"/>
  <c r="AI49" i="4"/>
  <c r="BN24" i="4"/>
  <c r="AI24" i="4"/>
  <c r="AI113" i="4"/>
  <c r="AI137" i="4"/>
  <c r="AI82" i="4"/>
  <c r="AI148" i="4"/>
  <c r="AI90" i="4"/>
  <c r="AI108" i="4"/>
  <c r="BN75" i="4"/>
  <c r="AI75" i="4"/>
  <c r="AI94" i="4"/>
  <c r="BN56" i="4"/>
  <c r="AI56" i="4"/>
  <c r="AI111" i="4"/>
  <c r="BI133" i="4"/>
  <c r="AI133" i="4"/>
  <c r="BN67" i="4"/>
  <c r="AI67" i="4"/>
  <c r="AI112" i="4"/>
  <c r="BN62" i="4"/>
  <c r="AI62" i="4"/>
  <c r="AA62" i="4"/>
  <c r="AB62" i="4" s="1"/>
  <c r="BU62" i="4" s="1"/>
  <c r="AP62" i="4"/>
  <c r="AO62" i="4" s="1"/>
  <c r="AN62" i="4" s="1"/>
  <c r="BI62" i="4"/>
  <c r="AP112" i="4"/>
  <c r="AO112" i="4" s="1"/>
  <c r="AA112" i="4"/>
  <c r="AB112" i="4" s="1"/>
  <c r="BU112" i="4" s="1"/>
  <c r="AP67" i="4"/>
  <c r="AO67" i="4" s="1"/>
  <c r="BI8" i="4"/>
  <c r="BI132" i="4"/>
  <c r="BI120" i="4"/>
  <c r="BI30" i="4"/>
  <c r="AA133" i="4"/>
  <c r="AB133" i="4" s="1"/>
  <c r="BU133" i="4" s="1"/>
  <c r="BI119" i="4"/>
  <c r="BI80" i="4"/>
  <c r="AA67" i="4"/>
  <c r="AB67" i="4" s="1"/>
  <c r="BU67" i="4" s="1"/>
  <c r="BI42" i="4"/>
  <c r="BI33" i="4"/>
  <c r="BI38" i="4"/>
  <c r="BI107" i="4"/>
  <c r="AP102" i="4"/>
  <c r="AO102" i="4" s="1"/>
  <c r="AN102" i="4" s="1"/>
  <c r="AP133" i="4"/>
  <c r="AP122" i="4"/>
  <c r="AP59" i="4"/>
  <c r="AO59" i="4" s="1"/>
  <c r="AN59" i="4" s="1"/>
  <c r="BN59" i="4"/>
  <c r="AP37" i="4"/>
  <c r="AO37" i="4" s="1"/>
  <c r="AQ37" i="4" s="1"/>
  <c r="AR37" i="4" s="1"/>
  <c r="BN37" i="4"/>
  <c r="BI99" i="4"/>
  <c r="AA37" i="4"/>
  <c r="AB37" i="4" s="1"/>
  <c r="BI67" i="4"/>
  <c r="AA39" i="4"/>
  <c r="BI153" i="4"/>
  <c r="AA59" i="4"/>
  <c r="BI93" i="4"/>
  <c r="BI13" i="4"/>
  <c r="AA41" i="4"/>
  <c r="AB41" i="4" s="1"/>
  <c r="BI43" i="4"/>
  <c r="BI73" i="4"/>
  <c r="BI44" i="4"/>
  <c r="BI138" i="4"/>
  <c r="AA152" i="4"/>
  <c r="AB152" i="4" s="1"/>
  <c r="BU152" i="4" s="1"/>
  <c r="AP152" i="4"/>
  <c r="BI144" i="4"/>
  <c r="AQ107" i="4"/>
  <c r="AR107" i="4" s="1"/>
  <c r="AS107" i="4" s="1"/>
  <c r="AP56" i="4"/>
  <c r="AO56" i="4" s="1"/>
  <c r="AQ56" i="4" s="1"/>
  <c r="AR56" i="4" s="1"/>
  <c r="AP97" i="4"/>
  <c r="AO97" i="4" s="1"/>
  <c r="BI70" i="4"/>
  <c r="BI29" i="4"/>
  <c r="AA154" i="4"/>
  <c r="AB154" i="4" s="1"/>
  <c r="BU154" i="4" s="1"/>
  <c r="AP41" i="4"/>
  <c r="AO41" i="4" s="1"/>
  <c r="AP69" i="4"/>
  <c r="AO69" i="4" s="1"/>
  <c r="BI131" i="4"/>
  <c r="BI125" i="4"/>
  <c r="BI40" i="4"/>
  <c r="BI88" i="4"/>
  <c r="BI103" i="4"/>
  <c r="AP150" i="4"/>
  <c r="AP154" i="4"/>
  <c r="AP39" i="4"/>
  <c r="AO39" i="4" s="1"/>
  <c r="AP126" i="4"/>
  <c r="AP91" i="4"/>
  <c r="AO91" i="4" s="1"/>
  <c r="AN91" i="4" s="1"/>
  <c r="AA126" i="4"/>
  <c r="AA150" i="4"/>
  <c r="AB150" i="4" s="1"/>
  <c r="BU150" i="4" s="1"/>
  <c r="AA56" i="4"/>
  <c r="AB56" i="4" s="1"/>
  <c r="AA97" i="4"/>
  <c r="AB97" i="4" s="1"/>
  <c r="BU97" i="4" s="1"/>
  <c r="AA111" i="4"/>
  <c r="AP111" i="4"/>
  <c r="AO111" i="4" s="1"/>
  <c r="AQ111" i="4" s="1"/>
  <c r="AR111" i="4" s="1"/>
  <c r="BI14" i="4"/>
  <c r="BI66" i="4"/>
  <c r="BI89" i="4"/>
  <c r="BI76" i="4"/>
  <c r="BI121" i="4"/>
  <c r="BI83" i="4"/>
  <c r="BI22" i="4"/>
  <c r="BI134" i="4"/>
  <c r="BI17" i="4"/>
  <c r="BI155" i="4"/>
  <c r="BI87" i="4"/>
  <c r="BI20" i="4"/>
  <c r="AO61" i="4"/>
  <c r="AO23" i="4"/>
  <c r="AO42" i="4"/>
  <c r="AQ42" i="4" s="1"/>
  <c r="AR42" i="4" s="1"/>
  <c r="BI52" i="4"/>
  <c r="BI108" i="4"/>
  <c r="AA142" i="4"/>
  <c r="AB142" i="4" s="1"/>
  <c r="BU142" i="4" s="1"/>
  <c r="AA91" i="4"/>
  <c r="AB91" i="4" s="1"/>
  <c r="BI81" i="4"/>
  <c r="BI24" i="4"/>
  <c r="BI113" i="4"/>
  <c r="AO8" i="4"/>
  <c r="AO35" i="4"/>
  <c r="AQ35" i="4" s="1"/>
  <c r="AR35" i="4" s="1"/>
  <c r="AO139" i="4"/>
  <c r="AN139" i="4" s="1"/>
  <c r="AO73" i="4"/>
  <c r="AO30" i="4"/>
  <c r="AO66" i="4"/>
  <c r="AQ66" i="4" s="1"/>
  <c r="AR66" i="4" s="1"/>
  <c r="AO38" i="4"/>
  <c r="AO119" i="4"/>
  <c r="AO125" i="4"/>
  <c r="AQ125" i="4" s="1"/>
  <c r="AR125" i="4" s="1"/>
  <c r="AO131" i="4"/>
  <c r="AO12" i="4"/>
  <c r="AO103" i="4"/>
  <c r="AO115" i="4"/>
  <c r="AQ115" i="4" s="1"/>
  <c r="AR115" i="4" s="1"/>
  <c r="AO70" i="4"/>
  <c r="BI75" i="4"/>
  <c r="BI109" i="4"/>
  <c r="BI141" i="4"/>
  <c r="BI15" i="4"/>
  <c r="BI105" i="4"/>
  <c r="BI36" i="4"/>
  <c r="BI27" i="4"/>
  <c r="BI53" i="4"/>
  <c r="BI106" i="4"/>
  <c r="BI110" i="4"/>
  <c r="BI65" i="4"/>
  <c r="AO121" i="4"/>
  <c r="AO147" i="4"/>
  <c r="AQ147" i="4" s="1"/>
  <c r="AR147" i="4" s="1"/>
  <c r="AO16" i="4"/>
  <c r="AO9" i="4"/>
  <c r="AN9" i="4" s="1"/>
  <c r="AO138" i="4"/>
  <c r="AQ138" i="4" s="1"/>
  <c r="AR138" i="4" s="1"/>
  <c r="AO50" i="4"/>
  <c r="AO127" i="4"/>
  <c r="AO105" i="4"/>
  <c r="AQ105" i="4" s="1"/>
  <c r="AR105" i="4" s="1"/>
  <c r="AO25" i="4"/>
  <c r="AO135" i="4"/>
  <c r="AN135" i="4" s="1"/>
  <c r="AO72" i="4"/>
  <c r="AN72" i="4" s="1"/>
  <c r="AO15" i="4"/>
  <c r="AO34" i="4"/>
  <c r="AO109" i="4"/>
  <c r="AO77" i="4"/>
  <c r="AQ77" i="4" s="1"/>
  <c r="AR77" i="4" s="1"/>
  <c r="AP142" i="4"/>
  <c r="BI39" i="4"/>
  <c r="AO20" i="4"/>
  <c r="AQ20" i="4" s="1"/>
  <c r="AR20" i="4" s="1"/>
  <c r="AO33" i="4"/>
  <c r="AQ33" i="4" s="1"/>
  <c r="AR33" i="4" s="1"/>
  <c r="AO85" i="4"/>
  <c r="AQ85" i="4" s="1"/>
  <c r="AR85" i="4" s="1"/>
  <c r="AO88" i="4"/>
  <c r="BI94" i="4"/>
  <c r="BI102" i="4"/>
  <c r="BI47" i="4"/>
  <c r="BI46" i="4"/>
  <c r="BI146" i="4"/>
  <c r="AO101" i="4"/>
  <c r="AN101" i="4" s="1"/>
  <c r="AO43" i="4"/>
  <c r="AO51" i="4"/>
  <c r="AO29" i="4"/>
  <c r="AO27" i="4"/>
  <c r="AO144" i="4"/>
  <c r="AO31" i="4"/>
  <c r="AO76" i="4"/>
  <c r="AO89" i="4"/>
  <c r="AO84" i="4"/>
  <c r="AN84" i="4" s="1"/>
  <c r="AO11" i="4"/>
  <c r="AQ11" i="4" s="1"/>
  <c r="AR11" i="4" s="1"/>
  <c r="AO93" i="4"/>
  <c r="AO17" i="4"/>
  <c r="AO155" i="4"/>
  <c r="AN155" i="4" s="1"/>
  <c r="AO57" i="4"/>
  <c r="AO13" i="4"/>
  <c r="AQ13" i="4" s="1"/>
  <c r="AR13" i="4" s="1"/>
  <c r="AO141" i="4"/>
  <c r="AO45" i="4"/>
  <c r="AQ45" i="4" s="1"/>
  <c r="AR45" i="4" s="1"/>
  <c r="AO151" i="4"/>
  <c r="BI116" i="4"/>
  <c r="BI56" i="4"/>
  <c r="BI79" i="4"/>
  <c r="BI118" i="4"/>
  <c r="AO58" i="4"/>
  <c r="AO129" i="4"/>
  <c r="AQ129" i="4" s="1"/>
  <c r="AR129" i="4" s="1"/>
  <c r="AO53" i="4"/>
  <c r="AO80" i="4"/>
  <c r="AO55" i="4"/>
  <c r="AN55" i="4" s="1"/>
  <c r="AO63" i="4"/>
  <c r="AA69" i="4"/>
  <c r="AB69" i="4" s="1"/>
  <c r="BU69" i="4" s="1"/>
  <c r="AA140" i="4"/>
  <c r="AA94" i="4"/>
  <c r="AP140" i="4"/>
  <c r="AP94" i="4"/>
  <c r="AO94" i="4" s="1"/>
  <c r="AA122" i="4"/>
  <c r="AP90" i="4"/>
  <c r="AO90" i="4" s="1"/>
  <c r="AA102" i="4"/>
  <c r="AA130" i="4"/>
  <c r="AB130" i="4" s="1"/>
  <c r="AA108" i="4"/>
  <c r="AB108" i="4" s="1"/>
  <c r="BU108" i="4" s="1"/>
  <c r="AP75" i="4"/>
  <c r="AO75" i="4" s="1"/>
  <c r="AP130" i="4"/>
  <c r="AP108" i="4"/>
  <c r="AA75" i="4"/>
  <c r="AB75" i="4" s="1"/>
  <c r="BU75" i="4" s="1"/>
  <c r="AP52" i="4"/>
  <c r="AO52" i="4" s="1"/>
  <c r="AA116" i="4"/>
  <c r="AB116" i="4" s="1"/>
  <c r="AA90" i="4"/>
  <c r="AB90" i="4" s="1"/>
  <c r="BU90" i="4" s="1"/>
  <c r="AA123" i="4"/>
  <c r="AB123" i="4" s="1"/>
  <c r="BU123" i="4" s="1"/>
  <c r="AB38" i="4"/>
  <c r="BU38" i="4" s="1"/>
  <c r="AP123" i="4"/>
  <c r="AP145" i="4"/>
  <c r="AA145" i="4"/>
  <c r="AB145" i="4" s="1"/>
  <c r="BU145" i="4" s="1"/>
  <c r="AA52" i="4"/>
  <c r="AB52" i="4" s="1"/>
  <c r="BU52" i="4" s="1"/>
  <c r="AP116" i="4"/>
  <c r="AP124" i="4"/>
  <c r="AP148" i="4"/>
  <c r="AP82" i="4"/>
  <c r="AO82" i="4" s="1"/>
  <c r="AP48" i="4"/>
  <c r="AO48" i="4" s="1"/>
  <c r="AP117" i="4"/>
  <c r="AP156" i="4"/>
  <c r="AP143" i="4"/>
  <c r="AB11" i="4"/>
  <c r="BU11" i="4" s="1"/>
  <c r="AB35" i="4"/>
  <c r="BU35" i="4" s="1"/>
  <c r="AB125" i="4"/>
  <c r="BU125" i="4" s="1"/>
  <c r="AB115" i="4"/>
  <c r="BU115" i="4" s="1"/>
  <c r="AP32" i="4"/>
  <c r="AO32" i="4" s="1"/>
  <c r="AP157" i="4"/>
  <c r="AP19" i="4"/>
  <c r="AN40" i="4"/>
  <c r="AQ40" i="4"/>
  <c r="AR40" i="4" s="1"/>
  <c r="AO100" i="4"/>
  <c r="AO92" i="4"/>
  <c r="AN36" i="4"/>
  <c r="AQ36" i="4"/>
  <c r="AR36" i="4" s="1"/>
  <c r="AO114" i="4"/>
  <c r="AO134" i="4"/>
  <c r="AQ28" i="4"/>
  <c r="AR28" i="4" s="1"/>
  <c r="AN28" i="4"/>
  <c r="AP81" i="4"/>
  <c r="AP24" i="4"/>
  <c r="AP113" i="4"/>
  <c r="AP137" i="4"/>
  <c r="AP149" i="4"/>
  <c r="AP47" i="4"/>
  <c r="AP46" i="4"/>
  <c r="AP64" i="4"/>
  <c r="AO64" i="4" s="1"/>
  <c r="AP136" i="4"/>
  <c r="AP110" i="4"/>
  <c r="AP104" i="4"/>
  <c r="AP65" i="4"/>
  <c r="AB28" i="4"/>
  <c r="BU28" i="4" s="1"/>
  <c r="AN18" i="4"/>
  <c r="AQ18" i="4"/>
  <c r="AR18" i="4" s="1"/>
  <c r="AQ99" i="4"/>
  <c r="AR99" i="4" s="1"/>
  <c r="AN99" i="4"/>
  <c r="AO128" i="4"/>
  <c r="AN78" i="4"/>
  <c r="AQ78" i="4"/>
  <c r="AR78" i="4" s="1"/>
  <c r="AN95" i="4"/>
  <c r="AQ95" i="4"/>
  <c r="AR95" i="4" s="1"/>
  <c r="AN14" i="4"/>
  <c r="AQ14" i="4"/>
  <c r="AR14" i="4" s="1"/>
  <c r="AQ120" i="4"/>
  <c r="AR120" i="4" s="1"/>
  <c r="AN120" i="4"/>
  <c r="AO96" i="4"/>
  <c r="AQ10" i="4"/>
  <c r="AR10" i="4" s="1"/>
  <c r="AN10" i="4"/>
  <c r="AQ68" i="4"/>
  <c r="AR68" i="4" s="1"/>
  <c r="AN68" i="4"/>
  <c r="AQ86" i="4"/>
  <c r="AR86" i="4" s="1"/>
  <c r="AN86" i="4"/>
  <c r="AN71" i="4"/>
  <c r="AQ71" i="4"/>
  <c r="AR71" i="4" s="1"/>
  <c r="AQ60" i="4"/>
  <c r="AR60" i="4" s="1"/>
  <c r="AN60" i="4"/>
  <c r="AQ98" i="4"/>
  <c r="AR98" i="4" s="1"/>
  <c r="AN98" i="4"/>
  <c r="AP106" i="4"/>
  <c r="AO106" i="4" s="1"/>
  <c r="AP21" i="4"/>
  <c r="AP49" i="4"/>
  <c r="AP146" i="4"/>
  <c r="AN22" i="4"/>
  <c r="AQ22" i="4"/>
  <c r="AR22" i="4" s="1"/>
  <c r="AN87" i="4"/>
  <c r="AQ87" i="4"/>
  <c r="AR87" i="4" s="1"/>
  <c r="AO44" i="4"/>
  <c r="AO132" i="4"/>
  <c r="AQ83" i="4"/>
  <c r="AR83" i="4" s="1"/>
  <c r="AN83" i="4"/>
  <c r="AN74" i="4"/>
  <c r="AQ74" i="4"/>
  <c r="AR74" i="4" s="1"/>
  <c r="AP79" i="4"/>
  <c r="AO79" i="4" s="1"/>
  <c r="AP26" i="4"/>
  <c r="AO26" i="4" s="1"/>
  <c r="AP118" i="4"/>
  <c r="AP54" i="4"/>
  <c r="AB138" i="4"/>
  <c r="BU138" i="4" s="1"/>
  <c r="AB103" i="4"/>
  <c r="BU103" i="4" s="1"/>
  <c r="AB121" i="4"/>
  <c r="BU121" i="4" s="1"/>
  <c r="AA82" i="4"/>
  <c r="AA124" i="4"/>
  <c r="AA148" i="4"/>
  <c r="AA48" i="4"/>
  <c r="AA117" i="4"/>
  <c r="AA157" i="4"/>
  <c r="AA156" i="4"/>
  <c r="AA143" i="4"/>
  <c r="AE446" i="5"/>
  <c r="AB63" i="4"/>
  <c r="BU63" i="4" s="1"/>
  <c r="AB129" i="4"/>
  <c r="BU129" i="4" s="1"/>
  <c r="AB18" i="4"/>
  <c r="BU18" i="4" s="1"/>
  <c r="AB23" i="4"/>
  <c r="BU23" i="4" s="1"/>
  <c r="AB93" i="4"/>
  <c r="BU93" i="4" s="1"/>
  <c r="AB101" i="4"/>
  <c r="BU101" i="4" s="1"/>
  <c r="AE471" i="10"/>
  <c r="AE203" i="10"/>
  <c r="AV219" i="10"/>
  <c r="AW219" i="10" s="1"/>
  <c r="AE373" i="10"/>
  <c r="AB55" i="4"/>
  <c r="AB87" i="4"/>
  <c r="AB45" i="4"/>
  <c r="AB58" i="4"/>
  <c r="AB25" i="4"/>
  <c r="AB95" i="4"/>
  <c r="AB89" i="4"/>
  <c r="AB139" i="4"/>
  <c r="BU139" i="4" s="1"/>
  <c r="AB155" i="4"/>
  <c r="BU155" i="4" s="1"/>
  <c r="AB73" i="4"/>
  <c r="BU73" i="4" s="1"/>
  <c r="AB131" i="4"/>
  <c r="BU131" i="4" s="1"/>
  <c r="AB36" i="4"/>
  <c r="BU36" i="4" s="1"/>
  <c r="AB151" i="4"/>
  <c r="BU151" i="4" s="1"/>
  <c r="AB70" i="4"/>
  <c r="BU70" i="4" s="1"/>
  <c r="AB12" i="4"/>
  <c r="BU12" i="4" s="1"/>
  <c r="AB98" i="4"/>
  <c r="BU98" i="4" s="1"/>
  <c r="AB15" i="4"/>
  <c r="BU15" i="4" s="1"/>
  <c r="AB100" i="4"/>
  <c r="BU100" i="4" s="1"/>
  <c r="AB44" i="4"/>
  <c r="BU44" i="4" s="1"/>
  <c r="AB33" i="4"/>
  <c r="AB31" i="4"/>
  <c r="AB76" i="4"/>
  <c r="BU76" i="4" s="1"/>
  <c r="AB153" i="4"/>
  <c r="BU153" i="4" s="1"/>
  <c r="AB14" i="4"/>
  <c r="BU14" i="4" s="1"/>
  <c r="AB86" i="4"/>
  <c r="BU86" i="4" s="1"/>
  <c r="AB42" i="4"/>
  <c r="BU42" i="4" s="1"/>
  <c r="AB85" i="4"/>
  <c r="BU85" i="4" s="1"/>
  <c r="AB114" i="4"/>
  <c r="BU114" i="4" s="1"/>
  <c r="AB147" i="4"/>
  <c r="BU147" i="4" s="1"/>
  <c r="AB80" i="4"/>
  <c r="BU80" i="4" s="1"/>
  <c r="AB71" i="4"/>
  <c r="BU71" i="4" s="1"/>
  <c r="AB92" i="4"/>
  <c r="BU92" i="4" s="1"/>
  <c r="AB105" i="4"/>
  <c r="AB57" i="4"/>
  <c r="AB99" i="4"/>
  <c r="AB29" i="4"/>
  <c r="AB109" i="4"/>
  <c r="AB10" i="4"/>
  <c r="AB135" i="4"/>
  <c r="AB72" i="4"/>
  <c r="BU72" i="4" s="1"/>
  <c r="AB68" i="4"/>
  <c r="BU68" i="4" s="1"/>
  <c r="AB16" i="4"/>
  <c r="BU16" i="4" s="1"/>
  <c r="AB120" i="4"/>
  <c r="BU120" i="4" s="1"/>
  <c r="AB17" i="4"/>
  <c r="AB78" i="4"/>
  <c r="BU78" i="4" s="1"/>
  <c r="AB77" i="4"/>
  <c r="BU77" i="4" s="1"/>
  <c r="AB144" i="4"/>
  <c r="BU144" i="4" s="1"/>
  <c r="AB119" i="4"/>
  <c r="BU119" i="4" s="1"/>
  <c r="AB20" i="4"/>
  <c r="BU20" i="4" s="1"/>
  <c r="AB51" i="4"/>
  <c r="BU51" i="4" s="1"/>
  <c r="AB61" i="4"/>
  <c r="BU61" i="4" s="1"/>
  <c r="AB127" i="4"/>
  <c r="BU127" i="4" s="1"/>
  <c r="AB22" i="4"/>
  <c r="BU22" i="4" s="1"/>
  <c r="AB83" i="4"/>
  <c r="BU83" i="4" s="1"/>
  <c r="AB107" i="4"/>
  <c r="BU107" i="4" s="1"/>
  <c r="AB34" i="4"/>
  <c r="AB27" i="4"/>
  <c r="BU27" i="4" s="1"/>
  <c r="AB53" i="4"/>
  <c r="BU53" i="4" s="1"/>
  <c r="AB60" i="4"/>
  <c r="BU60" i="4" s="1"/>
  <c r="AB74" i="4"/>
  <c r="BU74" i="4" s="1"/>
  <c r="AB50" i="4"/>
  <c r="BU50" i="4" s="1"/>
  <c r="BU8" i="4"/>
  <c r="AB13" i="4"/>
  <c r="BU13" i="4" s="1"/>
  <c r="AB84" i="4"/>
  <c r="BU84" i="4" s="1"/>
  <c r="AB43" i="4"/>
  <c r="BU43" i="4" s="1"/>
  <c r="AB88" i="4"/>
  <c r="BU88" i="4" s="1"/>
  <c r="AB132" i="4"/>
  <c r="BU132" i="4" s="1"/>
  <c r="AB134" i="4"/>
  <c r="BU134" i="4" s="1"/>
  <c r="AB96" i="4"/>
  <c r="BU96" i="4" s="1"/>
  <c r="AB40" i="4"/>
  <c r="BU40" i="4" s="1"/>
  <c r="AB30" i="4"/>
  <c r="BU30" i="4" s="1"/>
  <c r="AB128" i="4"/>
  <c r="BU128" i="4" s="1"/>
  <c r="AB66" i="4"/>
  <c r="BU66" i="4" s="1"/>
  <c r="AA26" i="4"/>
  <c r="AB9" i="4"/>
  <c r="BU9" i="4" s="1"/>
  <c r="AA32" i="4"/>
  <c r="AA106" i="4"/>
  <c r="AA21" i="4"/>
  <c r="AB141" i="4"/>
  <c r="BU141" i="4" s="1"/>
  <c r="AA113" i="4"/>
  <c r="AA19" i="4"/>
  <c r="AA54" i="4"/>
  <c r="AA149" i="4"/>
  <c r="AA110" i="4"/>
  <c r="AA49" i="4"/>
  <c r="AA79" i="4"/>
  <c r="AA137" i="4"/>
  <c r="AA104" i="4"/>
  <c r="AA65" i="4"/>
  <c r="AA47" i="4"/>
  <c r="AA46" i="4"/>
  <c r="AA64" i="4"/>
  <c r="AA136" i="4"/>
  <c r="AA81" i="4"/>
  <c r="AA24" i="4"/>
  <c r="AA118" i="4"/>
  <c r="AA146" i="4"/>
  <c r="AD465" i="10"/>
  <c r="AV100" i="10"/>
  <c r="AX100" i="10" s="1"/>
  <c r="AT446" i="5"/>
  <c r="AV444" i="10"/>
  <c r="AW444" i="10" s="1"/>
  <c r="AX174" i="10"/>
  <c r="AE197" i="10"/>
  <c r="AV471" i="10"/>
  <c r="AW471" i="10" s="1"/>
  <c r="AV432" i="10"/>
  <c r="AW432" i="10" s="1"/>
  <c r="AV365" i="10"/>
  <c r="AW365" i="10" s="1"/>
  <c r="AT7" i="5"/>
  <c r="AV51" i="10"/>
  <c r="AW51" i="10" s="1"/>
  <c r="AD165" i="10"/>
  <c r="AE92" i="10"/>
  <c r="AV300" i="10"/>
  <c r="AX300" i="10" s="1"/>
  <c r="AV403" i="10"/>
  <c r="AW403" i="10" s="1"/>
  <c r="AE403" i="10"/>
  <c r="AD92" i="10"/>
  <c r="AD300" i="10"/>
  <c r="AE157" i="10"/>
  <c r="AD444" i="10"/>
  <c r="AE475" i="10"/>
  <c r="AV72" i="10"/>
  <c r="AW72" i="10" s="1"/>
  <c r="AE458" i="10"/>
  <c r="AD432" i="10"/>
  <c r="AV132" i="10"/>
  <c r="AX132" i="10" s="1"/>
  <c r="AV490" i="10"/>
  <c r="AX490" i="10" s="1"/>
  <c r="AD556" i="10"/>
  <c r="AV350" i="10"/>
  <c r="AX350" i="10" s="1"/>
  <c r="AE557" i="10"/>
  <c r="AX137" i="10"/>
  <c r="AV556" i="10"/>
  <c r="AX556" i="10" s="1"/>
  <c r="AD317" i="10"/>
  <c r="AD137" i="10"/>
  <c r="AV411" i="10"/>
  <c r="AW411" i="10" s="1"/>
  <c r="AD446" i="5"/>
  <c r="AV475" i="10"/>
  <c r="AW475" i="10" s="1"/>
  <c r="AD100" i="10"/>
  <c r="AD348" i="10"/>
  <c r="AV215" i="10"/>
  <c r="AW215" i="10" s="1"/>
  <c r="AD365" i="10"/>
  <c r="AV197" i="10"/>
  <c r="AX197" i="10" s="1"/>
  <c r="AE90" i="10"/>
  <c r="AD132" i="10"/>
  <c r="AV458" i="10"/>
  <c r="AX458" i="10" s="1"/>
  <c r="AV522" i="10"/>
  <c r="AW522" i="10" s="1"/>
  <c r="AD464" i="10"/>
  <c r="AV464" i="10"/>
  <c r="AW464" i="10" s="1"/>
  <c r="AD157" i="10"/>
  <c r="AD215" i="10"/>
  <c r="AV203" i="10"/>
  <c r="AX203" i="10" s="1"/>
  <c r="AD428" i="10"/>
  <c r="AD522" i="10"/>
  <c r="AE51" i="10"/>
  <c r="AX283" i="10"/>
  <c r="AV353" i="10"/>
  <c r="AX353" i="10" s="1"/>
  <c r="AD353" i="10"/>
  <c r="AV530" i="10"/>
  <c r="AW530" i="10" s="1"/>
  <c r="AE283" i="10"/>
  <c r="AE499" i="10"/>
  <c r="AD283" i="10"/>
  <c r="AV499" i="10"/>
  <c r="AW499" i="10" s="1"/>
  <c r="AD56" i="10"/>
  <c r="AE288" i="10"/>
  <c r="AD434" i="10"/>
  <c r="AD302" i="10"/>
  <c r="AD172" i="10"/>
  <c r="AV346" i="10"/>
  <c r="AX346" i="10" s="1"/>
  <c r="AV558" i="10"/>
  <c r="AW558" i="10" s="1"/>
  <c r="AE249" i="10"/>
  <c r="AE118" i="10"/>
  <c r="AE380" i="10"/>
  <c r="AE127" i="10"/>
  <c r="AD443" i="10"/>
  <c r="AE317" i="10"/>
  <c r="AE56" i="10"/>
  <c r="AE137" i="10"/>
  <c r="AE141" i="10"/>
  <c r="AW399" i="10"/>
  <c r="AV141" i="10"/>
  <c r="AW141" i="10" s="1"/>
  <c r="AE290" i="10"/>
  <c r="AD520" i="10"/>
  <c r="AE89" i="10"/>
  <c r="AV48" i="10"/>
  <c r="AW48" i="10" s="1"/>
  <c r="AE478" i="10"/>
  <c r="AD544" i="10"/>
  <c r="AV272" i="10"/>
  <c r="AW272" i="10" s="1"/>
  <c r="AV378" i="10"/>
  <c r="AW378" i="10" s="1"/>
  <c r="AV502" i="10"/>
  <c r="AW502" i="10" s="1"/>
  <c r="AV288" i="10"/>
  <c r="AW288" i="10" s="1"/>
  <c r="AX251" i="10"/>
  <c r="AE520" i="10"/>
  <c r="AV557" i="10"/>
  <c r="AX557" i="10" s="1"/>
  <c r="AV165" i="10"/>
  <c r="AW165" i="10" s="1"/>
  <c r="AE558" i="10"/>
  <c r="AD249" i="10"/>
  <c r="AV118" i="10"/>
  <c r="AW118" i="10" s="1"/>
  <c r="AV116" i="10"/>
  <c r="AW116" i="10" s="1"/>
  <c r="AV202" i="10"/>
  <c r="AW202" i="10" s="1"/>
  <c r="AD378" i="10"/>
  <c r="AE488" i="10"/>
  <c r="AD383" i="10"/>
  <c r="AE560" i="10"/>
  <c r="AE222" i="10"/>
  <c r="AV455" i="10"/>
  <c r="AW455" i="10" s="1"/>
  <c r="AD543" i="10"/>
  <c r="AD102" i="10"/>
  <c r="AV263" i="10"/>
  <c r="AX263" i="10" s="1"/>
  <c r="AE356" i="10"/>
  <c r="AE58" i="10"/>
  <c r="AV441" i="10"/>
  <c r="AX441" i="10" s="1"/>
  <c r="AV43" i="10"/>
  <c r="AW43" i="10" s="1"/>
  <c r="AV377" i="10"/>
  <c r="AX377" i="10" s="1"/>
  <c r="AW37" i="10"/>
  <c r="AD314" i="10"/>
  <c r="AV244" i="10"/>
  <c r="AX244" i="10" s="1"/>
  <c r="AD452" i="10"/>
  <c r="AE121" i="10"/>
  <c r="AD251" i="10"/>
  <c r="AE251" i="10"/>
  <c r="AV330" i="10"/>
  <c r="AW330" i="10" s="1"/>
  <c r="AE348" i="10"/>
  <c r="AE72" i="10"/>
  <c r="AD315" i="10"/>
  <c r="AD411" i="10"/>
  <c r="AE428" i="10"/>
  <c r="AD258" i="10"/>
  <c r="AV373" i="10"/>
  <c r="AX373" i="10" s="1"/>
  <c r="AE513" i="10"/>
  <c r="AD174" i="10"/>
  <c r="AE174" i="10"/>
  <c r="Y11" i="10"/>
  <c r="AV315" i="10"/>
  <c r="AX315" i="10" s="1"/>
  <c r="AV425" i="10"/>
  <c r="AW425" i="10" s="1"/>
  <c r="AV539" i="10"/>
  <c r="AX539" i="10" s="1"/>
  <c r="AV36" i="10"/>
  <c r="AX36" i="10" s="1"/>
  <c r="AX285" i="10"/>
  <c r="AD125" i="10"/>
  <c r="AV500" i="10"/>
  <c r="AX500" i="10" s="1"/>
  <c r="AD436" i="10"/>
  <c r="AD168" i="10"/>
  <c r="AV222" i="10"/>
  <c r="AW222" i="10" s="1"/>
  <c r="AD361" i="10"/>
  <c r="AD110" i="10"/>
  <c r="AD170" i="10"/>
  <c r="AV290" i="10"/>
  <c r="AX290" i="10" s="1"/>
  <c r="AE441" i="10"/>
  <c r="AV102" i="10"/>
  <c r="AW102" i="10" s="1"/>
  <c r="AV209" i="10"/>
  <c r="AW209" i="10" s="1"/>
  <c r="AD478" i="10"/>
  <c r="AE113" i="10"/>
  <c r="AD377" i="10"/>
  <c r="AV89" i="10"/>
  <c r="AW89" i="10" s="1"/>
  <c r="AV544" i="10"/>
  <c r="AW544" i="10" s="1"/>
  <c r="AD393" i="10"/>
  <c r="AD48" i="10"/>
  <c r="AE202" i="10"/>
  <c r="AX367" i="10"/>
  <c r="AV59" i="10"/>
  <c r="AW59" i="10" s="1"/>
  <c r="AE272" i="10"/>
  <c r="AE244" i="10"/>
  <c r="AV540" i="10"/>
  <c r="AX540" i="10" s="1"/>
  <c r="AV393" i="10"/>
  <c r="AW393" i="10" s="1"/>
  <c r="AD551" i="10"/>
  <c r="AD316" i="10"/>
  <c r="AE543" i="10"/>
  <c r="AE170" i="10"/>
  <c r="AV356" i="10"/>
  <c r="AX356" i="10" s="1"/>
  <c r="AV58" i="10"/>
  <c r="AW58" i="10" s="1"/>
  <c r="AV73" i="10"/>
  <c r="AW73" i="10" s="1"/>
  <c r="AD209" i="10"/>
  <c r="AE124" i="10"/>
  <c r="AD116" i="10"/>
  <c r="AD305" i="10"/>
  <c r="AE93" i="10"/>
  <c r="AV314" i="10"/>
  <c r="AW314" i="10" s="1"/>
  <c r="AD399" i="10"/>
  <c r="AE60" i="10"/>
  <c r="AV110" i="10"/>
  <c r="AX110" i="10" s="1"/>
  <c r="AE284" i="10"/>
  <c r="AE387" i="10"/>
  <c r="AD113" i="10"/>
  <c r="AV188" i="10"/>
  <c r="AW188" i="10" s="1"/>
  <c r="AE305" i="10"/>
  <c r="AE551" i="10"/>
  <c r="AE208" i="10"/>
  <c r="AV121" i="10"/>
  <c r="AW121" i="10" s="1"/>
  <c r="AD480" i="10"/>
  <c r="AD33" i="10"/>
  <c r="AV466" i="10"/>
  <c r="AX466" i="10" s="1"/>
  <c r="AE514" i="10"/>
  <c r="AE212" i="10"/>
  <c r="AE530" i="10"/>
  <c r="AE34" i="10"/>
  <c r="AD184" i="10"/>
  <c r="AD334" i="10"/>
  <c r="AE340" i="10"/>
  <c r="AE153" i="10"/>
  <c r="AD115" i="10"/>
  <c r="AE358" i="10"/>
  <c r="AE507" i="10"/>
  <c r="AD167" i="10"/>
  <c r="AE382" i="10"/>
  <c r="AV265" i="10"/>
  <c r="AX265" i="10" s="1"/>
  <c r="AE41" i="10"/>
  <c r="AD13" i="10"/>
  <c r="AE259" i="10"/>
  <c r="AE456" i="10"/>
  <c r="AE473" i="10"/>
  <c r="AV150" i="10"/>
  <c r="AX150" i="10" s="1"/>
  <c r="AD34" i="10"/>
  <c r="AE195" i="10"/>
  <c r="AD259" i="10"/>
  <c r="AV382" i="10"/>
  <c r="AX382" i="10" s="1"/>
  <c r="AE406" i="10"/>
  <c r="AV33" i="10"/>
  <c r="AX33" i="10" s="1"/>
  <c r="AD485" i="10"/>
  <c r="AE256" i="10"/>
  <c r="AV473" i="10"/>
  <c r="AW473" i="10" s="1"/>
  <c r="AV227" i="10"/>
  <c r="AX227" i="10" s="1"/>
  <c r="AD477" i="10"/>
  <c r="AE173" i="10"/>
  <c r="AE117" i="10"/>
  <c r="AD297" i="10"/>
  <c r="AD496" i="10"/>
  <c r="AD286" i="10"/>
  <c r="AV44" i="10"/>
  <c r="AW44" i="10" s="1"/>
  <c r="AD456" i="10"/>
  <c r="AD292" i="10"/>
  <c r="AD156" i="10"/>
  <c r="AD41" i="10"/>
  <c r="AD514" i="10"/>
  <c r="AD130" i="10"/>
  <c r="AX13" i="10"/>
  <c r="AD105" i="10"/>
  <c r="AD182" i="10"/>
  <c r="AV354" i="10"/>
  <c r="AW354" i="10" s="1"/>
  <c r="AE413" i="10"/>
  <c r="AE304" i="10"/>
  <c r="AV261" i="10"/>
  <c r="AX261" i="10" s="1"/>
  <c r="AV318" i="10"/>
  <c r="AX318" i="10" s="1"/>
  <c r="AD462" i="10"/>
  <c r="AD291" i="10"/>
  <c r="AV225" i="10"/>
  <c r="AX225" i="10" s="1"/>
  <c r="AV63" i="10"/>
  <c r="AX63" i="10" s="1"/>
  <c r="AE437" i="10"/>
  <c r="AE47" i="10"/>
  <c r="AE419" i="10"/>
  <c r="AV296" i="10"/>
  <c r="AW296" i="10" s="1"/>
  <c r="AV342" i="10"/>
  <c r="AX342" i="10" s="1"/>
  <c r="AD8" i="10"/>
  <c r="AE355" i="10"/>
  <c r="AE228" i="10"/>
  <c r="AD410" i="10"/>
  <c r="AV145" i="10"/>
  <c r="AW145" i="10" s="1"/>
  <c r="AV325" i="10"/>
  <c r="AW325" i="10" s="1"/>
  <c r="AE335" i="10"/>
  <c r="AE13" i="10"/>
  <c r="AD502" i="10"/>
  <c r="AE84" i="10"/>
  <c r="AV275" i="10"/>
  <c r="AW275" i="10" s="1"/>
  <c r="AE172" i="10"/>
  <c r="AV492" i="10"/>
  <c r="AX492" i="10" s="1"/>
  <c r="AE303" i="10"/>
  <c r="AD547" i="10"/>
  <c r="AV468" i="10"/>
  <c r="AW468" i="10" s="1"/>
  <c r="AD280" i="10"/>
  <c r="AD380" i="10"/>
  <c r="AD488" i="10"/>
  <c r="AD127" i="10"/>
  <c r="AD64" i="10"/>
  <c r="AD338" i="10"/>
  <c r="AV509" i="10"/>
  <c r="AX509" i="10" s="1"/>
  <c r="AD467" i="10"/>
  <c r="AV512" i="10"/>
  <c r="AW512" i="10" s="1"/>
  <c r="AV181" i="10"/>
  <c r="AX181" i="10" s="1"/>
  <c r="AE138" i="10"/>
  <c r="AV88" i="10"/>
  <c r="AX88" i="10" s="1"/>
  <c r="AV446" i="10"/>
  <c r="AW446" i="10" s="1"/>
  <c r="AD78" i="10"/>
  <c r="AE322" i="10"/>
  <c r="AV497" i="10"/>
  <c r="AW497" i="10" s="1"/>
  <c r="AE536" i="10"/>
  <c r="AD80" i="10"/>
  <c r="AD374" i="5"/>
  <c r="AD442" i="10"/>
  <c r="AD122" i="10"/>
  <c r="AV363" i="10"/>
  <c r="AX363" i="10" s="1"/>
  <c r="AD405" i="10"/>
  <c r="AV320" i="10"/>
  <c r="AW320" i="10" s="1"/>
  <c r="AE139" i="10"/>
  <c r="AD152" i="10"/>
  <c r="AE205" i="10"/>
  <c r="AD79" i="10"/>
  <c r="AE104" i="10"/>
  <c r="AE469" i="10"/>
  <c r="AD221" i="10"/>
  <c r="AE443" i="10"/>
  <c r="AX469" i="10"/>
  <c r="AV389" i="10"/>
  <c r="AX389" i="10" s="1"/>
  <c r="AE442" i="10"/>
  <c r="AV271" i="10"/>
  <c r="AW271" i="10" s="1"/>
  <c r="AV302" i="10"/>
  <c r="AX302" i="10" s="1"/>
  <c r="AE275" i="10"/>
  <c r="AE363" i="10"/>
  <c r="AD420" i="10"/>
  <c r="AD512" i="10"/>
  <c r="AV138" i="10"/>
  <c r="AW138" i="10" s="1"/>
  <c r="AD320" i="10"/>
  <c r="AV97" i="10"/>
  <c r="AW97" i="10" s="1"/>
  <c r="AE126" i="10"/>
  <c r="AE547" i="10"/>
  <c r="AV139" i="10"/>
  <c r="AX139" i="10" s="1"/>
  <c r="AV538" i="10"/>
  <c r="AX538" i="10" s="1"/>
  <c r="AD111" i="10"/>
  <c r="AE88" i="10"/>
  <c r="AE152" i="10"/>
  <c r="AD422" i="10"/>
  <c r="AD446" i="10"/>
  <c r="AE497" i="10"/>
  <c r="AE350" i="10"/>
  <c r="AV205" i="10"/>
  <c r="AX205" i="10" s="1"/>
  <c r="AW480" i="10"/>
  <c r="AV323" i="10"/>
  <c r="AW323" i="10" s="1"/>
  <c r="AV61" i="10"/>
  <c r="AX61" i="10" s="1"/>
  <c r="AE79" i="10"/>
  <c r="AV338" i="10"/>
  <c r="AW338" i="10" s="1"/>
  <c r="AE85" i="10"/>
  <c r="AD469" i="10"/>
  <c r="AV221" i="10"/>
  <c r="AW221" i="10" s="1"/>
  <c r="AV85" i="10"/>
  <c r="AX85" i="10" s="1"/>
  <c r="AV301" i="10"/>
  <c r="AX301" i="10" s="1"/>
  <c r="AX385" i="10"/>
  <c r="AE389" i="10"/>
  <c r="AE122" i="10"/>
  <c r="AV434" i="10"/>
  <c r="AX434" i="10" s="1"/>
  <c r="AV515" i="10"/>
  <c r="AX515" i="10" s="1"/>
  <c r="AE420" i="10"/>
  <c r="AD181" i="10"/>
  <c r="AE252" i="10"/>
  <c r="AV405" i="10"/>
  <c r="AX405" i="10" s="1"/>
  <c r="AD492" i="10"/>
  <c r="AV126" i="10"/>
  <c r="AX126" i="10" s="1"/>
  <c r="AD468" i="10"/>
  <c r="AE538" i="10"/>
  <c r="AE111" i="10"/>
  <c r="AV422" i="10"/>
  <c r="AX422" i="10" s="1"/>
  <c r="AE78" i="10"/>
  <c r="AE280" i="10"/>
  <c r="AD322" i="10"/>
  <c r="AV536" i="10"/>
  <c r="AX536" i="10" s="1"/>
  <c r="AD323" i="10"/>
  <c r="AE61" i="10"/>
  <c r="AV104" i="10"/>
  <c r="AW104" i="10" s="1"/>
  <c r="AE383" i="10"/>
  <c r="AD385" i="10"/>
  <c r="AV80" i="10"/>
  <c r="AX80" i="10" s="1"/>
  <c r="AE385" i="10"/>
  <c r="AV560" i="10"/>
  <c r="AW560" i="10" s="1"/>
  <c r="AD37" i="10"/>
  <c r="AE301" i="10"/>
  <c r="AV266" i="10"/>
  <c r="AX266" i="10" s="1"/>
  <c r="AD366" i="10"/>
  <c r="AV457" i="10"/>
  <c r="AW457" i="10" s="1"/>
  <c r="AV68" i="10"/>
  <c r="AX68" i="10" s="1"/>
  <c r="AD277" i="10"/>
  <c r="AV451" i="10"/>
  <c r="AX451" i="10" s="1"/>
  <c r="AE509" i="10"/>
  <c r="AD151" i="10"/>
  <c r="AV151" i="10"/>
  <c r="AX151" i="10" s="1"/>
  <c r="AV435" i="10"/>
  <c r="AW435" i="10" s="1"/>
  <c r="AD10" i="10"/>
  <c r="AE37" i="10"/>
  <c r="AV105" i="10"/>
  <c r="AX105" i="10" s="1"/>
  <c r="AE319" i="10"/>
  <c r="AV86" i="10"/>
  <c r="AW86" i="10" s="1"/>
  <c r="AV491" i="10"/>
  <c r="AX491" i="10" s="1"/>
  <c r="AE62" i="10"/>
  <c r="AV182" i="10"/>
  <c r="AW182" i="10" s="1"/>
  <c r="AV477" i="10"/>
  <c r="AX477" i="10" s="1"/>
  <c r="AV507" i="10"/>
  <c r="AX507" i="10" s="1"/>
  <c r="AD173" i="10"/>
  <c r="AD117" i="10"/>
  <c r="AV195" i="10"/>
  <c r="AW195" i="10" s="1"/>
  <c r="AE297" i="10"/>
  <c r="AV341" i="10"/>
  <c r="AW341" i="10" s="1"/>
  <c r="AD354" i="10"/>
  <c r="AV413" i="10"/>
  <c r="AW413" i="10" s="1"/>
  <c r="AE528" i="10"/>
  <c r="AV167" i="10"/>
  <c r="AX167" i="10" s="1"/>
  <c r="AE539" i="10"/>
  <c r="AV123" i="10"/>
  <c r="AX123" i="10" s="1"/>
  <c r="AV240" i="10"/>
  <c r="AW240" i="10" s="1"/>
  <c r="AD355" i="10"/>
  <c r="AE77" i="10"/>
  <c r="AD261" i="10"/>
  <c r="AD318" i="10"/>
  <c r="AV406" i="10"/>
  <c r="AW406" i="10" s="1"/>
  <c r="AV462" i="10"/>
  <c r="AW462" i="10" s="1"/>
  <c r="AV372" i="10"/>
  <c r="AX372" i="10" s="1"/>
  <c r="AE295" i="10"/>
  <c r="AV485" i="10"/>
  <c r="AW485" i="10" s="1"/>
  <c r="AE225" i="10"/>
  <c r="AE255" i="10"/>
  <c r="AV292" i="10"/>
  <c r="AX292" i="10" s="1"/>
  <c r="AV336" i="10"/>
  <c r="AX336" i="10" s="1"/>
  <c r="AD437" i="10"/>
  <c r="AD493" i="10"/>
  <c r="AV388" i="10"/>
  <c r="AW388" i="10" s="1"/>
  <c r="AV156" i="10"/>
  <c r="AW156" i="10" s="1"/>
  <c r="AD218" i="10"/>
  <c r="AD153" i="10"/>
  <c r="AD194" i="10"/>
  <c r="AV419" i="10"/>
  <c r="AX419" i="10" s="1"/>
  <c r="AD30" i="10"/>
  <c r="AE230" i="10"/>
  <c r="AD463" i="10"/>
  <c r="AE65" i="10"/>
  <c r="AE296" i="10"/>
  <c r="AE325" i="10"/>
  <c r="AV474" i="10"/>
  <c r="AW474" i="10" s="1"/>
  <c r="AV176" i="10"/>
  <c r="AX176" i="10" s="1"/>
  <c r="AV112" i="10"/>
  <c r="AW112" i="10" s="1"/>
  <c r="AV269" i="10"/>
  <c r="AW269" i="10" s="1"/>
  <c r="AD342" i="10"/>
  <c r="AD369" i="10"/>
  <c r="AV7" i="10"/>
  <c r="AX7" i="10" s="1"/>
  <c r="AI11" i="10"/>
  <c r="AL11" i="10"/>
  <c r="AV319" i="10"/>
  <c r="AX319" i="10" s="1"/>
  <c r="AD150" i="10"/>
  <c r="AD227" i="10"/>
  <c r="AE339" i="10"/>
  <c r="AD491" i="10"/>
  <c r="AE196" i="10"/>
  <c r="AE495" i="10"/>
  <c r="AE328" i="10"/>
  <c r="AD531" i="10"/>
  <c r="AE75" i="10"/>
  <c r="AD123" i="10"/>
  <c r="AV304" i="10"/>
  <c r="AX304" i="10" s="1"/>
  <c r="AD77" i="10"/>
  <c r="AV212" i="10"/>
  <c r="AX212" i="10" s="1"/>
  <c r="AE370" i="10"/>
  <c r="AV286" i="10"/>
  <c r="AX286" i="10" s="1"/>
  <c r="AD295" i="10"/>
  <c r="AW358" i="10"/>
  <c r="AV291" i="10"/>
  <c r="AW291" i="10" s="1"/>
  <c r="AE178" i="10"/>
  <c r="AD63" i="10"/>
  <c r="AV228" i="10"/>
  <c r="AX228" i="10" s="1"/>
  <c r="AV334" i="10"/>
  <c r="AW334" i="10" s="1"/>
  <c r="AV47" i="10"/>
  <c r="AX47" i="10" s="1"/>
  <c r="AE216" i="10"/>
  <c r="AD388" i="10"/>
  <c r="AV410" i="10"/>
  <c r="AX410" i="10" s="1"/>
  <c r="AD466" i="10"/>
  <c r="AV27" i="10"/>
  <c r="AW27" i="10" s="1"/>
  <c r="AV218" i="10"/>
  <c r="AW218" i="10" s="1"/>
  <c r="AV340" i="10"/>
  <c r="AX340" i="10" s="1"/>
  <c r="AE52" i="10"/>
  <c r="AE194" i="10"/>
  <c r="AD145" i="10"/>
  <c r="AE166" i="10"/>
  <c r="AV463" i="10"/>
  <c r="AX463" i="10" s="1"/>
  <c r="AV64" i="10"/>
  <c r="AX64" i="10" s="1"/>
  <c r="AE115" i="10"/>
  <c r="AV128" i="10"/>
  <c r="AW128" i="10" s="1"/>
  <c r="AE128" i="10"/>
  <c r="AV130" i="10"/>
  <c r="AW130" i="10" s="1"/>
  <c r="AE112" i="10"/>
  <c r="AE98" i="10"/>
  <c r="AV8" i="10"/>
  <c r="AW8" i="10" s="1"/>
  <c r="AV369" i="10"/>
  <c r="AW369" i="10" s="1"/>
  <c r="AV119" i="10"/>
  <c r="AW119" i="10" s="1"/>
  <c r="AE86" i="10"/>
  <c r="AV171" i="10"/>
  <c r="AW171" i="10" s="1"/>
  <c r="AE332" i="10"/>
  <c r="AD81" i="10"/>
  <c r="AV495" i="10"/>
  <c r="AW495" i="10" s="1"/>
  <c r="AW98" i="10"/>
  <c r="AE379" i="10"/>
  <c r="AV328" i="10"/>
  <c r="AW328" i="10" s="1"/>
  <c r="AE531" i="10"/>
  <c r="AV75" i="10"/>
  <c r="AX75" i="10" s="1"/>
  <c r="AV243" i="10"/>
  <c r="AW243" i="10" s="1"/>
  <c r="AV133" i="10"/>
  <c r="AX133" i="10" s="1"/>
  <c r="AE372" i="10"/>
  <c r="AV453" i="10"/>
  <c r="AW453" i="10" s="1"/>
  <c r="AV178" i="10"/>
  <c r="AX178" i="10" s="1"/>
  <c r="AE336" i="10"/>
  <c r="AE158" i="10"/>
  <c r="AV71" i="10"/>
  <c r="AW71" i="10" s="1"/>
  <c r="AV166" i="10"/>
  <c r="AX166" i="10" s="1"/>
  <c r="AD65" i="10"/>
  <c r="AV335" i="10"/>
  <c r="AW335" i="10" s="1"/>
  <c r="AV360" i="10"/>
  <c r="AX360" i="10" s="1"/>
  <c r="AD358" i="10"/>
  <c r="AD176" i="10"/>
  <c r="AD98" i="10"/>
  <c r="AU252" i="5"/>
  <c r="AV248" i="10"/>
  <c r="AX248" i="10" s="1"/>
  <c r="AD38" i="10"/>
  <c r="AE36" i="10"/>
  <c r="AE125" i="10"/>
  <c r="AD455" i="10"/>
  <c r="AD330" i="10"/>
  <c r="AV361" i="10"/>
  <c r="AW361" i="10" s="1"/>
  <c r="AV38" i="10"/>
  <c r="AX38" i="10" s="1"/>
  <c r="AD282" i="10"/>
  <c r="AD387" i="10"/>
  <c r="AE43" i="10"/>
  <c r="AD526" i="10"/>
  <c r="AD263" i="10"/>
  <c r="AD124" i="10"/>
  <c r="AD188" i="10"/>
  <c r="AD362" i="10"/>
  <c r="AV93" i="10"/>
  <c r="AX93" i="10" s="1"/>
  <c r="AV90" i="10"/>
  <c r="AX90" i="10" s="1"/>
  <c r="AD510" i="10"/>
  <c r="AD309" i="10"/>
  <c r="AD490" i="10"/>
  <c r="AE168" i="10"/>
  <c r="AV452" i="10"/>
  <c r="AW452" i="10" s="1"/>
  <c r="AD501" i="10"/>
  <c r="AE285" i="10"/>
  <c r="AD285" i="10"/>
  <c r="AE399" i="10"/>
  <c r="AD367" i="10"/>
  <c r="AD552" i="10"/>
  <c r="AE425" i="10"/>
  <c r="AD500" i="10"/>
  <c r="AD219" i="10"/>
  <c r="AV258" i="10"/>
  <c r="AW258" i="10" s="1"/>
  <c r="AV436" i="10"/>
  <c r="AW436" i="10" s="1"/>
  <c r="AV513" i="10"/>
  <c r="AW513" i="10" s="1"/>
  <c r="AV501" i="10"/>
  <c r="AX501" i="10" s="1"/>
  <c r="AV552" i="10"/>
  <c r="AX552" i="10" s="1"/>
  <c r="AD143" i="10"/>
  <c r="AV217" i="10"/>
  <c r="AW217" i="10" s="1"/>
  <c r="AE306" i="10"/>
  <c r="AV362" i="10"/>
  <c r="AW362" i="10" s="1"/>
  <c r="AV494" i="10"/>
  <c r="AW494" i="10" s="1"/>
  <c r="AV487" i="10"/>
  <c r="AW487" i="10" s="1"/>
  <c r="AE416" i="10"/>
  <c r="AE367" i="10"/>
  <c r="AV83" i="10"/>
  <c r="AW83" i="10" s="1"/>
  <c r="AE252" i="5"/>
  <c r="AE351" i="10"/>
  <c r="AD433" i="10"/>
  <c r="AD486" i="10"/>
  <c r="AD553" i="10"/>
  <c r="AV24" i="10"/>
  <c r="AX24" i="10" s="1"/>
  <c r="AE73" i="10"/>
  <c r="AV412" i="10"/>
  <c r="AX412" i="10" s="1"/>
  <c r="AD307" i="10"/>
  <c r="AD233" i="10"/>
  <c r="AE364" i="10"/>
  <c r="AD503" i="10"/>
  <c r="AD400" i="10"/>
  <c r="AE546" i="10"/>
  <c r="AV50" i="10"/>
  <c r="AX50" i="10" s="1"/>
  <c r="AV241" i="10"/>
  <c r="AW241" i="10" s="1"/>
  <c r="AV208" i="10"/>
  <c r="AW208" i="10" s="1"/>
  <c r="AD45" i="10"/>
  <c r="AV293" i="10"/>
  <c r="AW293" i="10" s="1"/>
  <c r="AV253" i="10"/>
  <c r="AW253" i="10" s="1"/>
  <c r="AE398" i="10"/>
  <c r="AE427" i="10"/>
  <c r="AD35" i="10"/>
  <c r="AE391" i="10"/>
  <c r="AE26" i="10"/>
  <c r="AE148" i="10"/>
  <c r="AV433" i="10"/>
  <c r="AX433" i="10" s="1"/>
  <c r="AD371" i="10"/>
  <c r="AV486" i="10"/>
  <c r="AW486" i="10" s="1"/>
  <c r="AE276" i="10"/>
  <c r="AD423" i="10"/>
  <c r="AE232" i="10"/>
  <c r="AV67" i="10"/>
  <c r="AW67" i="10" s="1"/>
  <c r="AD364" i="10"/>
  <c r="AE421" i="10"/>
  <c r="AE503" i="10"/>
  <c r="AE331" i="10"/>
  <c r="AE220" i="10"/>
  <c r="AV316" i="10"/>
  <c r="AX316" i="10" s="1"/>
  <c r="AD416" i="10"/>
  <c r="AD252" i="5"/>
  <c r="AD229" i="10"/>
  <c r="AD254" i="10"/>
  <c r="AD46" i="10"/>
  <c r="AE233" i="10"/>
  <c r="AD489" i="10"/>
  <c r="AD270" i="10"/>
  <c r="AE82" i="10"/>
  <c r="AE35" i="10"/>
  <c r="AE45" i="10"/>
  <c r="AE235" i="10"/>
  <c r="AV281" i="10"/>
  <c r="AW281" i="10" s="1"/>
  <c r="AD253" i="10"/>
  <c r="AV236" i="10"/>
  <c r="AW236" i="10" s="1"/>
  <c r="AV351" i="10"/>
  <c r="AW351" i="10" s="1"/>
  <c r="AV26" i="10"/>
  <c r="AW26" i="10" s="1"/>
  <c r="AV29" i="10"/>
  <c r="AW29" i="10" s="1"/>
  <c r="AE229" i="10"/>
  <c r="AV143" i="10"/>
  <c r="AW143" i="10" s="1"/>
  <c r="AE371" i="10"/>
  <c r="AX189" i="10"/>
  <c r="AV284" i="10"/>
  <c r="AX284" i="10" s="1"/>
  <c r="AW310" i="10"/>
  <c r="AD540" i="10"/>
  <c r="AD289" i="10"/>
  <c r="AD412" i="10"/>
  <c r="AD459" i="10"/>
  <c r="AD136" i="10"/>
  <c r="AV276" i="10"/>
  <c r="AW276" i="10" s="1"/>
  <c r="AV254" i="10"/>
  <c r="AX254" i="10" s="1"/>
  <c r="AV423" i="10"/>
  <c r="AW423" i="10" s="1"/>
  <c r="AE526" i="10"/>
  <c r="AV186" i="10"/>
  <c r="AW186" i="10" s="1"/>
  <c r="AE519" i="10"/>
  <c r="AE347" i="10"/>
  <c r="AV439" i="10"/>
  <c r="AX439" i="10" s="1"/>
  <c r="AE66" i="10"/>
  <c r="AD204" i="10"/>
  <c r="AW206" i="10"/>
  <c r="AD343" i="10"/>
  <c r="AE510" i="10"/>
  <c r="AE76" i="10"/>
  <c r="AV331" i="10"/>
  <c r="AW331" i="10" s="1"/>
  <c r="AE309" i="10"/>
  <c r="AD381" i="10"/>
  <c r="AV82" i="10"/>
  <c r="AX82" i="10" s="1"/>
  <c r="AD487" i="10"/>
  <c r="AD59" i="10"/>
  <c r="AD241" i="10"/>
  <c r="AE542" i="10"/>
  <c r="AE293" i="10"/>
  <c r="AE337" i="10"/>
  <c r="AD206" i="10"/>
  <c r="AD533" i="10"/>
  <c r="AV392" i="10"/>
  <c r="AX392" i="10" s="1"/>
  <c r="AE236" i="10"/>
  <c r="AD312" i="10"/>
  <c r="AD95" i="10"/>
  <c r="AV136" i="10"/>
  <c r="AX136" i="10" s="1"/>
  <c r="AV525" i="10"/>
  <c r="AX525" i="10" s="1"/>
  <c r="AE186" i="10"/>
  <c r="AD94" i="10"/>
  <c r="AD42" i="10"/>
  <c r="AD299" i="10"/>
  <c r="AV381" i="10"/>
  <c r="AW381" i="10" s="1"/>
  <c r="AE134" i="10"/>
  <c r="AD155" i="10"/>
  <c r="AD337" i="10"/>
  <c r="AD391" i="10"/>
  <c r="AV246" i="10"/>
  <c r="AW246" i="10" s="1"/>
  <c r="AV533" i="10"/>
  <c r="AX533" i="10" s="1"/>
  <c r="AE39" i="10"/>
  <c r="AD396" i="10"/>
  <c r="AD207" i="10"/>
  <c r="AD135" i="10"/>
  <c r="AE357" i="10"/>
  <c r="AE386" i="10"/>
  <c r="AD349" i="10"/>
  <c r="AE494" i="10"/>
  <c r="AV199" i="10"/>
  <c r="AX199" i="10" s="1"/>
  <c r="AV294" i="10"/>
  <c r="AX294" i="10" s="1"/>
  <c r="AD268" i="10"/>
  <c r="AE206" i="10"/>
  <c r="AD107" i="10"/>
  <c r="AD559" i="10"/>
  <c r="AE95" i="10"/>
  <c r="AV120" i="10"/>
  <c r="AW120" i="10" s="1"/>
  <c r="AE460" i="10"/>
  <c r="AV289" i="10"/>
  <c r="AX289" i="10" s="1"/>
  <c r="AE511" i="10"/>
  <c r="AD421" i="10"/>
  <c r="AV299" i="10"/>
  <c r="AW299" i="10" s="1"/>
  <c r="AE343" i="10"/>
  <c r="AD535" i="10"/>
  <c r="AD427" i="10"/>
  <c r="AV220" i="10"/>
  <c r="AX220" i="10" s="1"/>
  <c r="AE262" i="10"/>
  <c r="AE12" i="10"/>
  <c r="AE25" i="10"/>
  <c r="AE312" i="10"/>
  <c r="AW262" i="10"/>
  <c r="AD398" i="10"/>
  <c r="AE415" i="10"/>
  <c r="AE107" i="10"/>
  <c r="AV148" i="10"/>
  <c r="AW148" i="10" s="1"/>
  <c r="AD210" i="10"/>
  <c r="AV396" i="10"/>
  <c r="AX396" i="10" s="1"/>
  <c r="AV559" i="10"/>
  <c r="AX559" i="10" s="1"/>
  <c r="AE29" i="10"/>
  <c r="AV21" i="10"/>
  <c r="AX21" i="10" s="1"/>
  <c r="AD120" i="10"/>
  <c r="AE390" i="10"/>
  <c r="AE449" i="10"/>
  <c r="AE553" i="10"/>
  <c r="AE24" i="10"/>
  <c r="AV109" i="10"/>
  <c r="AX109" i="10" s="1"/>
  <c r="AV459" i="10"/>
  <c r="AX459" i="10" s="1"/>
  <c r="AV32" i="10"/>
  <c r="AX32" i="10" s="1"/>
  <c r="AE525" i="10"/>
  <c r="AE532" i="10"/>
  <c r="AV308" i="10"/>
  <c r="AW308" i="10" s="1"/>
  <c r="AD537" i="10"/>
  <c r="AD66" i="10"/>
  <c r="AD67" i="10"/>
  <c r="AE204" i="10"/>
  <c r="AD454" i="10"/>
  <c r="AE23" i="10"/>
  <c r="AV298" i="10"/>
  <c r="AX298" i="10" s="1"/>
  <c r="AV489" i="10"/>
  <c r="AX489" i="10" s="1"/>
  <c r="AD448" i="10"/>
  <c r="AE535" i="10"/>
  <c r="AD142" i="10"/>
  <c r="AD529" i="10"/>
  <c r="AD103" i="10"/>
  <c r="AV155" i="10"/>
  <c r="AW155" i="10" s="1"/>
  <c r="AE213" i="10"/>
  <c r="AE191" i="10"/>
  <c r="AV352" i="10"/>
  <c r="AW352" i="10" s="1"/>
  <c r="AD482" i="10"/>
  <c r="AD523" i="10"/>
  <c r="AV235" i="10"/>
  <c r="AW235" i="10" s="1"/>
  <c r="AE518" i="10"/>
  <c r="AV424" i="10"/>
  <c r="AX424" i="10" s="1"/>
  <c r="AD262" i="10"/>
  <c r="AE199" i="10"/>
  <c r="AE294" i="10"/>
  <c r="AD392" i="10"/>
  <c r="AX12" i="10"/>
  <c r="AD25" i="10"/>
  <c r="AD374" i="10"/>
  <c r="AV415" i="10"/>
  <c r="AX415" i="10" s="1"/>
  <c r="AE21" i="10"/>
  <c r="AD449" i="10"/>
  <c r="AE46" i="10"/>
  <c r="AE352" i="10"/>
  <c r="AV431" i="10"/>
  <c r="AW431" i="10" s="1"/>
  <c r="AV144" i="10"/>
  <c r="AW144" i="10" s="1"/>
  <c r="AD310" i="10"/>
  <c r="AV234" i="10"/>
  <c r="AW234" i="10" s="1"/>
  <c r="AV555" i="10"/>
  <c r="AX555" i="10" s="1"/>
  <c r="AD333" i="10"/>
  <c r="AV481" i="10"/>
  <c r="AW481" i="10" s="1"/>
  <c r="AV329" i="10"/>
  <c r="AW329" i="10" s="1"/>
  <c r="AV483" i="10"/>
  <c r="AX483" i="10" s="1"/>
  <c r="AV163" i="10"/>
  <c r="AX163" i="10" s="1"/>
  <c r="AV324" i="10"/>
  <c r="AX324" i="10" s="1"/>
  <c r="AD223" i="10"/>
  <c r="AD402" i="10"/>
  <c r="AD424" i="10"/>
  <c r="AV96" i="10"/>
  <c r="AW96" i="10" s="1"/>
  <c r="AE310" i="10"/>
  <c r="AD12" i="10"/>
  <c r="AW401" i="10"/>
  <c r="AD368" i="10"/>
  <c r="AV450" i="10"/>
  <c r="AX450" i="10" s="1"/>
  <c r="AV106" i="10"/>
  <c r="AW106" i="10" s="1"/>
  <c r="AD517" i="10"/>
  <c r="AD119" i="10"/>
  <c r="AV549" i="10"/>
  <c r="AX549" i="10" s="1"/>
  <c r="AD171" i="10"/>
  <c r="AV339" i="10"/>
  <c r="AX339" i="10" s="1"/>
  <c r="AV332" i="10"/>
  <c r="AX332" i="10" s="1"/>
  <c r="AD527" i="10"/>
  <c r="AD62" i="10"/>
  <c r="AV57" i="10"/>
  <c r="AX57" i="10" s="1"/>
  <c r="AV184" i="10"/>
  <c r="AX184" i="10" s="1"/>
  <c r="AV196" i="10"/>
  <c r="AX196" i="10" s="1"/>
  <c r="AV81" i="10"/>
  <c r="AX81" i="10" s="1"/>
  <c r="AD341" i="10"/>
  <c r="AV528" i="10"/>
  <c r="AX528" i="10" s="1"/>
  <c r="AV379" i="10"/>
  <c r="AW379" i="10" s="1"/>
  <c r="AV414" i="10"/>
  <c r="AW414" i="10" s="1"/>
  <c r="AV496" i="10"/>
  <c r="AX496" i="10" s="1"/>
  <c r="AD243" i="10"/>
  <c r="AE521" i="10"/>
  <c r="AD198" i="10"/>
  <c r="AD327" i="10"/>
  <c r="AD133" i="10"/>
  <c r="AV394" i="10"/>
  <c r="AW394" i="10" s="1"/>
  <c r="AD44" i="10"/>
  <c r="AW192" i="10"/>
  <c r="AV256" i="10"/>
  <c r="AX256" i="10" s="1"/>
  <c r="AD445" i="10"/>
  <c r="AE175" i="10"/>
  <c r="AV214" i="10"/>
  <c r="AX214" i="10" s="1"/>
  <c r="AE493" i="10"/>
  <c r="AE193" i="10"/>
  <c r="AV216" i="10"/>
  <c r="AX216" i="10" s="1"/>
  <c r="AE265" i="10"/>
  <c r="AV158" i="10"/>
  <c r="AW158" i="10" s="1"/>
  <c r="AD52" i="10"/>
  <c r="AE70" i="10"/>
  <c r="AE30" i="10"/>
  <c r="AD106" i="10"/>
  <c r="AV101" i="10"/>
  <c r="AW101" i="10" s="1"/>
  <c r="AD192" i="10"/>
  <c r="AE517" i="10"/>
  <c r="AE401" i="10"/>
  <c r="AV239" i="10"/>
  <c r="AX239" i="10" s="1"/>
  <c r="AE247" i="10"/>
  <c r="AE271" i="10"/>
  <c r="AE366" i="10"/>
  <c r="AD505" i="10"/>
  <c r="AE68" i="10"/>
  <c r="AD175" i="10"/>
  <c r="AE140" i="10"/>
  <c r="AV404" i="10"/>
  <c r="AX404" i="10" s="1"/>
  <c r="AD550" i="10"/>
  <c r="AV345" i="10"/>
  <c r="AW345" i="10" s="1"/>
  <c r="AV70" i="10"/>
  <c r="AW70" i="10" s="1"/>
  <c r="AD451" i="10"/>
  <c r="AD266" i="10"/>
  <c r="AE527" i="10"/>
  <c r="AV407" i="10"/>
  <c r="AW407" i="10" s="1"/>
  <c r="AE515" i="10"/>
  <c r="AV313" i="10"/>
  <c r="AX313" i="10" s="1"/>
  <c r="AE414" i="10"/>
  <c r="AD346" i="10"/>
  <c r="AD267" i="10"/>
  <c r="AD384" i="10"/>
  <c r="AE472" i="10"/>
  <c r="AV183" i="10"/>
  <c r="AX183" i="10" s="1"/>
  <c r="AE277" i="10"/>
  <c r="AD321" i="10"/>
  <c r="AV193" i="10"/>
  <c r="AW193" i="10" s="1"/>
  <c r="AV359" i="10"/>
  <c r="AX359" i="10" s="1"/>
  <c r="AD474" i="10"/>
  <c r="AE360" i="10"/>
  <c r="AE269" i="10"/>
  <c r="AD39" i="10"/>
  <c r="AV161" i="10"/>
  <c r="AW161" i="10" s="1"/>
  <c r="AE333" i="10"/>
  <c r="AV447" i="10"/>
  <c r="AX447" i="10" s="1"/>
  <c r="AE479" i="10"/>
  <c r="AV546" i="10"/>
  <c r="AX546" i="10" s="1"/>
  <c r="AX430" i="10"/>
  <c r="AD169" i="10"/>
  <c r="AE162" i="10"/>
  <c r="AV114" i="10"/>
  <c r="AX114" i="10" s="1"/>
  <c r="AD344" i="10"/>
  <c r="AV49" i="10"/>
  <c r="AW49" i="10" s="1"/>
  <c r="AV238" i="10"/>
  <c r="AX238" i="10" s="1"/>
  <c r="AE7" i="10"/>
  <c r="AD239" i="10"/>
  <c r="AE376" i="10"/>
  <c r="AD549" i="10"/>
  <c r="AD247" i="10"/>
  <c r="AV60" i="10"/>
  <c r="AW60" i="10" s="1"/>
  <c r="AE506" i="10"/>
  <c r="AE57" i="10"/>
  <c r="AD161" i="10"/>
  <c r="AV260" i="10"/>
  <c r="AX260" i="10" s="1"/>
  <c r="AD390" i="10"/>
  <c r="AE407" i="10"/>
  <c r="AD217" i="10"/>
  <c r="AE131" i="10"/>
  <c r="AV467" i="10"/>
  <c r="AX467" i="10" s="1"/>
  <c r="AE146" i="10"/>
  <c r="AV135" i="10"/>
  <c r="AW135" i="10" s="1"/>
  <c r="AV252" i="10"/>
  <c r="AW252" i="10" s="1"/>
  <c r="AD313" i="10"/>
  <c r="AD417" i="10"/>
  <c r="AE109" i="10"/>
  <c r="AV226" i="10"/>
  <c r="AX226" i="10" s="1"/>
  <c r="AD447" i="10"/>
  <c r="AV159" i="10"/>
  <c r="AW159" i="10" s="1"/>
  <c r="AE198" i="10"/>
  <c r="AE384" i="10"/>
  <c r="AD303" i="10"/>
  <c r="AD264" i="10"/>
  <c r="AV479" i="10"/>
  <c r="AW479" i="10" s="1"/>
  <c r="AE481" i="10"/>
  <c r="AV347" i="10"/>
  <c r="AW347" i="10" s="1"/>
  <c r="AD450" i="10"/>
  <c r="AD183" i="10"/>
  <c r="AD329" i="10"/>
  <c r="AV504" i="10"/>
  <c r="AW504" i="10" s="1"/>
  <c r="AW517" i="10"/>
  <c r="AD386" i="10"/>
  <c r="AV349" i="10"/>
  <c r="AW349" i="10" s="1"/>
  <c r="AE445" i="10"/>
  <c r="AE214" i="10"/>
  <c r="AE321" i="10"/>
  <c r="AV400" i="10"/>
  <c r="AX400" i="10" s="1"/>
  <c r="AE50" i="10"/>
  <c r="AE142" i="10"/>
  <c r="AD163" i="10"/>
  <c r="AV140" i="10"/>
  <c r="AX140" i="10" s="1"/>
  <c r="AE524" i="10"/>
  <c r="AE550" i="10"/>
  <c r="AE87" i="10"/>
  <c r="AV103" i="10"/>
  <c r="AX103" i="10" s="1"/>
  <c r="AD345" i="10"/>
  <c r="AE169" i="10"/>
  <c r="AV438" i="10"/>
  <c r="AX438" i="10" s="1"/>
  <c r="AD177" i="10"/>
  <c r="AV191" i="10"/>
  <c r="AX191" i="10" s="1"/>
  <c r="AD359" i="10"/>
  <c r="AD101" i="10"/>
  <c r="AV179" i="10"/>
  <c r="AX179" i="10" s="1"/>
  <c r="AD401" i="10"/>
  <c r="AD49" i="10"/>
  <c r="AV268" i="10"/>
  <c r="AW268" i="10" s="1"/>
  <c r="AE435" i="10"/>
  <c r="AD376" i="10"/>
  <c r="AE418" i="10"/>
  <c r="AD506" i="10"/>
  <c r="AE260" i="10"/>
  <c r="AD131" i="10"/>
  <c r="AE555" i="10"/>
  <c r="AD32" i="10"/>
  <c r="AE307" i="10"/>
  <c r="AD22" i="10"/>
  <c r="AV147" i="10"/>
  <c r="AX147" i="10" s="1"/>
  <c r="AD308" i="10"/>
  <c r="AV545" i="10"/>
  <c r="AW545" i="10" s="1"/>
  <c r="AV232" i="10"/>
  <c r="AX232" i="10" s="1"/>
  <c r="AE40" i="10"/>
  <c r="AE298" i="10"/>
  <c r="AE375" i="10"/>
  <c r="AE529" i="10"/>
  <c r="AD87" i="10"/>
  <c r="AD230" i="10"/>
  <c r="AE482" i="10"/>
  <c r="AV518" i="10"/>
  <c r="AX518" i="10" s="1"/>
  <c r="AS374" i="5"/>
  <c r="AU374" i="5" s="1"/>
  <c r="AD190" i="10"/>
  <c r="AV146" i="10"/>
  <c r="AX146" i="10" s="1"/>
  <c r="AV429" i="10"/>
  <c r="AX429" i="10" s="1"/>
  <c r="AV454" i="10"/>
  <c r="AW454" i="10" s="1"/>
  <c r="AE154" i="10"/>
  <c r="AE20" i="10"/>
  <c r="AD476" i="10"/>
  <c r="AD287" i="10"/>
  <c r="AW162" i="10"/>
  <c r="AV223" i="10"/>
  <c r="AX223" i="10" s="1"/>
  <c r="AD114" i="10"/>
  <c r="AE192" i="10"/>
  <c r="AE480" i="10"/>
  <c r="AD189" i="10"/>
  <c r="AE189" i="10"/>
  <c r="V11" i="10"/>
  <c r="AD238" i="10"/>
  <c r="AV31" i="10"/>
  <c r="AW31" i="10" s="1"/>
  <c r="AV74" i="10"/>
  <c r="AW74" i="10" s="1"/>
  <c r="AV357" i="10"/>
  <c r="AX357" i="10" s="1"/>
  <c r="AV519" i="10"/>
  <c r="AX519" i="10" s="1"/>
  <c r="AV270" i="10"/>
  <c r="AX270" i="10" s="1"/>
  <c r="AD542" i="10"/>
  <c r="AV213" i="10"/>
  <c r="AX213" i="10" s="1"/>
  <c r="AE408" i="10"/>
  <c r="AV210" i="10"/>
  <c r="AW210" i="10" s="1"/>
  <c r="AD273" i="10"/>
  <c r="AD418" i="10"/>
  <c r="AE484" i="10"/>
  <c r="AD31" i="10"/>
  <c r="AE207" i="10"/>
  <c r="AD83" i="10"/>
  <c r="AD234" i="10"/>
  <c r="AD187" i="10"/>
  <c r="AE226" i="10"/>
  <c r="AE282" i="10"/>
  <c r="AE74" i="10"/>
  <c r="AD159" i="10"/>
  <c r="AE22" i="10"/>
  <c r="AE99" i="10"/>
  <c r="AD147" i="10"/>
  <c r="AD306" i="10"/>
  <c r="AV511" i="10"/>
  <c r="AW511" i="10" s="1"/>
  <c r="AD545" i="10"/>
  <c r="AE94" i="10"/>
  <c r="AD439" i="10"/>
  <c r="AV40" i="10"/>
  <c r="AX40" i="10" s="1"/>
  <c r="AV23" i="10"/>
  <c r="AX23" i="10" s="1"/>
  <c r="AV42" i="10"/>
  <c r="AW42" i="10" s="1"/>
  <c r="AV154" i="10"/>
  <c r="AW154" i="10" s="1"/>
  <c r="AE448" i="10"/>
  <c r="AV375" i="10"/>
  <c r="AX375" i="10" s="1"/>
  <c r="AE476" i="10"/>
  <c r="AV524" i="10"/>
  <c r="AW524" i="10" s="1"/>
  <c r="AV287" i="10"/>
  <c r="AW287" i="10" s="1"/>
  <c r="AD134" i="10"/>
  <c r="AE402" i="10"/>
  <c r="AD438" i="10"/>
  <c r="AE177" i="10"/>
  <c r="AV461" i="10"/>
  <c r="AW461" i="10" s="1"/>
  <c r="AV523" i="10"/>
  <c r="AX523" i="10" s="1"/>
  <c r="AE281" i="10"/>
  <c r="AD246" i="10"/>
  <c r="AD431" i="10"/>
  <c r="AV19" i="10"/>
  <c r="AX19" i="10" s="1"/>
  <c r="AD430" i="10"/>
  <c r="AE430" i="10"/>
  <c r="AV344" i="10"/>
  <c r="AW344" i="10" s="1"/>
  <c r="AD96" i="10"/>
  <c r="AC11" i="10"/>
  <c r="AE11" i="10" s="1"/>
  <c r="AE374" i="10"/>
  <c r="AD408" i="10"/>
  <c r="AE273" i="10"/>
  <c r="AD484" i="10"/>
  <c r="AV460" i="10"/>
  <c r="AX460" i="10" s="1"/>
  <c r="AV187" i="10"/>
  <c r="AX187" i="10" s="1"/>
  <c r="AD532" i="10"/>
  <c r="AD99" i="10"/>
  <c r="AE537" i="10"/>
  <c r="AD483" i="10"/>
  <c r="AD76" i="10"/>
  <c r="AD324" i="10"/>
  <c r="AE461" i="10"/>
  <c r="AV237" i="10"/>
  <c r="AX237" i="10" s="1"/>
  <c r="AE237" i="10"/>
  <c r="AE19" i="10"/>
  <c r="AD162" i="10"/>
  <c r="AD144" i="10"/>
  <c r="AA11" i="10"/>
  <c r="AV190" i="10"/>
  <c r="AX190" i="10" s="1"/>
  <c r="AV84" i="10"/>
  <c r="AX84" i="10" s="1"/>
  <c r="AE311" i="10"/>
  <c r="AE368" i="10"/>
  <c r="AE417" i="10"/>
  <c r="AE457" i="10"/>
  <c r="AV505" i="10"/>
  <c r="AW505" i="10" s="1"/>
  <c r="AV327" i="10"/>
  <c r="AX327" i="10" s="1"/>
  <c r="AD97" i="10"/>
  <c r="AV264" i="10"/>
  <c r="AX264" i="10" s="1"/>
  <c r="AD394" i="10"/>
  <c r="AV201" i="10"/>
  <c r="AX201" i="10" s="1"/>
  <c r="AV91" i="10"/>
  <c r="AX91" i="10" s="1"/>
  <c r="AD20" i="10"/>
  <c r="AE404" i="10"/>
  <c r="AV554" i="10"/>
  <c r="AX554" i="10" s="1"/>
  <c r="AD409" i="10"/>
  <c r="AB11" i="10"/>
  <c r="AO11" i="10"/>
  <c r="AE10" i="10"/>
  <c r="AV311" i="10"/>
  <c r="AX311" i="10" s="1"/>
  <c r="AV267" i="10"/>
  <c r="AW267" i="10" s="1"/>
  <c r="AE429" i="10"/>
  <c r="AD201" i="10"/>
  <c r="AD504" i="10"/>
  <c r="AD91" i="10"/>
  <c r="AD554" i="10"/>
  <c r="AV409" i="10"/>
  <c r="AW409" i="10" s="1"/>
  <c r="AD179" i="10"/>
  <c r="AS11" i="10"/>
  <c r="AE240" i="10"/>
  <c r="AV521" i="10"/>
  <c r="AX521" i="10" s="1"/>
  <c r="AD472" i="10"/>
  <c r="AD370" i="10"/>
  <c r="AE453" i="10"/>
  <c r="AV255" i="10"/>
  <c r="AW255" i="10" s="1"/>
  <c r="AE149" i="10"/>
  <c r="AE27" i="10"/>
  <c r="AD397" i="10"/>
  <c r="AE470" i="10"/>
  <c r="AE508" i="10"/>
  <c r="AV149" i="10"/>
  <c r="AW149" i="10" s="1"/>
  <c r="AV397" i="10"/>
  <c r="AX397" i="10" s="1"/>
  <c r="AV470" i="10"/>
  <c r="AX470" i="10" s="1"/>
  <c r="AE71" i="10"/>
  <c r="AV508" i="10"/>
  <c r="AX508" i="10" s="1"/>
  <c r="AR11" i="10"/>
  <c r="AS329" i="5"/>
  <c r="AT329" i="5" s="1"/>
  <c r="AS52" i="5"/>
  <c r="AU52" i="5" s="1"/>
  <c r="AD52" i="5"/>
  <c r="AD266" i="5"/>
  <c r="AS481" i="5"/>
  <c r="AT481" i="5" s="1"/>
  <c r="AS274" i="5"/>
  <c r="AU274" i="5" s="1"/>
  <c r="AD205" i="5"/>
  <c r="AD115" i="5"/>
  <c r="AS205" i="5"/>
  <c r="AU205" i="5" s="1"/>
  <c r="AE274" i="5"/>
  <c r="AD481" i="5"/>
  <c r="AS115" i="5"/>
  <c r="AT115" i="5" s="1"/>
  <c r="AS440" i="5"/>
  <c r="AT440" i="5" s="1"/>
  <c r="AS204" i="5"/>
  <c r="AU204" i="5" s="1"/>
  <c r="AS470" i="5"/>
  <c r="AT470" i="5" s="1"/>
  <c r="AS288" i="5"/>
  <c r="AU288" i="5" s="1"/>
  <c r="AE288" i="5"/>
  <c r="AS229" i="5"/>
  <c r="AU229" i="5" s="1"/>
  <c r="AS22" i="5"/>
  <c r="AU22" i="5" s="1"/>
  <c r="AS19" i="5"/>
  <c r="AT19" i="5" s="1"/>
  <c r="AS65" i="5"/>
  <c r="AU65" i="5" s="1"/>
  <c r="AE229" i="5"/>
  <c r="AU216" i="5"/>
  <c r="AD540" i="5"/>
  <c r="AE240" i="5"/>
  <c r="AE216" i="5"/>
  <c r="AS540" i="5"/>
  <c r="AT540" i="5" s="1"/>
  <c r="AD216" i="5"/>
  <c r="AS30" i="5"/>
  <c r="AT30" i="5" s="1"/>
  <c r="AE388" i="5"/>
  <c r="AS515" i="5"/>
  <c r="AT515" i="5" s="1"/>
  <c r="AE470" i="5"/>
  <c r="AD194" i="5"/>
  <c r="AS42" i="5"/>
  <c r="AU42" i="5" s="1"/>
  <c r="AD411" i="5"/>
  <c r="AS95" i="5"/>
  <c r="AT95" i="5" s="1"/>
  <c r="AS397" i="5"/>
  <c r="AT397" i="5" s="1"/>
  <c r="AE440" i="5"/>
  <c r="AE397" i="5"/>
  <c r="AS411" i="5"/>
  <c r="AU411" i="5" s="1"/>
  <c r="AU422" i="5"/>
  <c r="AS306" i="5"/>
  <c r="AU306" i="5" s="1"/>
  <c r="AD204" i="5"/>
  <c r="AE30" i="5"/>
  <c r="AD422" i="5"/>
  <c r="AE422" i="5"/>
  <c r="AE9" i="10"/>
  <c r="AD306" i="5"/>
  <c r="AS138" i="5"/>
  <c r="AT138" i="5" s="1"/>
  <c r="AE504" i="5"/>
  <c r="AD504" i="5"/>
  <c r="AD434" i="5"/>
  <c r="AD347" i="5"/>
  <c r="AP11" i="5"/>
  <c r="AR11" i="5" s="1"/>
  <c r="AE522" i="5"/>
  <c r="AT366" i="5"/>
  <c r="AD346" i="5"/>
  <c r="AD246" i="5"/>
  <c r="AE393" i="5"/>
  <c r="AE190" i="5"/>
  <c r="AD42" i="5"/>
  <c r="AD366" i="5"/>
  <c r="AU434" i="5"/>
  <c r="AS266" i="5"/>
  <c r="AT266" i="5" s="1"/>
  <c r="AD483" i="5"/>
  <c r="AS525" i="5"/>
  <c r="AT525" i="5" s="1"/>
  <c r="AE515" i="5"/>
  <c r="AT160" i="5"/>
  <c r="AS437" i="5"/>
  <c r="AT437" i="5" s="1"/>
  <c r="AS240" i="5"/>
  <c r="AU240" i="5" s="1"/>
  <c r="AD525" i="5"/>
  <c r="AD95" i="5"/>
  <c r="AT117" i="5"/>
  <c r="AS194" i="5"/>
  <c r="AU194" i="5" s="1"/>
  <c r="AD193" i="5"/>
  <c r="AE366" i="5"/>
  <c r="AE160" i="5"/>
  <c r="AD281" i="5"/>
  <c r="AN11" i="5"/>
  <c r="AD107" i="5"/>
  <c r="AE117" i="5"/>
  <c r="AD117" i="5"/>
  <c r="AS549" i="5"/>
  <c r="AU549" i="5" s="1"/>
  <c r="AD19" i="5"/>
  <c r="AU504" i="5"/>
  <c r="AD160" i="5"/>
  <c r="AS347" i="5"/>
  <c r="AT347" i="5" s="1"/>
  <c r="AV9" i="10"/>
  <c r="AW9" i="10" s="1"/>
  <c r="AS73" i="5"/>
  <c r="AT73" i="5" s="1"/>
  <c r="AS522" i="5"/>
  <c r="AU522" i="5" s="1"/>
  <c r="AE408" i="5"/>
  <c r="AD492" i="5"/>
  <c r="AD22" i="5"/>
  <c r="AS287" i="5"/>
  <c r="AT287" i="5" s="1"/>
  <c r="AE287" i="5"/>
  <c r="AE434" i="5"/>
  <c r="AE363" i="5"/>
  <c r="AE189" i="5"/>
  <c r="AS363" i="5"/>
  <c r="AU363" i="5" s="1"/>
  <c r="AS351" i="5"/>
  <c r="AT351" i="5" s="1"/>
  <c r="AS189" i="5"/>
  <c r="AT189" i="5" s="1"/>
  <c r="AD213" i="5"/>
  <c r="AS89" i="5"/>
  <c r="AU89" i="5" s="1"/>
  <c r="AD408" i="5"/>
  <c r="AD73" i="5"/>
  <c r="AE147" i="5"/>
  <c r="AS193" i="5"/>
  <c r="AU193" i="5" s="1"/>
  <c r="AS483" i="5"/>
  <c r="AT483" i="5" s="1"/>
  <c r="AD393" i="5"/>
  <c r="AS342" i="5"/>
  <c r="AT342" i="5" s="1"/>
  <c r="AT9" i="10"/>
  <c r="AU9" i="10"/>
  <c r="AW10" i="10"/>
  <c r="AX10" i="10"/>
  <c r="AT408" i="5"/>
  <c r="AD147" i="5"/>
  <c r="AE33" i="5"/>
  <c r="AU33" i="5"/>
  <c r="AE519" i="5"/>
  <c r="AE403" i="5"/>
  <c r="AE89" i="5"/>
  <c r="AS403" i="5"/>
  <c r="AT403" i="5" s="1"/>
  <c r="AE342" i="5"/>
  <c r="AE437" i="5"/>
  <c r="AD33" i="5"/>
  <c r="AS107" i="5"/>
  <c r="AU107" i="5" s="1"/>
  <c r="AE83" i="5"/>
  <c r="AS83" i="5"/>
  <c r="AT83" i="5" s="1"/>
  <c r="AE281" i="5"/>
  <c r="AS492" i="5"/>
  <c r="AT492" i="5" s="1"/>
  <c r="AT147" i="5"/>
  <c r="AT213" i="5"/>
  <c r="AT281" i="5"/>
  <c r="AT188" i="5"/>
  <c r="AS530" i="5"/>
  <c r="AT530" i="5" s="1"/>
  <c r="AU70" i="5"/>
  <c r="AS190" i="5"/>
  <c r="AU190" i="5" s="1"/>
  <c r="AE65" i="5"/>
  <c r="AD70" i="5"/>
  <c r="AS346" i="5"/>
  <c r="AT346" i="5" s="1"/>
  <c r="AS203" i="5"/>
  <c r="AU203" i="5" s="1"/>
  <c r="AS394" i="5"/>
  <c r="AU394" i="5" s="1"/>
  <c r="AD400" i="5"/>
  <c r="AE203" i="5"/>
  <c r="AE530" i="5"/>
  <c r="AE279" i="5"/>
  <c r="AS388" i="5"/>
  <c r="AU388" i="5" s="1"/>
  <c r="V11" i="5"/>
  <c r="AE188" i="5"/>
  <c r="AE207" i="5"/>
  <c r="AT279" i="5"/>
  <c r="AD279" i="5"/>
  <c r="AS400" i="5"/>
  <c r="AU400" i="5" s="1"/>
  <c r="AD188" i="5"/>
  <c r="AE70" i="5"/>
  <c r="AD207" i="5"/>
  <c r="AD311" i="5"/>
  <c r="AD170" i="5"/>
  <c r="AE213" i="5"/>
  <c r="AE100" i="5"/>
  <c r="AS519" i="5"/>
  <c r="AT519" i="5" s="1"/>
  <c r="AE138" i="5"/>
  <c r="AD329" i="5"/>
  <c r="AW312" i="10"/>
  <c r="AX312" i="10"/>
  <c r="AX527" i="10"/>
  <c r="AW527" i="10"/>
  <c r="AW122" i="10"/>
  <c r="AX122" i="10"/>
  <c r="AW371" i="10"/>
  <c r="AX371" i="10"/>
  <c r="AX53" i="10"/>
  <c r="AW53" i="10"/>
  <c r="AW198" i="10"/>
  <c r="AX198" i="10"/>
  <c r="AX472" i="10"/>
  <c r="AW472" i="10"/>
  <c r="AX46" i="10"/>
  <c r="AW46" i="10"/>
  <c r="AX306" i="10"/>
  <c r="AW306" i="10"/>
  <c r="AW204" i="10"/>
  <c r="AX204" i="10"/>
  <c r="AW421" i="10"/>
  <c r="AX421" i="10"/>
  <c r="AW142" i="10"/>
  <c r="AX142" i="10"/>
  <c r="AX476" i="10"/>
  <c r="AW476" i="10"/>
  <c r="AW498" i="10"/>
  <c r="AX498" i="10"/>
  <c r="AX79" i="10"/>
  <c r="AW79" i="10"/>
  <c r="AW383" i="10"/>
  <c r="AX383" i="10"/>
  <c r="AD60" i="5"/>
  <c r="AX443" i="10"/>
  <c r="AW443" i="10"/>
  <c r="AW56" i="10"/>
  <c r="AX56" i="10"/>
  <c r="AX247" i="10"/>
  <c r="AW247" i="10"/>
  <c r="AW54" i="10"/>
  <c r="AX54" i="10"/>
  <c r="AW224" i="10"/>
  <c r="AX224" i="10"/>
  <c r="AX506" i="10"/>
  <c r="AW506" i="10"/>
  <c r="AX207" i="10"/>
  <c r="AW207" i="10"/>
  <c r="AW368" i="10"/>
  <c r="AX368" i="10"/>
  <c r="AX449" i="10"/>
  <c r="AW449" i="10"/>
  <c r="AX117" i="10"/>
  <c r="AW117" i="10"/>
  <c r="AX131" i="10"/>
  <c r="AW131" i="10"/>
  <c r="AX108" i="10"/>
  <c r="AW108" i="10"/>
  <c r="AX297" i="10"/>
  <c r="AW297" i="10"/>
  <c r="AW417" i="10"/>
  <c r="AX417" i="10"/>
  <c r="AW440" i="10"/>
  <c r="AX440" i="10"/>
  <c r="AX259" i="10"/>
  <c r="AW259" i="10"/>
  <c r="AW387" i="10"/>
  <c r="AX387" i="10"/>
  <c r="AX478" i="10"/>
  <c r="AW478" i="10"/>
  <c r="AW520" i="10"/>
  <c r="AX520" i="10"/>
  <c r="AX124" i="10"/>
  <c r="AW124" i="10"/>
  <c r="AX370" i="10"/>
  <c r="AW370" i="10"/>
  <c r="AX547" i="10"/>
  <c r="AW547" i="10"/>
  <c r="AW92" i="10"/>
  <c r="AX92" i="10"/>
  <c r="AX386" i="10"/>
  <c r="AW386" i="10"/>
  <c r="AW364" i="10"/>
  <c r="AX364" i="10"/>
  <c r="AX428" i="10"/>
  <c r="AW428" i="10"/>
  <c r="AX445" i="10"/>
  <c r="AW445" i="10"/>
  <c r="AX503" i="10"/>
  <c r="AW503" i="10"/>
  <c r="AX152" i="10"/>
  <c r="AW152" i="10"/>
  <c r="AW493" i="10"/>
  <c r="AX493" i="10"/>
  <c r="AW78" i="10"/>
  <c r="AX78" i="10"/>
  <c r="AW280" i="10"/>
  <c r="AX280" i="10"/>
  <c r="AX309" i="10"/>
  <c r="AW309" i="10"/>
  <c r="AX551" i="10"/>
  <c r="AW551" i="10"/>
  <c r="AW52" i="10"/>
  <c r="AX52" i="10"/>
  <c r="AX169" i="10"/>
  <c r="AW169" i="10"/>
  <c r="AX250" i="10"/>
  <c r="AW250" i="10"/>
  <c r="AW45" i="10"/>
  <c r="AX45" i="10"/>
  <c r="AX127" i="10"/>
  <c r="AW127" i="10"/>
  <c r="AX416" i="10"/>
  <c r="AW416" i="10"/>
  <c r="AX115" i="10"/>
  <c r="AW115" i="10"/>
  <c r="AX426" i="10"/>
  <c r="AW426" i="10"/>
  <c r="AX398" i="10"/>
  <c r="AW398" i="10"/>
  <c r="AW62" i="10"/>
  <c r="AX62" i="10"/>
  <c r="AX229" i="10"/>
  <c r="AW229" i="10"/>
  <c r="AX245" i="10"/>
  <c r="AW245" i="10"/>
  <c r="AX390" i="10"/>
  <c r="AW390" i="10"/>
  <c r="AW172" i="10"/>
  <c r="AX172" i="10"/>
  <c r="AW553" i="10"/>
  <c r="AX553" i="10"/>
  <c r="AX282" i="10"/>
  <c r="AW282" i="10"/>
  <c r="AX22" i="10"/>
  <c r="AW22" i="10"/>
  <c r="AX295" i="10"/>
  <c r="AW295" i="10"/>
  <c r="AX510" i="10"/>
  <c r="AW510" i="10"/>
  <c r="AX185" i="10"/>
  <c r="AW185" i="10"/>
  <c r="AX529" i="10"/>
  <c r="AW529" i="10"/>
  <c r="AW542" i="10"/>
  <c r="AX542" i="10"/>
  <c r="AW230" i="10"/>
  <c r="AX230" i="10"/>
  <c r="AD176" i="5"/>
  <c r="AE423" i="5"/>
  <c r="AX25" i="10"/>
  <c r="AW25" i="10"/>
  <c r="AX374" i="10"/>
  <c r="AW374" i="10"/>
  <c r="AX408" i="10"/>
  <c r="AW408" i="10"/>
  <c r="AX157" i="10"/>
  <c r="AW157" i="10"/>
  <c r="AX442" i="10"/>
  <c r="AW442" i="10"/>
  <c r="AX95" i="10"/>
  <c r="AW95" i="10"/>
  <c r="AX173" i="10"/>
  <c r="AW173" i="10"/>
  <c r="AW170" i="10"/>
  <c r="AX170" i="10"/>
  <c r="AX531" i="10"/>
  <c r="AW531" i="10"/>
  <c r="AX355" i="10"/>
  <c r="AW355" i="10"/>
  <c r="AW348" i="10"/>
  <c r="AX348" i="10"/>
  <c r="AX333" i="10"/>
  <c r="AW333" i="10"/>
  <c r="AX77" i="10"/>
  <c r="AW77" i="10"/>
  <c r="AX307" i="10"/>
  <c r="AW307" i="10"/>
  <c r="AX384" i="10"/>
  <c r="AW384" i="10"/>
  <c r="AW532" i="10"/>
  <c r="AX532" i="10"/>
  <c r="AX233" i="10"/>
  <c r="AW233" i="10"/>
  <c r="AX249" i="10"/>
  <c r="AW249" i="10"/>
  <c r="AW180" i="10"/>
  <c r="AX180" i="10"/>
  <c r="AW242" i="10"/>
  <c r="AX242" i="10"/>
  <c r="AX111" i="10"/>
  <c r="AW111" i="10"/>
  <c r="AX277" i="10"/>
  <c r="AW277" i="10"/>
  <c r="AX322" i="10"/>
  <c r="AW322" i="10"/>
  <c r="AW427" i="10"/>
  <c r="AX427" i="10"/>
  <c r="AW134" i="10"/>
  <c r="AX134" i="10"/>
  <c r="AW194" i="10"/>
  <c r="AX194" i="10"/>
  <c r="AX257" i="10"/>
  <c r="AW257" i="10"/>
  <c r="AX402" i="10"/>
  <c r="AW402" i="10"/>
  <c r="AW30" i="10"/>
  <c r="AX30" i="10"/>
  <c r="AX177" i="10"/>
  <c r="AW177" i="10"/>
  <c r="AX337" i="10"/>
  <c r="AW337" i="10"/>
  <c r="AW391" i="10"/>
  <c r="AX391" i="10"/>
  <c r="AX317" i="10"/>
  <c r="AW317" i="10"/>
  <c r="AX366" i="10"/>
  <c r="AW366" i="10"/>
  <c r="AW395" i="10"/>
  <c r="AX395" i="10"/>
  <c r="AW526" i="10"/>
  <c r="AX526" i="10"/>
  <c r="AX99" i="10"/>
  <c r="AW99" i="10"/>
  <c r="AX231" i="10"/>
  <c r="AW231" i="10"/>
  <c r="AX437" i="10"/>
  <c r="AW437" i="10"/>
  <c r="AW76" i="10"/>
  <c r="AX76" i="10"/>
  <c r="AX153" i="10"/>
  <c r="AW153" i="10"/>
  <c r="AX35" i="10"/>
  <c r="AW35" i="10"/>
  <c r="AX211" i="10"/>
  <c r="AW211" i="10"/>
  <c r="AW380" i="10"/>
  <c r="AX380" i="10"/>
  <c r="AW168" i="10"/>
  <c r="AX168" i="10"/>
  <c r="AX65" i="10"/>
  <c r="AW65" i="10"/>
  <c r="AE529" i="5"/>
  <c r="AE215" i="5"/>
  <c r="AD215" i="5"/>
  <c r="AS482" i="5"/>
  <c r="AU482" i="5" s="1"/>
  <c r="AD305" i="5"/>
  <c r="AE305" i="5"/>
  <c r="AT305" i="5"/>
  <c r="AS90" i="5"/>
  <c r="AT90" i="5" s="1"/>
  <c r="AD90" i="5"/>
  <c r="AX39" i="10"/>
  <c r="AW39" i="10"/>
  <c r="AW376" i="10"/>
  <c r="AX376" i="10"/>
  <c r="AX107" i="10"/>
  <c r="AW107" i="10"/>
  <c r="AX273" i="10"/>
  <c r="AW273" i="10"/>
  <c r="AX418" i="10"/>
  <c r="AW418" i="10"/>
  <c r="AX484" i="10"/>
  <c r="AW484" i="10"/>
  <c r="AX543" i="10"/>
  <c r="AW543" i="10"/>
  <c r="AX541" i="10"/>
  <c r="AW541" i="10"/>
  <c r="AW34" i="10"/>
  <c r="AX34" i="10"/>
  <c r="AX420" i="10"/>
  <c r="AW420" i="10"/>
  <c r="AX113" i="10"/>
  <c r="AW113" i="10"/>
  <c r="AX303" i="10"/>
  <c r="AW303" i="10"/>
  <c r="AW94" i="10"/>
  <c r="AX94" i="10"/>
  <c r="AX274" i="10"/>
  <c r="AW274" i="10"/>
  <c r="AX537" i="10"/>
  <c r="AW537" i="10"/>
  <c r="AX66" i="10"/>
  <c r="AW66" i="10"/>
  <c r="AX125" i="10"/>
  <c r="AW125" i="10"/>
  <c r="AX456" i="10"/>
  <c r="AW456" i="10"/>
  <c r="AX305" i="10"/>
  <c r="AW305" i="10"/>
  <c r="AX175" i="10"/>
  <c r="AW175" i="10"/>
  <c r="AX343" i="10"/>
  <c r="AW343" i="10"/>
  <c r="AX321" i="10"/>
  <c r="AW321" i="10"/>
  <c r="AW448" i="10"/>
  <c r="AX448" i="10"/>
  <c r="AX535" i="10"/>
  <c r="AW535" i="10"/>
  <c r="AX20" i="10"/>
  <c r="AW20" i="10"/>
  <c r="AX550" i="10"/>
  <c r="AW550" i="10"/>
  <c r="AX87" i="10"/>
  <c r="AW87" i="10"/>
  <c r="AX41" i="10"/>
  <c r="AW41" i="10"/>
  <c r="AX488" i="10"/>
  <c r="AW488" i="10"/>
  <c r="AX482" i="10"/>
  <c r="AW482" i="10"/>
  <c r="AW514" i="10"/>
  <c r="AX514" i="10"/>
  <c r="AT373" i="5"/>
  <c r="AT207" i="5"/>
  <c r="AU100" i="5"/>
  <c r="AT393" i="5"/>
  <c r="AT256" i="5"/>
  <c r="AU253" i="5"/>
  <c r="AU337" i="5"/>
  <c r="AS176" i="5"/>
  <c r="AT176" i="5" s="1"/>
  <c r="AD529" i="5"/>
  <c r="AD100" i="5"/>
  <c r="AE60" i="5"/>
  <c r="AD94" i="5"/>
  <c r="AS94" i="5"/>
  <c r="AT94" i="5" s="1"/>
  <c r="AE360" i="5"/>
  <c r="AS170" i="5"/>
  <c r="AT170" i="5" s="1"/>
  <c r="AS257" i="5"/>
  <c r="AU257" i="5" s="1"/>
  <c r="AE61" i="5"/>
  <c r="AD410" i="5"/>
  <c r="AD373" i="5"/>
  <c r="AD326" i="5"/>
  <c r="AE355" i="5"/>
  <c r="AS355" i="5"/>
  <c r="AT355" i="5" s="1"/>
  <c r="AD421" i="5"/>
  <c r="AS292" i="5"/>
  <c r="AU292" i="5" s="1"/>
  <c r="AS545" i="5"/>
  <c r="AT545" i="5" s="1"/>
  <c r="AE256" i="5"/>
  <c r="AD383" i="5"/>
  <c r="AE394" i="5"/>
  <c r="AD162" i="5"/>
  <c r="AU162" i="5"/>
  <c r="AE86" i="5"/>
  <c r="AS421" i="5"/>
  <c r="AT421" i="5" s="1"/>
  <c r="AD47" i="5"/>
  <c r="AD549" i="5"/>
  <c r="AS47" i="5"/>
  <c r="AT47" i="5" s="1"/>
  <c r="AD239" i="5"/>
  <c r="AS239" i="5"/>
  <c r="AU239" i="5" s="1"/>
  <c r="AD201" i="5"/>
  <c r="AE201" i="5"/>
  <c r="AS410" i="5"/>
  <c r="AT410" i="5" s="1"/>
  <c r="AD500" i="5"/>
  <c r="AE311" i="5"/>
  <c r="AU201" i="5"/>
  <c r="AE109" i="5"/>
  <c r="AT109" i="5"/>
  <c r="AE541" i="5"/>
  <c r="AU541" i="5"/>
  <c r="AE520" i="5"/>
  <c r="AU520" i="5"/>
  <c r="AD541" i="5"/>
  <c r="AD296" i="5"/>
  <c r="AS246" i="5"/>
  <c r="AU246" i="5" s="1"/>
  <c r="AE351" i="5"/>
  <c r="AE292" i="5"/>
  <c r="AS296" i="5"/>
  <c r="AT296" i="5" s="1"/>
  <c r="AS503" i="5"/>
  <c r="AT503" i="5" s="1"/>
  <c r="AS196" i="5"/>
  <c r="AU196" i="5" s="1"/>
  <c r="AS383" i="5"/>
  <c r="AU383" i="5" s="1"/>
  <c r="AD109" i="5"/>
  <c r="AE227" i="5"/>
  <c r="AS154" i="5"/>
  <c r="AT154" i="5" s="1"/>
  <c r="AD196" i="5"/>
  <c r="AD520" i="5"/>
  <c r="AT311" i="5"/>
  <c r="AS67" i="5"/>
  <c r="AU67" i="5" s="1"/>
  <c r="AS423" i="5"/>
  <c r="AT423" i="5" s="1"/>
  <c r="AS86" i="5"/>
  <c r="AU86" i="5" s="1"/>
  <c r="AE257" i="5"/>
  <c r="AD61" i="5"/>
  <c r="AE337" i="5"/>
  <c r="AD337" i="5"/>
  <c r="AD253" i="5"/>
  <c r="AE460" i="5"/>
  <c r="AS326" i="5"/>
  <c r="AT326" i="5" s="1"/>
  <c r="AS127" i="5"/>
  <c r="AT127" i="5" s="1"/>
  <c r="AE373" i="5"/>
  <c r="AE472" i="5"/>
  <c r="AD256" i="5"/>
  <c r="AU360" i="5"/>
  <c r="AD27" i="5"/>
  <c r="AB11" i="5"/>
  <c r="AT215" i="5"/>
  <c r="AD67" i="5"/>
  <c r="AD432" i="5"/>
  <c r="AE162" i="5"/>
  <c r="AE253" i="5"/>
  <c r="AT61" i="5"/>
  <c r="AD127" i="5"/>
  <c r="AE496" i="5"/>
  <c r="AD482" i="5"/>
  <c r="AS496" i="5"/>
  <c r="AT496" i="5" s="1"/>
  <c r="AD360" i="5"/>
  <c r="AE536" i="5"/>
  <c r="AT227" i="5"/>
  <c r="AS191" i="5"/>
  <c r="AU191" i="5" s="1"/>
  <c r="AS114" i="5"/>
  <c r="AT114" i="5" s="1"/>
  <c r="AD227" i="5"/>
  <c r="AS536" i="5"/>
  <c r="AT536" i="5" s="1"/>
  <c r="AT54" i="5"/>
  <c r="AD335" i="5"/>
  <c r="AE544" i="5"/>
  <c r="AE480" i="5"/>
  <c r="AS156" i="5"/>
  <c r="AT156" i="5" s="1"/>
  <c r="AE114" i="5"/>
  <c r="AU51" i="5"/>
  <c r="AT280" i="5"/>
  <c r="AD319" i="5"/>
  <c r="AD219" i="5"/>
  <c r="AS380" i="5"/>
  <c r="AU380" i="5" s="1"/>
  <c r="AU484" i="5"/>
  <c r="AD179" i="5"/>
  <c r="AE420" i="5"/>
  <c r="AE111" i="5"/>
  <c r="AS354" i="5"/>
  <c r="AU354" i="5" s="1"/>
  <c r="AE128" i="5"/>
  <c r="AS226" i="5"/>
  <c r="AT226" i="5" s="1"/>
  <c r="AS271" i="5"/>
  <c r="AT271" i="5" s="1"/>
  <c r="AD268" i="5"/>
  <c r="AD442" i="5"/>
  <c r="AD484" i="5"/>
  <c r="AE183" i="5"/>
  <c r="AE545" i="5"/>
  <c r="AE118" i="5"/>
  <c r="AE435" i="5"/>
  <c r="AT413" i="5"/>
  <c r="AE200" i="5"/>
  <c r="AS111" i="5"/>
  <c r="AU111" i="5" s="1"/>
  <c r="AD395" i="5"/>
  <c r="AD259" i="5"/>
  <c r="AE395" i="5"/>
  <c r="AT200" i="5"/>
  <c r="AT217" i="5"/>
  <c r="AE210" i="5"/>
  <c r="AE212" i="5"/>
  <c r="AS532" i="5"/>
  <c r="AT532" i="5" s="1"/>
  <c r="AS546" i="5"/>
  <c r="AU546" i="5" s="1"/>
  <c r="AE442" i="5"/>
  <c r="AE226" i="5"/>
  <c r="AU502" i="5"/>
  <c r="AS210" i="5"/>
  <c r="AU210" i="5" s="1"/>
  <c r="AD183" i="5"/>
  <c r="AS39" i="5"/>
  <c r="AT39" i="5" s="1"/>
  <c r="AS75" i="5"/>
  <c r="AU75" i="5" s="1"/>
  <c r="AD51" i="5"/>
  <c r="AE280" i="5"/>
  <c r="AE179" i="5"/>
  <c r="AD110" i="5"/>
  <c r="AD137" i="5"/>
  <c r="AU128" i="5"/>
  <c r="AS336" i="5"/>
  <c r="AT336" i="5" s="1"/>
  <c r="AE547" i="5"/>
  <c r="AT448" i="5"/>
  <c r="AU49" i="5"/>
  <c r="AD280" i="5"/>
  <c r="AS544" i="5"/>
  <c r="AU544" i="5" s="1"/>
  <c r="AE502" i="5"/>
  <c r="AD217" i="5"/>
  <c r="AD113" i="5"/>
  <c r="AS444" i="5"/>
  <c r="AT444" i="5" s="1"/>
  <c r="AE381" i="5"/>
  <c r="AS212" i="5"/>
  <c r="AU212" i="5" s="1"/>
  <c r="AS435" i="5"/>
  <c r="AU435" i="5" s="1"/>
  <c r="AD156" i="5"/>
  <c r="AD149" i="5"/>
  <c r="AE71" i="5"/>
  <c r="AE532" i="5"/>
  <c r="AE546" i="5"/>
  <c r="AD200" i="5"/>
  <c r="AS235" i="5"/>
  <c r="AT235" i="5" s="1"/>
  <c r="AD191" i="5"/>
  <c r="AE137" i="5"/>
  <c r="AS259" i="5"/>
  <c r="AT259" i="5" s="1"/>
  <c r="AE336" i="5"/>
  <c r="AE484" i="5"/>
  <c r="AD514" i="5"/>
  <c r="AS514" i="5"/>
  <c r="AU514" i="5" s="1"/>
  <c r="AE533" i="5"/>
  <c r="AS426" i="5"/>
  <c r="AT426" i="5" s="1"/>
  <c r="AD241" i="5"/>
  <c r="AS378" i="5"/>
  <c r="AU378" i="5" s="1"/>
  <c r="AE97" i="5"/>
  <c r="AD244" i="5"/>
  <c r="AD136" i="5"/>
  <c r="AS35" i="5"/>
  <c r="AT35" i="5" s="1"/>
  <c r="AE136" i="5"/>
  <c r="AD66" i="5"/>
  <c r="AE102" i="5"/>
  <c r="AS300" i="5"/>
  <c r="AT300" i="5" s="1"/>
  <c r="AE35" i="5"/>
  <c r="AT66" i="5"/>
  <c r="AE66" i="5"/>
  <c r="AU206" i="5"/>
  <c r="AT364" i="5"/>
  <c r="AD503" i="5"/>
  <c r="AS244" i="5"/>
  <c r="AT244" i="5" s="1"/>
  <c r="AD177" i="5"/>
  <c r="AT341" i="5"/>
  <c r="AE241" i="5"/>
  <c r="AD369" i="5"/>
  <c r="AE293" i="5"/>
  <c r="AE177" i="5"/>
  <c r="AE69" i="5"/>
  <c r="AE341" i="5"/>
  <c r="AS102" i="5"/>
  <c r="AT102" i="5" s="1"/>
  <c r="AE426" i="5"/>
  <c r="AS417" i="5"/>
  <c r="AU417" i="5" s="1"/>
  <c r="AS97" i="5"/>
  <c r="AU97" i="5" s="1"/>
  <c r="AS324" i="5"/>
  <c r="AT324" i="5" s="1"/>
  <c r="AE378" i="5"/>
  <c r="AD371" i="5"/>
  <c r="AS371" i="5"/>
  <c r="AU371" i="5" s="1"/>
  <c r="AD154" i="5"/>
  <c r="AD324" i="5"/>
  <c r="AD417" i="5"/>
  <c r="AD206" i="5"/>
  <c r="AE452" i="5"/>
  <c r="AE553" i="5"/>
  <c r="AD518" i="5"/>
  <c r="AS518" i="5"/>
  <c r="AT518" i="5" s="1"/>
  <c r="AE75" i="5"/>
  <c r="AE217" i="5"/>
  <c r="AD444" i="5"/>
  <c r="AS79" i="5"/>
  <c r="AT79" i="5" s="1"/>
  <c r="AD413" i="5"/>
  <c r="AD271" i="5"/>
  <c r="AD118" i="5"/>
  <c r="AD480" i="5"/>
  <c r="AS368" i="5"/>
  <c r="AT368" i="5" s="1"/>
  <c r="AD71" i="5"/>
  <c r="AS313" i="5"/>
  <c r="AT313" i="5" s="1"/>
  <c r="AE354" i="5"/>
  <c r="AS278" i="5"/>
  <c r="AT278" i="5" s="1"/>
  <c r="AS268" i="5"/>
  <c r="AU268" i="5" s="1"/>
  <c r="AD278" i="5"/>
  <c r="AS219" i="5"/>
  <c r="AU219" i="5" s="1"/>
  <c r="AT110" i="5"/>
  <c r="AE339" i="5"/>
  <c r="AE110" i="5"/>
  <c r="AS335" i="5"/>
  <c r="AT335" i="5" s="1"/>
  <c r="AE235" i="5"/>
  <c r="AT442" i="5"/>
  <c r="AT137" i="5"/>
  <c r="AS318" i="5"/>
  <c r="AU318" i="5" s="1"/>
  <c r="AE53" i="5"/>
  <c r="AU395" i="5"/>
  <c r="AE143" i="5"/>
  <c r="AS330" i="5"/>
  <c r="AT330" i="5" s="1"/>
  <c r="AU113" i="5"/>
  <c r="AT339" i="5"/>
  <c r="AE51" i="5"/>
  <c r="AT183" i="5"/>
  <c r="AD172" i="5"/>
  <c r="AE319" i="5"/>
  <c r="AS420" i="5"/>
  <c r="AT420" i="5" s="1"/>
  <c r="AS460" i="5"/>
  <c r="AU460" i="5" s="1"/>
  <c r="AE54" i="5"/>
  <c r="AU179" i="5"/>
  <c r="AD502" i="5"/>
  <c r="AT319" i="5"/>
  <c r="AS172" i="5"/>
  <c r="AT172" i="5" s="1"/>
  <c r="AE79" i="5"/>
  <c r="AD380" i="5"/>
  <c r="AE413" i="5"/>
  <c r="AS149" i="5"/>
  <c r="AU149" i="5" s="1"/>
  <c r="AU118" i="5"/>
  <c r="AD461" i="5"/>
  <c r="AT480" i="5"/>
  <c r="AD368" i="5"/>
  <c r="AE113" i="5"/>
  <c r="AD313" i="5"/>
  <c r="AS381" i="5"/>
  <c r="AU381" i="5" s="1"/>
  <c r="AT71" i="5"/>
  <c r="AS53" i="5"/>
  <c r="AT53" i="5" s="1"/>
  <c r="AD448" i="5"/>
  <c r="AD339" i="5"/>
  <c r="AS250" i="5"/>
  <c r="AT250" i="5" s="1"/>
  <c r="AD128" i="5"/>
  <c r="AS367" i="5"/>
  <c r="AU367" i="5" s="1"/>
  <c r="AD250" i="5"/>
  <c r="AS463" i="5"/>
  <c r="AT463" i="5" s="1"/>
  <c r="AS547" i="5"/>
  <c r="AU547" i="5" s="1"/>
  <c r="AD54" i="5"/>
  <c r="AS273" i="5"/>
  <c r="AU273" i="5" s="1"/>
  <c r="AD169" i="5"/>
  <c r="AU553" i="5"/>
  <c r="AK11" i="5"/>
  <c r="AS459" i="5"/>
  <c r="AT459" i="5" s="1"/>
  <c r="AS143" i="5"/>
  <c r="AT143" i="5" s="1"/>
  <c r="AD416" i="5"/>
  <c r="AE461" i="5"/>
  <c r="AS416" i="5"/>
  <c r="AU416" i="5" s="1"/>
  <c r="AE330" i="5"/>
  <c r="AE169" i="5"/>
  <c r="AS500" i="5"/>
  <c r="AT500" i="5" s="1"/>
  <c r="AL11" i="5"/>
  <c r="AE459" i="5"/>
  <c r="AS452" i="5"/>
  <c r="AU452" i="5" s="1"/>
  <c r="AD273" i="5"/>
  <c r="AU169" i="5"/>
  <c r="AD542" i="5"/>
  <c r="AD553" i="5"/>
  <c r="AS199" i="5"/>
  <c r="AT199" i="5" s="1"/>
  <c r="AS166" i="5"/>
  <c r="AT166" i="5" s="1"/>
  <c r="AE450" i="5"/>
  <c r="AD465" i="5"/>
  <c r="AD450" i="5"/>
  <c r="AS407" i="5"/>
  <c r="AT407" i="5" s="1"/>
  <c r="AS348" i="5"/>
  <c r="AT348" i="5" s="1"/>
  <c r="AU81" i="5"/>
  <c r="AE157" i="5"/>
  <c r="AS68" i="5"/>
  <c r="AT68" i="5" s="1"/>
  <c r="AS552" i="5"/>
  <c r="AU552" i="5" s="1"/>
  <c r="AE105" i="5"/>
  <c r="AD105" i="5"/>
  <c r="AE81" i="5"/>
  <c r="AT450" i="5"/>
  <c r="AT357" i="5"/>
  <c r="AD157" i="5"/>
  <c r="AD263" i="5"/>
  <c r="AU105" i="5"/>
  <c r="AD81" i="5"/>
  <c r="AS441" i="5"/>
  <c r="AT441" i="5" s="1"/>
  <c r="AD382" i="5"/>
  <c r="AE99" i="5"/>
  <c r="AD405" i="5"/>
  <c r="AS369" i="5"/>
  <c r="AU369" i="5" s="1"/>
  <c r="AE527" i="5"/>
  <c r="AS293" i="5"/>
  <c r="AU293" i="5" s="1"/>
  <c r="AD477" i="5"/>
  <c r="AS477" i="5"/>
  <c r="AT477" i="5" s="1"/>
  <c r="AD341" i="5"/>
  <c r="AS533" i="5"/>
  <c r="AT533" i="5" s="1"/>
  <c r="AT241" i="5"/>
  <c r="AU69" i="5"/>
  <c r="AD69" i="5"/>
  <c r="AE10" i="5"/>
  <c r="AC11" i="5"/>
  <c r="AE11" i="5" s="1"/>
  <c r="AS391" i="5"/>
  <c r="AT391" i="5" s="1"/>
  <c r="AE206" i="5"/>
  <c r="AE391" i="5"/>
  <c r="AD300" i="5"/>
  <c r="Y11" i="5"/>
  <c r="AU27" i="5"/>
  <c r="AE284" i="5"/>
  <c r="AE465" i="5"/>
  <c r="AE552" i="5"/>
  <c r="AS429" i="5"/>
  <c r="AU429" i="5" s="1"/>
  <c r="AS560" i="5"/>
  <c r="AU560" i="5" s="1"/>
  <c r="AD462" i="5"/>
  <c r="AU238" i="5"/>
  <c r="AE429" i="5"/>
  <c r="AS432" i="5"/>
  <c r="AT432" i="5" s="1"/>
  <c r="AD192" i="5"/>
  <c r="AS99" i="5"/>
  <c r="AT99" i="5" s="1"/>
  <c r="AS370" i="5"/>
  <c r="AT370" i="5" s="1"/>
  <c r="AE357" i="5"/>
  <c r="AD238" i="5"/>
  <c r="AT192" i="5"/>
  <c r="AS221" i="5"/>
  <c r="AT221" i="5" s="1"/>
  <c r="AS263" i="5"/>
  <c r="AT263" i="5" s="1"/>
  <c r="AD221" i="5"/>
  <c r="AE387" i="5"/>
  <c r="AE68" i="5"/>
  <c r="AD199" i="5"/>
  <c r="AE166" i="5"/>
  <c r="AD303" i="5"/>
  <c r="AS334" i="5"/>
  <c r="AT334" i="5" s="1"/>
  <c r="AD175" i="5"/>
  <c r="AE334" i="5"/>
  <c r="AS382" i="5"/>
  <c r="AU382" i="5" s="1"/>
  <c r="AE29" i="5"/>
  <c r="AE370" i="5"/>
  <c r="AS405" i="5"/>
  <c r="AU405" i="5" s="1"/>
  <c r="AS554" i="5"/>
  <c r="AU554" i="5" s="1"/>
  <c r="AD554" i="5"/>
  <c r="AS387" i="5"/>
  <c r="AT387" i="5" s="1"/>
  <c r="AD357" i="5"/>
  <c r="AT157" i="5"/>
  <c r="AS175" i="5"/>
  <c r="AU175" i="5" s="1"/>
  <c r="AS472" i="5"/>
  <c r="AU472" i="5" s="1"/>
  <c r="AD43" i="5"/>
  <c r="AE560" i="5"/>
  <c r="AE27" i="5"/>
  <c r="AE462" i="5"/>
  <c r="AU462" i="5"/>
  <c r="S11" i="5"/>
  <c r="AS379" i="5"/>
  <c r="AU379" i="5" s="1"/>
  <c r="AS449" i="5"/>
  <c r="AU449" i="5" s="1"/>
  <c r="AS106" i="5"/>
  <c r="AU106" i="5" s="1"/>
  <c r="AS270" i="5"/>
  <c r="AT270" i="5" s="1"/>
  <c r="AS76" i="5"/>
  <c r="AU76" i="5" s="1"/>
  <c r="AE76" i="5"/>
  <c r="AD407" i="5"/>
  <c r="AS284" i="5"/>
  <c r="AT284" i="5" s="1"/>
  <c r="AE192" i="5"/>
  <c r="AS120" i="5"/>
  <c r="AT120" i="5" s="1"/>
  <c r="AE270" i="5"/>
  <c r="AS436" i="5"/>
  <c r="AT436" i="5" s="1"/>
  <c r="AD449" i="5"/>
  <c r="AS29" i="5"/>
  <c r="AU29" i="5" s="1"/>
  <c r="AE436" i="5"/>
  <c r="AS230" i="5"/>
  <c r="AT230" i="5" s="1"/>
  <c r="AS198" i="5"/>
  <c r="AT198" i="5" s="1"/>
  <c r="AT290" i="5"/>
  <c r="AT433" i="5"/>
  <c r="AS133" i="5"/>
  <c r="AT133" i="5" s="1"/>
  <c r="AE386" i="5"/>
  <c r="AE254" i="5"/>
  <c r="AE133" i="5"/>
  <c r="AD230" i="5"/>
  <c r="AS314" i="5"/>
  <c r="AT314" i="5" s="1"/>
  <c r="AE120" i="5"/>
  <c r="AS303" i="5"/>
  <c r="AU303" i="5" s="1"/>
  <c r="AE464" i="5"/>
  <c r="AE43" i="5"/>
  <c r="AT286" i="5"/>
  <c r="AE234" i="5"/>
  <c r="AE104" i="5"/>
  <c r="AS236" i="5"/>
  <c r="AU236" i="5" s="1"/>
  <c r="AE364" i="5"/>
  <c r="AU43" i="5"/>
  <c r="AS180" i="5"/>
  <c r="AT180" i="5" s="1"/>
  <c r="AS464" i="5"/>
  <c r="AU464" i="5" s="1"/>
  <c r="AD236" i="5"/>
  <c r="AE456" i="5"/>
  <c r="AS456" i="5"/>
  <c r="AT456" i="5" s="1"/>
  <c r="AT202" i="5"/>
  <c r="AU62" i="5"/>
  <c r="AT173" i="5"/>
  <c r="AS261" i="5"/>
  <c r="AU261" i="5" s="1"/>
  <c r="AE202" i="5"/>
  <c r="AE238" i="5"/>
  <c r="AT365" i="5"/>
  <c r="AE243" i="5"/>
  <c r="AS285" i="5"/>
  <c r="AT285" i="5" s="1"/>
  <c r="AE173" i="5"/>
  <c r="AD392" i="5"/>
  <c r="AT32" i="5"/>
  <c r="AD173" i="5"/>
  <c r="AD418" i="5"/>
  <c r="AU392" i="5"/>
  <c r="AD352" i="5"/>
  <c r="AS26" i="5"/>
  <c r="AU26" i="5" s="1"/>
  <c r="AD267" i="5"/>
  <c r="AE418" i="5"/>
  <c r="AS385" i="5"/>
  <c r="AT385" i="5" s="1"/>
  <c r="AD488" i="5"/>
  <c r="AS542" i="5"/>
  <c r="AU542" i="5" s="1"/>
  <c r="AS242" i="5"/>
  <c r="AT242" i="5" s="1"/>
  <c r="AD285" i="5"/>
  <c r="AE392" i="5"/>
  <c r="AE62" i="5"/>
  <c r="AD401" i="5"/>
  <c r="AE153" i="5"/>
  <c r="AS356" i="5"/>
  <c r="AU356" i="5" s="1"/>
  <c r="AD385" i="5"/>
  <c r="AD39" i="5"/>
  <c r="AD463" i="5"/>
  <c r="AD367" i="5"/>
  <c r="AS507" i="5"/>
  <c r="AT507" i="5" s="1"/>
  <c r="AS521" i="5"/>
  <c r="AU521" i="5" s="1"/>
  <c r="AS455" i="5"/>
  <c r="AU455" i="5" s="1"/>
  <c r="AS486" i="5"/>
  <c r="AU486" i="5" s="1"/>
  <c r="AE455" i="5"/>
  <c r="AE486" i="5"/>
  <c r="AD527" i="5"/>
  <c r="AE232" i="5"/>
  <c r="AE548" i="5"/>
  <c r="AE286" i="5"/>
  <c r="AE439" i="5"/>
  <c r="AS255" i="5"/>
  <c r="AU255" i="5" s="1"/>
  <c r="AS331" i="5"/>
  <c r="AT331" i="5" s="1"/>
  <c r="AT248" i="5"/>
  <c r="AT116" i="5"/>
  <c r="AU475" i="5"/>
  <c r="AE145" i="5"/>
  <c r="AD286" i="5"/>
  <c r="AE262" i="5"/>
  <c r="AE180" i="5"/>
  <c r="AU548" i="5"/>
  <c r="AE103" i="5"/>
  <c r="AS491" i="5"/>
  <c r="AT491" i="5" s="1"/>
  <c r="AE349" i="5"/>
  <c r="AT332" i="5"/>
  <c r="AE165" i="5"/>
  <c r="AS264" i="5"/>
  <c r="AU264" i="5" s="1"/>
  <c r="AS262" i="5"/>
  <c r="AT262" i="5" s="1"/>
  <c r="AE116" i="5"/>
  <c r="AS103" i="5"/>
  <c r="AT103" i="5" s="1"/>
  <c r="AD116" i="5"/>
  <c r="AD548" i="5"/>
  <c r="AE331" i="5"/>
  <c r="AE255" i="5"/>
  <c r="AD364" i="5"/>
  <c r="AT267" i="5"/>
  <c r="AU283" i="5"/>
  <c r="AS243" i="5"/>
  <c r="AU243" i="5" s="1"/>
  <c r="AD386" i="5"/>
  <c r="AE333" i="5"/>
  <c r="AD62" i="5"/>
  <c r="AD441" i="5"/>
  <c r="AD48" i="5"/>
  <c r="AD38" i="5"/>
  <c r="AD202" i="5"/>
  <c r="AS38" i="5"/>
  <c r="AT38" i="5" s="1"/>
  <c r="AU308" i="5"/>
  <c r="AE475" i="5"/>
  <c r="AE32" i="5"/>
  <c r="AE352" i="5"/>
  <c r="AS254" i="5"/>
  <c r="AT254" i="5" s="1"/>
  <c r="AD26" i="5"/>
  <c r="AE242" i="5"/>
  <c r="AE267" i="5"/>
  <c r="AD283" i="5"/>
  <c r="AS333" i="5"/>
  <c r="AU333" i="5" s="1"/>
  <c r="AT63" i="5"/>
  <c r="AS123" i="5"/>
  <c r="AU123" i="5" s="1"/>
  <c r="AD248" i="5"/>
  <c r="AD361" i="5"/>
  <c r="AE155" i="5"/>
  <c r="AD93" i="5"/>
  <c r="AD129" i="5"/>
  <c r="AD232" i="5"/>
  <c r="AT234" i="5"/>
  <c r="AU78" i="5"/>
  <c r="AD184" i="5"/>
  <c r="AS531" i="5"/>
  <c r="AT531" i="5" s="1"/>
  <c r="AE431" i="5"/>
  <c r="AE332" i="5"/>
  <c r="AD276" i="5"/>
  <c r="AD98" i="5"/>
  <c r="AE88" i="5"/>
  <c r="AD433" i="5"/>
  <c r="AD396" i="5"/>
  <c r="AD402" i="5"/>
  <c r="AE272" i="5"/>
  <c r="AT510" i="5"/>
  <c r="AS165" i="5"/>
  <c r="AT165" i="5" s="1"/>
  <c r="AE299" i="5"/>
  <c r="AE106" i="5"/>
  <c r="AS211" i="5"/>
  <c r="AT211" i="5" s="1"/>
  <c r="AD104" i="5"/>
  <c r="AS129" i="5"/>
  <c r="AU129" i="5" s="1"/>
  <c r="AS93" i="5"/>
  <c r="AT93" i="5" s="1"/>
  <c r="AE317" i="5"/>
  <c r="AE433" i="5"/>
  <c r="AD88" i="5"/>
  <c r="AS272" i="5"/>
  <c r="AU272" i="5" s="1"/>
  <c r="AE248" i="5"/>
  <c r="AD290" i="5"/>
  <c r="AE376" i="5"/>
  <c r="AS439" i="5"/>
  <c r="AT439" i="5" s="1"/>
  <c r="AS310" i="5"/>
  <c r="AU310" i="5" s="1"/>
  <c r="AU317" i="5"/>
  <c r="AS307" i="5"/>
  <c r="AT307" i="5" s="1"/>
  <c r="AD40" i="5"/>
  <c r="AD379" i="5"/>
  <c r="AS222" i="5"/>
  <c r="AT222" i="5" s="1"/>
  <c r="AS224" i="5"/>
  <c r="AT224" i="5" s="1"/>
  <c r="AD531" i="5"/>
  <c r="AD332" i="5"/>
  <c r="AS159" i="5"/>
  <c r="AT159" i="5" s="1"/>
  <c r="AS321" i="5"/>
  <c r="AT321" i="5" s="1"/>
  <c r="AE321" i="5"/>
  <c r="AD96" i="5"/>
  <c r="AE96" i="5"/>
  <c r="AD510" i="5"/>
  <c r="AD320" i="5"/>
  <c r="AE310" i="5"/>
  <c r="AE25" i="5"/>
  <c r="AE290" i="5"/>
  <c r="AE264" i="5"/>
  <c r="AU424" i="5"/>
  <c r="AE123" i="5"/>
  <c r="AE31" i="5"/>
  <c r="AE98" i="5"/>
  <c r="AE184" i="5"/>
  <c r="AD28" i="5"/>
  <c r="AE168" i="5"/>
  <c r="AD234" i="5"/>
  <c r="AS31" i="5"/>
  <c r="AT31" i="5" s="1"/>
  <c r="AS511" i="5"/>
  <c r="AT511" i="5" s="1"/>
  <c r="AD317" i="5"/>
  <c r="AS431" i="5"/>
  <c r="AU431" i="5" s="1"/>
  <c r="AD198" i="5"/>
  <c r="AS233" i="5"/>
  <c r="AT233" i="5" s="1"/>
  <c r="AE358" i="5"/>
  <c r="AD218" i="5"/>
  <c r="AE314" i="5"/>
  <c r="AD558" i="5"/>
  <c r="AS25" i="5"/>
  <c r="AU25" i="5" s="1"/>
  <c r="AS524" i="5"/>
  <c r="AU524" i="5" s="1"/>
  <c r="AT96" i="5"/>
  <c r="AS396" i="5"/>
  <c r="AT396" i="5" s="1"/>
  <c r="AD282" i="5"/>
  <c r="AD491" i="5"/>
  <c r="AE414" i="5"/>
  <c r="AS414" i="5"/>
  <c r="AT414" i="5" s="1"/>
  <c r="AD475" i="5"/>
  <c r="AD307" i="5"/>
  <c r="AD145" i="5"/>
  <c r="AD328" i="5"/>
  <c r="AS50" i="5"/>
  <c r="AT50" i="5" s="1"/>
  <c r="AE499" i="5"/>
  <c r="AS325" i="5"/>
  <c r="AU325" i="5" s="1"/>
  <c r="AD13" i="5"/>
  <c r="AE489" i="5"/>
  <c r="AT489" i="5"/>
  <c r="AS168" i="5"/>
  <c r="AT168" i="5" s="1"/>
  <c r="AS328" i="5"/>
  <c r="AT328" i="5" s="1"/>
  <c r="AD499" i="5"/>
  <c r="AT13" i="5"/>
  <c r="AS340" i="5"/>
  <c r="AT340" i="5" s="1"/>
  <c r="AD489" i="5"/>
  <c r="AD490" i="5"/>
  <c r="AE181" i="5"/>
  <c r="AT57" i="5"/>
  <c r="AD181" i="5"/>
  <c r="AD50" i="5"/>
  <c r="AD424" i="5"/>
  <c r="AU174" i="5"/>
  <c r="AD141" i="5"/>
  <c r="AU145" i="5"/>
  <c r="AE141" i="5"/>
  <c r="AE424" i="5"/>
  <c r="AS349" i="5"/>
  <c r="AT349" i="5" s="1"/>
  <c r="AD57" i="5"/>
  <c r="AS490" i="5"/>
  <c r="AT490" i="5" s="1"/>
  <c r="AE57" i="5"/>
  <c r="AE13" i="5"/>
  <c r="AT517" i="5"/>
  <c r="AU231" i="5"/>
  <c r="AT506" i="5"/>
  <c r="AD32" i="5"/>
  <c r="AT352" i="5"/>
  <c r="AE119" i="5"/>
  <c r="AE398" i="5"/>
  <c r="AE171" i="5"/>
  <c r="AD261" i="5"/>
  <c r="AS225" i="5"/>
  <c r="AT225" i="5" s="1"/>
  <c r="AS469" i="5"/>
  <c r="AT469" i="5" s="1"/>
  <c r="AE237" i="5"/>
  <c r="AD359" i="5"/>
  <c r="AD543" i="5"/>
  <c r="AD87" i="5"/>
  <c r="AU418" i="5"/>
  <c r="AS298" i="5"/>
  <c r="AU298" i="5" s="1"/>
  <c r="AE209" i="5"/>
  <c r="AE438" i="5"/>
  <c r="AT495" i="5"/>
  <c r="AS516" i="5"/>
  <c r="AT516" i="5" s="1"/>
  <c r="AE308" i="5"/>
  <c r="AE91" i="5"/>
  <c r="AD122" i="5"/>
  <c r="AE225" i="5"/>
  <c r="AE517" i="5"/>
  <c r="AD506" i="5"/>
  <c r="AS359" i="5"/>
  <c r="AU359" i="5" s="1"/>
  <c r="AD428" i="5"/>
  <c r="AE283" i="5"/>
  <c r="AS443" i="5"/>
  <c r="AU443" i="5" s="1"/>
  <c r="AD516" i="5"/>
  <c r="AS494" i="5"/>
  <c r="AU494" i="5" s="1"/>
  <c r="AD495" i="5"/>
  <c r="AS485" i="5"/>
  <c r="AU485" i="5" s="1"/>
  <c r="AE140" i="5"/>
  <c r="AS415" i="5"/>
  <c r="AT415" i="5" s="1"/>
  <c r="AS428" i="5"/>
  <c r="AU428" i="5" s="1"/>
  <c r="AE494" i="5"/>
  <c r="AD365" i="5"/>
  <c r="AE495" i="5"/>
  <c r="AD231" i="5"/>
  <c r="AS12" i="5"/>
  <c r="AT12" i="5" s="1"/>
  <c r="AT353" i="5"/>
  <c r="AS139" i="5"/>
  <c r="AT139" i="5" s="1"/>
  <c r="AT499" i="5"/>
  <c r="AE505" i="5"/>
  <c r="AS390" i="5"/>
  <c r="AU390" i="5" s="1"/>
  <c r="AS85" i="5"/>
  <c r="AU85" i="5" s="1"/>
  <c r="AT184" i="5"/>
  <c r="AS155" i="5"/>
  <c r="AU155" i="5" s="1"/>
  <c r="AE224" i="5"/>
  <c r="AT141" i="5"/>
  <c r="AD222" i="5"/>
  <c r="AE327" i="5"/>
  <c r="AD92" i="5"/>
  <c r="AE430" i="5"/>
  <c r="AE208" i="5"/>
  <c r="AE220" i="5"/>
  <c r="AS425" i="5"/>
  <c r="AT425" i="5" s="1"/>
  <c r="AD78" i="5"/>
  <c r="AE159" i="5"/>
  <c r="AS282" i="5"/>
  <c r="AU282" i="5" s="1"/>
  <c r="AS473" i="5"/>
  <c r="AU473" i="5" s="1"/>
  <c r="AT467" i="5"/>
  <c r="AD467" i="5"/>
  <c r="AE473" i="5"/>
  <c r="AS10" i="5"/>
  <c r="AT10" i="5" s="1"/>
  <c r="AD501" i="5"/>
  <c r="AE555" i="5"/>
  <c r="AS402" i="5"/>
  <c r="AT402" i="5" s="1"/>
  <c r="AS320" i="5"/>
  <c r="AT320" i="5" s="1"/>
  <c r="AT550" i="5"/>
  <c r="AE174" i="5"/>
  <c r="AE182" i="5"/>
  <c r="AS478" i="5"/>
  <c r="AU478" i="5" s="1"/>
  <c r="AT538" i="5"/>
  <c r="AS28" i="5"/>
  <c r="AU28" i="5" s="1"/>
  <c r="AS40" i="5"/>
  <c r="AU40" i="5" s="1"/>
  <c r="AE535" i="5"/>
  <c r="AE511" i="5"/>
  <c r="AD23" i="5"/>
  <c r="AD233" i="5"/>
  <c r="AS558" i="5"/>
  <c r="AT558" i="5" s="1"/>
  <c r="AE228" i="5"/>
  <c r="AS92" i="5"/>
  <c r="AT92" i="5" s="1"/>
  <c r="AE63" i="5"/>
  <c r="AD63" i="5"/>
  <c r="AS361" i="5"/>
  <c r="AU361" i="5" s="1"/>
  <c r="AS474" i="5"/>
  <c r="AU474" i="5" s="1"/>
  <c r="AS535" i="5"/>
  <c r="AT535" i="5" s="1"/>
  <c r="AS208" i="5"/>
  <c r="AT208" i="5" s="1"/>
  <c r="AD425" i="5"/>
  <c r="AS228" i="5"/>
  <c r="AT228" i="5" s="1"/>
  <c r="AE78" i="5"/>
  <c r="AT88" i="5"/>
  <c r="AS220" i="5"/>
  <c r="AU220" i="5" s="1"/>
  <c r="AE524" i="5"/>
  <c r="AS555" i="5"/>
  <c r="AT555" i="5" s="1"/>
  <c r="AS163" i="5"/>
  <c r="AU163" i="5" s="1"/>
  <c r="AE510" i="5"/>
  <c r="AE340" i="5"/>
  <c r="AS276" i="5"/>
  <c r="AT276" i="5" s="1"/>
  <c r="AD163" i="5"/>
  <c r="AD478" i="5"/>
  <c r="AS302" i="5"/>
  <c r="AT302" i="5" s="1"/>
  <c r="AE302" i="5"/>
  <c r="AS140" i="5"/>
  <c r="AT140" i="5" s="1"/>
  <c r="AE122" i="5"/>
  <c r="AD299" i="5"/>
  <c r="AD398" i="5"/>
  <c r="AD171" i="5"/>
  <c r="AE474" i="5"/>
  <c r="AS23" i="5"/>
  <c r="AT23" i="5" s="1"/>
  <c r="AS153" i="5"/>
  <c r="AT153" i="5" s="1"/>
  <c r="AS48" i="5"/>
  <c r="AU48" i="5" s="1"/>
  <c r="AE543" i="5"/>
  <c r="AE469" i="5"/>
  <c r="AE139" i="5"/>
  <c r="AS269" i="5"/>
  <c r="AT269" i="5" s="1"/>
  <c r="AD298" i="5"/>
  <c r="AS209" i="5"/>
  <c r="AT209" i="5" s="1"/>
  <c r="AE338" i="5"/>
  <c r="AS438" i="5"/>
  <c r="AU438" i="5" s="1"/>
  <c r="AU299" i="5"/>
  <c r="AD195" i="5"/>
  <c r="AE251" i="5"/>
  <c r="AE325" i="5"/>
  <c r="AE467" i="5"/>
  <c r="AE231" i="5"/>
  <c r="AS406" i="5"/>
  <c r="AT406" i="5" s="1"/>
  <c r="AD308" i="5"/>
  <c r="AS377" i="5"/>
  <c r="AT377" i="5" s="1"/>
  <c r="AS91" i="5"/>
  <c r="AT91" i="5" s="1"/>
  <c r="AT171" i="5"/>
  <c r="AS119" i="5"/>
  <c r="AU119" i="5" s="1"/>
  <c r="AS82" i="5"/>
  <c r="AU82" i="5" s="1"/>
  <c r="AD82" i="5"/>
  <c r="AD415" i="5"/>
  <c r="AS358" i="5"/>
  <c r="AT358" i="5" s="1"/>
  <c r="AE211" i="5"/>
  <c r="AD41" i="5"/>
  <c r="AD517" i="5"/>
  <c r="AS185" i="5"/>
  <c r="AU185" i="5" s="1"/>
  <c r="AS195" i="5"/>
  <c r="AU195" i="5" s="1"/>
  <c r="AS87" i="5"/>
  <c r="AU87" i="5" s="1"/>
  <c r="AD338" i="5"/>
  <c r="AD21" i="5"/>
  <c r="AS237" i="5"/>
  <c r="AT237" i="5" s="1"/>
  <c r="AD174" i="5"/>
  <c r="AS135" i="5"/>
  <c r="AT135" i="5" s="1"/>
  <c r="AT338" i="5"/>
  <c r="AE506" i="5"/>
  <c r="AD269" i="5"/>
  <c r="AE365" i="5"/>
  <c r="AE485" i="5"/>
  <c r="AE21" i="5"/>
  <c r="AS161" i="5"/>
  <c r="AU161" i="5" s="1"/>
  <c r="AD443" i="5"/>
  <c r="AE134" i="5"/>
  <c r="AE12" i="5"/>
  <c r="AT251" i="5"/>
  <c r="AE377" i="5"/>
  <c r="AD251" i="5"/>
  <c r="AS24" i="5"/>
  <c r="AT24" i="5" s="1"/>
  <c r="AS101" i="5"/>
  <c r="AU101" i="5" s="1"/>
  <c r="AD294" i="5"/>
  <c r="AE348" i="5"/>
  <c r="AD312" i="5"/>
  <c r="AS343" i="5"/>
  <c r="AT343" i="5" s="1"/>
  <c r="AE356" i="5"/>
  <c r="AS401" i="5"/>
  <c r="AT401" i="5" s="1"/>
  <c r="AE457" i="5"/>
  <c r="AD131" i="5"/>
  <c r="AE448" i="5"/>
  <c r="AE507" i="5"/>
  <c r="AS131" i="5"/>
  <c r="AU131" i="5" s="1"/>
  <c r="AD557" i="5"/>
  <c r="AE345" i="5"/>
  <c r="AU557" i="5"/>
  <c r="AD101" i="5"/>
  <c r="AD304" i="5"/>
  <c r="AS312" i="5"/>
  <c r="AU312" i="5" s="1"/>
  <c r="AE24" i="5"/>
  <c r="AE343" i="5"/>
  <c r="AS457" i="5"/>
  <c r="AT457" i="5" s="1"/>
  <c r="AS551" i="5"/>
  <c r="AT551" i="5" s="1"/>
  <c r="AD223" i="5"/>
  <c r="AE223" i="5"/>
  <c r="AU223" i="5"/>
  <c r="AD49" i="5"/>
  <c r="AE557" i="5"/>
  <c r="AD493" i="5"/>
  <c r="AE493" i="5"/>
  <c r="AS304" i="5"/>
  <c r="AT304" i="5" s="1"/>
  <c r="AS294" i="5"/>
  <c r="AT294" i="5" s="1"/>
  <c r="AE49" i="5"/>
  <c r="AE318" i="5"/>
  <c r="AS488" i="5"/>
  <c r="AT488" i="5" s="1"/>
  <c r="AD521" i="5"/>
  <c r="AS345" i="5"/>
  <c r="AT345" i="5" s="1"/>
  <c r="AU493" i="5"/>
  <c r="AS167" i="5"/>
  <c r="AU167" i="5" s="1"/>
  <c r="AD275" i="5"/>
  <c r="AE135" i="5"/>
  <c r="AS132" i="5"/>
  <c r="AT132" i="5" s="1"/>
  <c r="AD430" i="5"/>
  <c r="AS130" i="5"/>
  <c r="AU130" i="5" s="1"/>
  <c r="AD353" i="5"/>
  <c r="AD550" i="5"/>
  <c r="AD85" i="5"/>
  <c r="AE501" i="5"/>
  <c r="AD406" i="5"/>
  <c r="AT501" i="5"/>
  <c r="AE384" i="5"/>
  <c r="AE353" i="5"/>
  <c r="AE479" i="5"/>
  <c r="AU384" i="5"/>
  <c r="AS427" i="5"/>
  <c r="AU427" i="5" s="1"/>
  <c r="AT21" i="5"/>
  <c r="AD182" i="5"/>
  <c r="AT430" i="5"/>
  <c r="AD132" i="5"/>
  <c r="AE46" i="5"/>
  <c r="AU46" i="5"/>
  <c r="AD384" i="5"/>
  <c r="AD479" i="5"/>
  <c r="AS295" i="5"/>
  <c r="AU295" i="5" s="1"/>
  <c r="AU275" i="5"/>
  <c r="AU479" i="5"/>
  <c r="AE295" i="5"/>
  <c r="AS327" i="5"/>
  <c r="AU327" i="5" s="1"/>
  <c r="AU182" i="5"/>
  <c r="AS41" i="5"/>
  <c r="AU41" i="5" s="1"/>
  <c r="AE185" i="5"/>
  <c r="AE167" i="5"/>
  <c r="AE275" i="5"/>
  <c r="AE390" i="5"/>
  <c r="AD161" i="5"/>
  <c r="AE130" i="5"/>
  <c r="AE550" i="5"/>
  <c r="AD427" i="5"/>
  <c r="AS419" i="5"/>
  <c r="AU419" i="5" s="1"/>
  <c r="AE20" i="5"/>
  <c r="AT344" i="5"/>
  <c r="AS20" i="5"/>
  <c r="AU20" i="5" s="1"/>
  <c r="AE551" i="5"/>
  <c r="AD56" i="5"/>
  <c r="AU301" i="5"/>
  <c r="AS559" i="5"/>
  <c r="AT559" i="5" s="1"/>
  <c r="B106" i="2"/>
  <c r="H32" i="1" s="1"/>
  <c r="AS291" i="5"/>
  <c r="AT291" i="5" s="1"/>
  <c r="AE559" i="5"/>
  <c r="AD46" i="5"/>
  <c r="AS505" i="5"/>
  <c r="AT505" i="5" s="1"/>
  <c r="AE344" i="5"/>
  <c r="AD344" i="5"/>
  <c r="AD134" i="5"/>
  <c r="AD301" i="5"/>
  <c r="AE301" i="5"/>
  <c r="AT134" i="5"/>
  <c r="AS376" i="5"/>
  <c r="AU376" i="5" s="1"/>
  <c r="AD538" i="5"/>
  <c r="AE55" i="5"/>
  <c r="AE218" i="5"/>
  <c r="AE538" i="5"/>
  <c r="AE419" i="5"/>
  <c r="AS158" i="5"/>
  <c r="AT158" i="5" s="1"/>
  <c r="AS55" i="5"/>
  <c r="AT55" i="5" s="1"/>
  <c r="AD158" i="5"/>
  <c r="AU218" i="5"/>
  <c r="AU249" i="5"/>
  <c r="AE164" i="5"/>
  <c r="AE537" i="5"/>
  <c r="AE249" i="5"/>
  <c r="AS164" i="5"/>
  <c r="AT164" i="5" s="1"/>
  <c r="AS56" i="5"/>
  <c r="AU56" i="5" s="1"/>
  <c r="AD249" i="5"/>
  <c r="AS537" i="5"/>
  <c r="AU537" i="5" s="1"/>
  <c r="AS197" i="5"/>
  <c r="AT197" i="5" s="1"/>
  <c r="AD468" i="5"/>
  <c r="AU468" i="5"/>
  <c r="AE197" i="5"/>
  <c r="AE468" i="5"/>
  <c r="AD291" i="5"/>
  <c r="AD409" i="5"/>
  <c r="AS409" i="5"/>
  <c r="AU409" i="5" s="1"/>
  <c r="AS9" i="5"/>
  <c r="AU9" i="5" s="1"/>
  <c r="AE7" i="4"/>
  <c r="BX7" i="4" s="1"/>
  <c r="AU487" i="5"/>
  <c r="AU556" i="5"/>
  <c r="AU509" i="5"/>
  <c r="AU44" i="5"/>
  <c r="AT375" i="5"/>
  <c r="AU58" i="5"/>
  <c r="AT497" i="5"/>
  <c r="AT526" i="5"/>
  <c r="AU186" i="5"/>
  <c r="AU34" i="5"/>
  <c r="AE9" i="5"/>
  <c r="F87" i="1"/>
  <c r="AU148" i="5"/>
  <c r="AT150" i="5"/>
  <c r="AT323" i="5"/>
  <c r="AT289" i="5"/>
  <c r="AU534" i="5"/>
  <c r="AT37" i="5"/>
  <c r="AT64" i="5"/>
  <c r="AU45" i="5"/>
  <c r="AT513" i="5"/>
  <c r="AR9" i="5"/>
  <c r="AQ9" i="5"/>
  <c r="AU77" i="5"/>
  <c r="AU362" i="5"/>
  <c r="AT458" i="5"/>
  <c r="AT523" i="5"/>
  <c r="AT399" i="5"/>
  <c r="AU277" i="5"/>
  <c r="AU453" i="5"/>
  <c r="AU265" i="5"/>
  <c r="AT125" i="5"/>
  <c r="AU445" i="5"/>
  <c r="AU350" i="5"/>
  <c r="AU309" i="5"/>
  <c r="AT543" i="5"/>
  <c r="AU59" i="5"/>
  <c r="AT72" i="5"/>
  <c r="AU72" i="5"/>
  <c r="AT461" i="5"/>
  <c r="AU461" i="5"/>
  <c r="AU187" i="5"/>
  <c r="AT315" i="5"/>
  <c r="AU466" i="5"/>
  <c r="AT232" i="5"/>
  <c r="AU36" i="5"/>
  <c r="AT136" i="5"/>
  <c r="AT465" i="5"/>
  <c r="AU465" i="5"/>
  <c r="AT177" i="5"/>
  <c r="AU177" i="5"/>
  <c r="AU60" i="5"/>
  <c r="AT60" i="5"/>
  <c r="AU124" i="5"/>
  <c r="AT539" i="5"/>
  <c r="AU539" i="5"/>
  <c r="AU74" i="5"/>
  <c r="AT245" i="5"/>
  <c r="AU322" i="5"/>
  <c r="AU527" i="5"/>
  <c r="AT527" i="5"/>
  <c r="AU297" i="5"/>
  <c r="AU121" i="5"/>
  <c r="AU104" i="5"/>
  <c r="AT104" i="5"/>
  <c r="AT80" i="5"/>
  <c r="AU80" i="5"/>
  <c r="AU529" i="5"/>
  <c r="AT529" i="5"/>
  <c r="AT122" i="5"/>
  <c r="AU122" i="5"/>
  <c r="AU404" i="5"/>
  <c r="AT181" i="5"/>
  <c r="AU181" i="5"/>
  <c r="AT398" i="5"/>
  <c r="AU398" i="5"/>
  <c r="AU316" i="5"/>
  <c r="AU386" i="5"/>
  <c r="AT386" i="5"/>
  <c r="AT98" i="5"/>
  <c r="AU98" i="5"/>
  <c r="AX516" i="10" l="1"/>
  <c r="AU476" i="5"/>
  <c r="AX69" i="10"/>
  <c r="AX278" i="10"/>
  <c r="AX160" i="10"/>
  <c r="AU112" i="5"/>
  <c r="AW279" i="10"/>
  <c r="AX129" i="10"/>
  <c r="AU84" i="5"/>
  <c r="AX200" i="10"/>
  <c r="AW552" i="10"/>
  <c r="AW28" i="10"/>
  <c r="AW465" i="10"/>
  <c r="AX548" i="10"/>
  <c r="AQ153" i="4"/>
  <c r="AR153" i="4" s="1"/>
  <c r="AS153" i="4" s="1"/>
  <c r="AO154" i="4"/>
  <c r="AQ154" i="4" s="1"/>
  <c r="AR154" i="4" s="1"/>
  <c r="AO152" i="4"/>
  <c r="AN152" i="4" s="1"/>
  <c r="AO122" i="4"/>
  <c r="AQ122" i="4" s="1"/>
  <c r="AR122" i="4" s="1"/>
  <c r="AO150" i="4"/>
  <c r="AQ150" i="4" s="1"/>
  <c r="AR150" i="4" s="1"/>
  <c r="AO157" i="4"/>
  <c r="AN157" i="4" s="1"/>
  <c r="AO126" i="4"/>
  <c r="AN126" i="4" s="1"/>
  <c r="AO133" i="4"/>
  <c r="AN133" i="4" s="1"/>
  <c r="AX164" i="10"/>
  <c r="AX534" i="10"/>
  <c r="AN121" i="4"/>
  <c r="BI112" i="4"/>
  <c r="AW100" i="10"/>
  <c r="AX219" i="10"/>
  <c r="AQ72" i="4"/>
  <c r="AR72" i="4" s="1"/>
  <c r="AS72" i="4" s="1"/>
  <c r="BI154" i="4"/>
  <c r="AH10" i="4"/>
  <c r="AJ10" i="4" s="1"/>
  <c r="BU10" i="4"/>
  <c r="AH135" i="4"/>
  <c r="BU135" i="4"/>
  <c r="AH99" i="4"/>
  <c r="BU99" i="4"/>
  <c r="AH58" i="4"/>
  <c r="BU58" i="4"/>
  <c r="AH56" i="4"/>
  <c r="BU56" i="4"/>
  <c r="AH41" i="4"/>
  <c r="BU41" i="4"/>
  <c r="AH130" i="4"/>
  <c r="BU130" i="4"/>
  <c r="AH109" i="4"/>
  <c r="BU109" i="4"/>
  <c r="AH105" i="4"/>
  <c r="BU105" i="4"/>
  <c r="AH31" i="4"/>
  <c r="BU31" i="4"/>
  <c r="AH95" i="4"/>
  <c r="BU95" i="4"/>
  <c r="AH87" i="4"/>
  <c r="BU87" i="4"/>
  <c r="AH57" i="4"/>
  <c r="BU57" i="4"/>
  <c r="AH89" i="4"/>
  <c r="BU89" i="4"/>
  <c r="AH45" i="4"/>
  <c r="BU45" i="4"/>
  <c r="AH34" i="4"/>
  <c r="AJ34" i="4" s="1"/>
  <c r="BU34" i="4"/>
  <c r="AH17" i="4"/>
  <c r="AJ17" i="4" s="1"/>
  <c r="BU17" i="4"/>
  <c r="AH29" i="4"/>
  <c r="BU29" i="4"/>
  <c r="AH33" i="4"/>
  <c r="BU33" i="4"/>
  <c r="AH25" i="4"/>
  <c r="BU25" i="4"/>
  <c r="AH55" i="4"/>
  <c r="BU55" i="4"/>
  <c r="AH116" i="4"/>
  <c r="BU116" i="4"/>
  <c r="AH91" i="4"/>
  <c r="BU91" i="4"/>
  <c r="AH37" i="4"/>
  <c r="BU37" i="4"/>
  <c r="AN42" i="4"/>
  <c r="AS42" i="4" s="1"/>
  <c r="AD133" i="4"/>
  <c r="AE133" i="4" s="1"/>
  <c r="BX133" i="4" s="1"/>
  <c r="AH133" i="4"/>
  <c r="AD13" i="4"/>
  <c r="AE13" i="4" s="1"/>
  <c r="BX13" i="4" s="1"/>
  <c r="AH13" i="4"/>
  <c r="AJ13" i="4" s="1"/>
  <c r="AD127" i="4"/>
  <c r="AE127" i="4" s="1"/>
  <c r="BX127" i="4" s="1"/>
  <c r="AH127" i="4"/>
  <c r="AJ127" i="4" s="1"/>
  <c r="AD147" i="4"/>
  <c r="AE147" i="4" s="1"/>
  <c r="BX147" i="4" s="1"/>
  <c r="AH147" i="4"/>
  <c r="AJ147" i="4" s="1"/>
  <c r="AD76" i="4"/>
  <c r="AE76" i="4" s="1"/>
  <c r="BX76" i="4" s="1"/>
  <c r="AH76" i="4"/>
  <c r="AD73" i="4"/>
  <c r="AE73" i="4" s="1"/>
  <c r="BX73" i="4" s="1"/>
  <c r="AH73" i="4"/>
  <c r="AJ73" i="4" s="1"/>
  <c r="AD62" i="4"/>
  <c r="AE62" i="4" s="1"/>
  <c r="BX62" i="4" s="1"/>
  <c r="AH62" i="4"/>
  <c r="AD145" i="4"/>
  <c r="AE145" i="4" s="1"/>
  <c r="BX145" i="4" s="1"/>
  <c r="AH145" i="4"/>
  <c r="AJ145" i="4" s="1"/>
  <c r="AD75" i="4"/>
  <c r="AE75" i="4" s="1"/>
  <c r="BX75" i="4" s="1"/>
  <c r="AH75" i="4"/>
  <c r="AD66" i="4"/>
  <c r="AE66" i="4" s="1"/>
  <c r="BX66" i="4" s="1"/>
  <c r="AH66" i="4"/>
  <c r="AJ66" i="4" s="1"/>
  <c r="AD30" i="4"/>
  <c r="AE30" i="4" s="1"/>
  <c r="BX30" i="4" s="1"/>
  <c r="AH30" i="4"/>
  <c r="AJ30" i="4" s="1"/>
  <c r="AD96" i="4"/>
  <c r="AE96" i="4" s="1"/>
  <c r="BX96" i="4" s="1"/>
  <c r="AH96" i="4"/>
  <c r="AJ96" i="4" s="1"/>
  <c r="AD84" i="4"/>
  <c r="AE84" i="4" s="1"/>
  <c r="BX84" i="4" s="1"/>
  <c r="AH84" i="4"/>
  <c r="AJ84" i="4" s="1"/>
  <c r="AD50" i="4"/>
  <c r="AE50" i="4" s="1"/>
  <c r="BX50" i="4" s="1"/>
  <c r="AH50" i="4"/>
  <c r="AJ50" i="4" s="1"/>
  <c r="AD27" i="4"/>
  <c r="AE27" i="4" s="1"/>
  <c r="BX27" i="4" s="1"/>
  <c r="AH27" i="4"/>
  <c r="AJ27" i="4" s="1"/>
  <c r="AD22" i="4"/>
  <c r="AE22" i="4" s="1"/>
  <c r="BX22" i="4" s="1"/>
  <c r="AH22" i="4"/>
  <c r="AJ22" i="4" s="1"/>
  <c r="AD20" i="4"/>
  <c r="AE20" i="4" s="1"/>
  <c r="BX20" i="4" s="1"/>
  <c r="AH20" i="4"/>
  <c r="AJ20" i="4" s="1"/>
  <c r="AD78" i="4"/>
  <c r="AE78" i="4" s="1"/>
  <c r="BX78" i="4" s="1"/>
  <c r="AH78" i="4"/>
  <c r="AJ78" i="4" s="1"/>
  <c r="AD16" i="4"/>
  <c r="AE16" i="4" s="1"/>
  <c r="BX16" i="4" s="1"/>
  <c r="AH16" i="4"/>
  <c r="AD80" i="4"/>
  <c r="AE80" i="4" s="1"/>
  <c r="BX80" i="4" s="1"/>
  <c r="AH80" i="4"/>
  <c r="AJ80" i="4" s="1"/>
  <c r="AD153" i="4"/>
  <c r="AE153" i="4" s="1"/>
  <c r="BX153" i="4" s="1"/>
  <c r="AH153" i="4"/>
  <c r="AJ153" i="4" s="1"/>
  <c r="AD44" i="4"/>
  <c r="AE44" i="4" s="1"/>
  <c r="BX44" i="4" s="1"/>
  <c r="AH44" i="4"/>
  <c r="AJ44" i="4" s="1"/>
  <c r="AD12" i="4"/>
  <c r="AE12" i="4" s="1"/>
  <c r="BX12" i="4" s="1"/>
  <c r="AH12" i="4"/>
  <c r="AJ12" i="4" s="1"/>
  <c r="AD131" i="4"/>
  <c r="AE131" i="4" s="1"/>
  <c r="BX131" i="4" s="1"/>
  <c r="AH131" i="4"/>
  <c r="AJ131" i="4" s="1"/>
  <c r="AD139" i="4"/>
  <c r="AE139" i="4" s="1"/>
  <c r="BX139" i="4" s="1"/>
  <c r="AH139" i="4"/>
  <c r="AJ139" i="4" s="1"/>
  <c r="AD93" i="4"/>
  <c r="AE93" i="4" s="1"/>
  <c r="BX93" i="4" s="1"/>
  <c r="AH93" i="4"/>
  <c r="AJ93" i="4" s="1"/>
  <c r="AD23" i="4"/>
  <c r="AE23" i="4" s="1"/>
  <c r="BX23" i="4" s="1"/>
  <c r="AH23" i="4"/>
  <c r="AJ23" i="4" s="1"/>
  <c r="AD121" i="4"/>
  <c r="AE121" i="4" s="1"/>
  <c r="BX121" i="4" s="1"/>
  <c r="AH121" i="4"/>
  <c r="AJ121" i="4" s="1"/>
  <c r="AD52" i="4"/>
  <c r="AE52" i="4" s="1"/>
  <c r="BX52" i="4" s="1"/>
  <c r="AH52" i="4"/>
  <c r="AD38" i="4"/>
  <c r="AE38" i="4" s="1"/>
  <c r="BX38" i="4" s="1"/>
  <c r="AH38" i="4"/>
  <c r="AJ38" i="4" s="1"/>
  <c r="AD97" i="4"/>
  <c r="AE97" i="4" s="1"/>
  <c r="BX97" i="4" s="1"/>
  <c r="AH97" i="4"/>
  <c r="AD132" i="4"/>
  <c r="AE132" i="4" s="1"/>
  <c r="BX132" i="4" s="1"/>
  <c r="AH132" i="4"/>
  <c r="AJ132" i="4" s="1"/>
  <c r="AD74" i="4"/>
  <c r="AE74" i="4" s="1"/>
  <c r="BX74" i="4" s="1"/>
  <c r="AH74" i="4"/>
  <c r="AJ74" i="4" s="1"/>
  <c r="AD100" i="4"/>
  <c r="AE100" i="4" s="1"/>
  <c r="BX100" i="4" s="1"/>
  <c r="AH100" i="4"/>
  <c r="AJ100" i="4" s="1"/>
  <c r="AD18" i="4"/>
  <c r="AE18" i="4" s="1"/>
  <c r="BX18" i="4" s="1"/>
  <c r="AH18" i="4"/>
  <c r="AJ18" i="4" s="1"/>
  <c r="AD69" i="4"/>
  <c r="AE69" i="4" s="1"/>
  <c r="BX69" i="4" s="1"/>
  <c r="AH69" i="4"/>
  <c r="AD141" i="4"/>
  <c r="AE141" i="4" s="1"/>
  <c r="BX141" i="4" s="1"/>
  <c r="AH141" i="4"/>
  <c r="AJ141" i="4" s="1"/>
  <c r="AD128" i="4"/>
  <c r="AE128" i="4" s="1"/>
  <c r="BX128" i="4" s="1"/>
  <c r="AH128" i="4"/>
  <c r="AJ128" i="4" s="1"/>
  <c r="AD40" i="4"/>
  <c r="AE40" i="4" s="1"/>
  <c r="BX40" i="4" s="1"/>
  <c r="AH40" i="4"/>
  <c r="AJ40" i="4" s="1"/>
  <c r="AD88" i="4"/>
  <c r="AE88" i="4" s="1"/>
  <c r="BX88" i="4" s="1"/>
  <c r="AH88" i="4"/>
  <c r="AJ88" i="4" s="1"/>
  <c r="AD67" i="4"/>
  <c r="AE67" i="4" s="1"/>
  <c r="BX67" i="4" s="1"/>
  <c r="AH67" i="4"/>
  <c r="AJ67" i="4" s="1"/>
  <c r="AD60" i="4"/>
  <c r="AE60" i="4" s="1"/>
  <c r="BX60" i="4" s="1"/>
  <c r="AH60" i="4"/>
  <c r="AJ60" i="4" s="1"/>
  <c r="AD107" i="4"/>
  <c r="AE107" i="4" s="1"/>
  <c r="BX107" i="4" s="1"/>
  <c r="AH107" i="4"/>
  <c r="AD61" i="4"/>
  <c r="AE61" i="4" s="1"/>
  <c r="BX61" i="4" s="1"/>
  <c r="AH61" i="4"/>
  <c r="AJ61" i="4" s="1"/>
  <c r="AD144" i="4"/>
  <c r="AE144" i="4" s="1"/>
  <c r="BX144" i="4" s="1"/>
  <c r="AH144" i="4"/>
  <c r="AJ144" i="4" s="1"/>
  <c r="AD72" i="4"/>
  <c r="AE72" i="4" s="1"/>
  <c r="BX72" i="4" s="1"/>
  <c r="AH72" i="4"/>
  <c r="AD92" i="4"/>
  <c r="AE92" i="4" s="1"/>
  <c r="BX92" i="4" s="1"/>
  <c r="AH92" i="4"/>
  <c r="AJ92" i="4" s="1"/>
  <c r="AD114" i="4"/>
  <c r="AE114" i="4" s="1"/>
  <c r="BX114" i="4" s="1"/>
  <c r="AH114" i="4"/>
  <c r="AJ114" i="4" s="1"/>
  <c r="AD86" i="4"/>
  <c r="AE86" i="4" s="1"/>
  <c r="BX86" i="4" s="1"/>
  <c r="AH86" i="4"/>
  <c r="AJ86" i="4" s="1"/>
  <c r="AD15" i="4"/>
  <c r="AE15" i="4" s="1"/>
  <c r="BX15" i="4" s="1"/>
  <c r="AH15" i="4"/>
  <c r="AJ15" i="4" s="1"/>
  <c r="AD151" i="4"/>
  <c r="AE151" i="4" s="1"/>
  <c r="BX151" i="4" s="1"/>
  <c r="AH151" i="4"/>
  <c r="AJ151" i="4" s="1"/>
  <c r="AD155" i="4"/>
  <c r="AE155" i="4" s="1"/>
  <c r="BX155" i="4" s="1"/>
  <c r="AH155" i="4"/>
  <c r="AD101" i="4"/>
  <c r="AE101" i="4" s="1"/>
  <c r="BX101" i="4" s="1"/>
  <c r="AH101" i="4"/>
  <c r="AJ101" i="4" s="1"/>
  <c r="AD129" i="4"/>
  <c r="AE129" i="4" s="1"/>
  <c r="BX129" i="4" s="1"/>
  <c r="AH129" i="4"/>
  <c r="AJ129" i="4" s="1"/>
  <c r="AD103" i="4"/>
  <c r="AE103" i="4" s="1"/>
  <c r="BX103" i="4" s="1"/>
  <c r="AH103" i="4"/>
  <c r="AJ103" i="4" s="1"/>
  <c r="AD138" i="4"/>
  <c r="AE138" i="4" s="1"/>
  <c r="BX138" i="4" s="1"/>
  <c r="AH138" i="4"/>
  <c r="AJ138" i="4" s="1"/>
  <c r="AQ91" i="4"/>
  <c r="AR91" i="4" s="1"/>
  <c r="AS91" i="4" s="1"/>
  <c r="AD28" i="4"/>
  <c r="AE28" i="4" s="1"/>
  <c r="BX28" i="4" s="1"/>
  <c r="AH28" i="4"/>
  <c r="AJ28" i="4" s="1"/>
  <c r="AQ102" i="4"/>
  <c r="AR102" i="4" s="1"/>
  <c r="AS102" i="4" s="1"/>
  <c r="AD115" i="4"/>
  <c r="AE115" i="4" s="1"/>
  <c r="BX115" i="4" s="1"/>
  <c r="AH115" i="4"/>
  <c r="AJ115" i="4" s="1"/>
  <c r="AD35" i="4"/>
  <c r="AE35" i="4" s="1"/>
  <c r="BX35" i="4" s="1"/>
  <c r="AH35" i="4"/>
  <c r="AJ35" i="4" s="1"/>
  <c r="AD90" i="4"/>
  <c r="AE90" i="4" s="1"/>
  <c r="BX90" i="4" s="1"/>
  <c r="AH90" i="4"/>
  <c r="AD150" i="4"/>
  <c r="AE150" i="4" s="1"/>
  <c r="BX150" i="4" s="1"/>
  <c r="AH150" i="4"/>
  <c r="AD154" i="4"/>
  <c r="AE154" i="4" s="1"/>
  <c r="BX154" i="4" s="1"/>
  <c r="AH154" i="4"/>
  <c r="AJ154" i="4" s="1"/>
  <c r="AD152" i="4"/>
  <c r="AE152" i="4" s="1"/>
  <c r="BX152" i="4" s="1"/>
  <c r="AH152" i="4"/>
  <c r="AD134" i="4"/>
  <c r="AE134" i="4" s="1"/>
  <c r="BX134" i="4" s="1"/>
  <c r="AH134" i="4"/>
  <c r="AJ134" i="4" s="1"/>
  <c r="AD119" i="4"/>
  <c r="AE119" i="4" s="1"/>
  <c r="BX119" i="4" s="1"/>
  <c r="AH119" i="4"/>
  <c r="AJ119" i="4" s="1"/>
  <c r="AD68" i="4"/>
  <c r="AE68" i="4" s="1"/>
  <c r="BX68" i="4" s="1"/>
  <c r="AH68" i="4"/>
  <c r="AJ68" i="4" s="1"/>
  <c r="AD42" i="4"/>
  <c r="AE42" i="4" s="1"/>
  <c r="BX42" i="4" s="1"/>
  <c r="AH42" i="4"/>
  <c r="AJ42" i="4" s="1"/>
  <c r="AD70" i="4"/>
  <c r="AE70" i="4" s="1"/>
  <c r="BX70" i="4" s="1"/>
  <c r="AH70" i="4"/>
  <c r="AJ70" i="4" s="1"/>
  <c r="AD112" i="4"/>
  <c r="AE112" i="4" s="1"/>
  <c r="BX112" i="4" s="1"/>
  <c r="AH112" i="4"/>
  <c r="AJ112" i="4" s="1"/>
  <c r="AD123" i="4"/>
  <c r="AE123" i="4" s="1"/>
  <c r="BX123" i="4" s="1"/>
  <c r="AH123" i="4"/>
  <c r="AD108" i="4"/>
  <c r="AE108" i="4" s="1"/>
  <c r="BX108" i="4" s="1"/>
  <c r="AH108" i="4"/>
  <c r="AD142" i="4"/>
  <c r="AE142" i="4" s="1"/>
  <c r="BX142" i="4" s="1"/>
  <c r="AH142" i="4"/>
  <c r="AD9" i="4"/>
  <c r="AE9" i="4" s="1"/>
  <c r="BX9" i="4" s="1"/>
  <c r="AH9" i="4"/>
  <c r="AJ9" i="4" s="1"/>
  <c r="AD43" i="4"/>
  <c r="AE43" i="4" s="1"/>
  <c r="BX43" i="4" s="1"/>
  <c r="AH43" i="4"/>
  <c r="AJ43" i="4" s="1"/>
  <c r="AD8" i="4"/>
  <c r="AE8" i="4" s="1"/>
  <c r="AJ8" i="4"/>
  <c r="AD53" i="4"/>
  <c r="AE53" i="4" s="1"/>
  <c r="BX53" i="4" s="1"/>
  <c r="AH53" i="4"/>
  <c r="AJ53" i="4" s="1"/>
  <c r="AD83" i="4"/>
  <c r="AE83" i="4" s="1"/>
  <c r="BX83" i="4" s="1"/>
  <c r="AH83" i="4"/>
  <c r="AD51" i="4"/>
  <c r="AE51" i="4" s="1"/>
  <c r="BX51" i="4" s="1"/>
  <c r="AH51" i="4"/>
  <c r="AJ51" i="4" s="1"/>
  <c r="AD77" i="4"/>
  <c r="AE77" i="4" s="1"/>
  <c r="BX77" i="4" s="1"/>
  <c r="AH77" i="4"/>
  <c r="AJ77" i="4" s="1"/>
  <c r="AD120" i="4"/>
  <c r="AE120" i="4" s="1"/>
  <c r="BX120" i="4" s="1"/>
  <c r="AH120" i="4"/>
  <c r="AD71" i="4"/>
  <c r="AE71" i="4" s="1"/>
  <c r="BX71" i="4" s="1"/>
  <c r="AH71" i="4"/>
  <c r="AJ71" i="4" s="1"/>
  <c r="AD85" i="4"/>
  <c r="AE85" i="4" s="1"/>
  <c r="BX85" i="4" s="1"/>
  <c r="AH85" i="4"/>
  <c r="AJ85" i="4" s="1"/>
  <c r="AD14" i="4"/>
  <c r="AE14" i="4" s="1"/>
  <c r="BX14" i="4" s="1"/>
  <c r="AH14" i="4"/>
  <c r="AJ14" i="4" s="1"/>
  <c r="AD98" i="4"/>
  <c r="AE98" i="4" s="1"/>
  <c r="BX98" i="4" s="1"/>
  <c r="AH98" i="4"/>
  <c r="AJ98" i="4" s="1"/>
  <c r="AD36" i="4"/>
  <c r="AE36" i="4" s="1"/>
  <c r="BX36" i="4" s="1"/>
  <c r="AH36" i="4"/>
  <c r="AJ36" i="4" s="1"/>
  <c r="AD63" i="4"/>
  <c r="AE63" i="4" s="1"/>
  <c r="BX63" i="4" s="1"/>
  <c r="AH63" i="4"/>
  <c r="AJ63" i="4" s="1"/>
  <c r="AD125" i="4"/>
  <c r="AE125" i="4" s="1"/>
  <c r="BX125" i="4" s="1"/>
  <c r="AH125" i="4"/>
  <c r="AJ125" i="4" s="1"/>
  <c r="AD11" i="4"/>
  <c r="AE11" i="4" s="1"/>
  <c r="BX11" i="4" s="1"/>
  <c r="AH11" i="4"/>
  <c r="AJ11" i="4" s="1"/>
  <c r="AX365" i="10"/>
  <c r="AN105" i="4"/>
  <c r="AS105" i="4" s="1"/>
  <c r="BI130" i="4"/>
  <c r="AN85" i="4"/>
  <c r="AS85" i="4" s="1"/>
  <c r="AQ155" i="4"/>
  <c r="AQ121" i="4"/>
  <c r="AR121" i="4" s="1"/>
  <c r="BI21" i="4"/>
  <c r="BI157" i="4"/>
  <c r="AB140" i="4"/>
  <c r="BU140" i="4" s="1"/>
  <c r="AN56" i="4"/>
  <c r="AS56" i="4" s="1"/>
  <c r="BI145" i="4"/>
  <c r="AQ9" i="4"/>
  <c r="AR9" i="4" s="1"/>
  <c r="AS9" i="4" s="1"/>
  <c r="AN66" i="4"/>
  <c r="AS66" i="4" s="1"/>
  <c r="BI54" i="4"/>
  <c r="AN35" i="4"/>
  <c r="AS35" i="4" s="1"/>
  <c r="BI152" i="4"/>
  <c r="AB39" i="4"/>
  <c r="BU39" i="4" s="1"/>
  <c r="BI19" i="4"/>
  <c r="AQ17" i="4"/>
  <c r="AR17" i="4" s="1"/>
  <c r="AQ50" i="4"/>
  <c r="AR50" i="4" s="1"/>
  <c r="AQ89" i="4"/>
  <c r="AR89" i="4" s="1"/>
  <c r="BI149" i="4"/>
  <c r="AN27" i="4"/>
  <c r="AN109" i="4"/>
  <c r="AB59" i="4"/>
  <c r="BU59" i="4" s="1"/>
  <c r="AN89" i="4"/>
  <c r="AN141" i="4"/>
  <c r="AQ94" i="4"/>
  <c r="AR94" i="4" s="1"/>
  <c r="BI49" i="4"/>
  <c r="BQ8" i="4"/>
  <c r="AX403" i="10"/>
  <c r="AX512" i="10"/>
  <c r="AN50" i="4"/>
  <c r="AN16" i="4"/>
  <c r="AN20" i="4"/>
  <c r="AS20" i="4" s="1"/>
  <c r="AQ93" i="4"/>
  <c r="AR93" i="4" s="1"/>
  <c r="BI41" i="4"/>
  <c r="BI37" i="4"/>
  <c r="BI59" i="4"/>
  <c r="AN12" i="4"/>
  <c r="AN13" i="4"/>
  <c r="AS13" i="4" s="1"/>
  <c r="AQ101" i="4"/>
  <c r="AR101" i="4" s="1"/>
  <c r="AS101" i="4" s="1"/>
  <c r="AQ62" i="4"/>
  <c r="AR62" i="4" s="1"/>
  <c r="AS62" i="4" s="1"/>
  <c r="AQ76" i="4"/>
  <c r="AR76" i="4" s="1"/>
  <c r="AN30" i="4"/>
  <c r="AN80" i="4"/>
  <c r="AN61" i="4"/>
  <c r="AN151" i="4"/>
  <c r="AQ141" i="4"/>
  <c r="AR141" i="4" s="1"/>
  <c r="AQ27" i="4"/>
  <c r="AR27" i="4" s="1"/>
  <c r="BI69" i="4"/>
  <c r="BI32" i="4"/>
  <c r="BI137" i="4"/>
  <c r="AQ109" i="4"/>
  <c r="AR109" i="4" s="1"/>
  <c r="AQ12" i="4"/>
  <c r="AR12" i="4" s="1"/>
  <c r="AQ16" i="4"/>
  <c r="AR16" i="4" s="1"/>
  <c r="AN17" i="4"/>
  <c r="AN76" i="4"/>
  <c r="AQ30" i="4"/>
  <c r="AR30" i="4" s="1"/>
  <c r="AQ80" i="4"/>
  <c r="AR80" i="4" s="1"/>
  <c r="AQ61" i="4"/>
  <c r="AR61" i="4" s="1"/>
  <c r="AQ151" i="4"/>
  <c r="AR151" i="4" s="1"/>
  <c r="AN93" i="4"/>
  <c r="AN39" i="4"/>
  <c r="AQ39" i="4"/>
  <c r="AR39" i="4" s="1"/>
  <c r="AN69" i="4"/>
  <c r="AQ69" i="4"/>
  <c r="AR69" i="4" s="1"/>
  <c r="AN75" i="4"/>
  <c r="AN88" i="4"/>
  <c r="AQ73" i="4"/>
  <c r="AR73" i="4" s="1"/>
  <c r="AN125" i="4"/>
  <c r="AS125" i="4" s="1"/>
  <c r="AN138" i="4"/>
  <c r="AS138" i="4" s="1"/>
  <c r="AN115" i="4"/>
  <c r="AS115" i="4" s="1"/>
  <c r="AQ57" i="4"/>
  <c r="AR57" i="4" s="1"/>
  <c r="AN111" i="4"/>
  <c r="AS111" i="4" s="1"/>
  <c r="AN11" i="4"/>
  <c r="AS11" i="4" s="1"/>
  <c r="AN94" i="4"/>
  <c r="AQ63" i="4"/>
  <c r="AR63" i="4" s="1"/>
  <c r="AN53" i="4"/>
  <c r="AN45" i="4"/>
  <c r="AS45" i="4" s="1"/>
  <c r="AN29" i="4"/>
  <c r="AN34" i="4"/>
  <c r="AQ70" i="4"/>
  <c r="AR70" i="4" s="1"/>
  <c r="AQ131" i="4"/>
  <c r="AQ139" i="4"/>
  <c r="AR139" i="4" s="1"/>
  <c r="AS139" i="4" s="1"/>
  <c r="AQ52" i="4"/>
  <c r="AR52" i="4" s="1"/>
  <c r="AN15" i="4"/>
  <c r="AN147" i="4"/>
  <c r="AS147" i="4" s="1"/>
  <c r="AQ88" i="4"/>
  <c r="AR88" i="4" s="1"/>
  <c r="AN129" i="4"/>
  <c r="AS129" i="4" s="1"/>
  <c r="AQ55" i="4"/>
  <c r="AR55" i="4" s="1"/>
  <c r="AS55" i="4" s="1"/>
  <c r="AN31" i="4"/>
  <c r="AQ51" i="4"/>
  <c r="AR51" i="4" s="1"/>
  <c r="AN58" i="4"/>
  <c r="AQ84" i="4"/>
  <c r="AR84" i="4" s="1"/>
  <c r="AS84" i="4" s="1"/>
  <c r="AQ144" i="4"/>
  <c r="AR144" i="4" s="1"/>
  <c r="AQ43" i="4"/>
  <c r="AR43" i="4" s="1"/>
  <c r="AN77" i="4"/>
  <c r="AS77" i="4" s="1"/>
  <c r="AN103" i="4"/>
  <c r="AN119" i="4"/>
  <c r="AN37" i="4"/>
  <c r="AS37" i="4" s="1"/>
  <c r="AN25" i="4"/>
  <c r="AQ38" i="4"/>
  <c r="AR38" i="4" s="1"/>
  <c r="AQ25" i="4"/>
  <c r="AR25" i="4" s="1"/>
  <c r="AN57" i="4"/>
  <c r="AN38" i="4"/>
  <c r="AQ31" i="4"/>
  <c r="AR31" i="4" s="1"/>
  <c r="AN51" i="4"/>
  <c r="AQ82" i="4"/>
  <c r="AR82" i="4" s="1"/>
  <c r="AN90" i="4"/>
  <c r="AN33" i="4"/>
  <c r="AS33" i="4" s="1"/>
  <c r="AQ135" i="4"/>
  <c r="AR135" i="4" s="1"/>
  <c r="AS135" i="4" s="1"/>
  <c r="AN127" i="4"/>
  <c r="AN67" i="4"/>
  <c r="AQ41" i="4"/>
  <c r="AR41" i="4" s="1"/>
  <c r="AQ59" i="4"/>
  <c r="AR59" i="4" s="1"/>
  <c r="AS59" i="4" s="1"/>
  <c r="AQ8" i="4"/>
  <c r="AR8" i="4" s="1"/>
  <c r="AQ23" i="4"/>
  <c r="AR23" i="4" s="1"/>
  <c r="AQ97" i="4"/>
  <c r="AR97" i="4" s="1"/>
  <c r="AN97" i="4"/>
  <c r="AN23" i="4"/>
  <c r="AQ67" i="4"/>
  <c r="AR67" i="4" s="1"/>
  <c r="AN43" i="4"/>
  <c r="AO116" i="4"/>
  <c r="AQ127" i="4"/>
  <c r="AQ58" i="4"/>
  <c r="AR58" i="4" s="1"/>
  <c r="AN144" i="4"/>
  <c r="AQ29" i="4"/>
  <c r="AR29" i="4" s="1"/>
  <c r="BI104" i="4"/>
  <c r="BI64" i="4"/>
  <c r="BI111" i="4"/>
  <c r="AB126" i="4"/>
  <c r="BU126" i="4" s="1"/>
  <c r="AO130" i="4"/>
  <c r="AN130" i="4" s="1"/>
  <c r="BI136" i="4"/>
  <c r="AN41" i="4"/>
  <c r="AB102" i="4"/>
  <c r="BU102" i="4" s="1"/>
  <c r="AB111" i="4"/>
  <c r="BU111" i="4" s="1"/>
  <c r="AQ119" i="4"/>
  <c r="AR119" i="4" s="1"/>
  <c r="AQ15" i="4"/>
  <c r="AR15" i="4" s="1"/>
  <c r="AN63" i="4"/>
  <c r="AN73" i="4"/>
  <c r="AQ53" i="4"/>
  <c r="AR53" i="4" s="1"/>
  <c r="BI26" i="4"/>
  <c r="AN8" i="4"/>
  <c r="BI123" i="4"/>
  <c r="AO110" i="4"/>
  <c r="AB122" i="4"/>
  <c r="BU122" i="4" s="1"/>
  <c r="AO21" i="4"/>
  <c r="AN70" i="4"/>
  <c r="AQ103" i="4"/>
  <c r="AR103" i="4" s="1"/>
  <c r="AQ34" i="4"/>
  <c r="AR34" i="4" s="1"/>
  <c r="AO137" i="4"/>
  <c r="AO19" i="4"/>
  <c r="AN19" i="4" s="1"/>
  <c r="AO156" i="4"/>
  <c r="AO148" i="4"/>
  <c r="AQ148" i="4" s="1"/>
  <c r="AR148" i="4" s="1"/>
  <c r="BI97" i="4"/>
  <c r="BI126" i="4"/>
  <c r="BI142" i="4"/>
  <c r="AO113" i="4"/>
  <c r="AN131" i="4"/>
  <c r="AO146" i="4"/>
  <c r="AO136" i="4"/>
  <c r="AQ136" i="4" s="1"/>
  <c r="AR136" i="4" s="1"/>
  <c r="AO24" i="4"/>
  <c r="AO143" i="4"/>
  <c r="AO117" i="4"/>
  <c r="AQ117" i="4" s="1"/>
  <c r="AR117" i="4" s="1"/>
  <c r="AO124" i="4"/>
  <c r="AO145" i="4"/>
  <c r="AO108" i="4"/>
  <c r="BI90" i="4"/>
  <c r="BI91" i="4"/>
  <c r="BI150" i="4"/>
  <c r="BI122" i="4"/>
  <c r="AO142" i="4"/>
  <c r="AO54" i="4"/>
  <c r="AO49" i="4"/>
  <c r="AN49" i="4" s="1"/>
  <c r="AO65" i="4"/>
  <c r="AO149" i="4"/>
  <c r="AO81" i="4"/>
  <c r="AQ81" i="4" s="1"/>
  <c r="AR81" i="4" s="1"/>
  <c r="AO123" i="4"/>
  <c r="AO140" i="4"/>
  <c r="BI140" i="4"/>
  <c r="AB94" i="4"/>
  <c r="BU94" i="4" s="1"/>
  <c r="AQ90" i="4"/>
  <c r="AR90" i="4" s="1"/>
  <c r="AN52" i="4"/>
  <c r="AX471" i="10"/>
  <c r="BI156" i="4"/>
  <c r="BI48" i="4"/>
  <c r="BI148" i="4"/>
  <c r="AQ75" i="4"/>
  <c r="AR75" i="4" s="1"/>
  <c r="BI143" i="4"/>
  <c r="BI117" i="4"/>
  <c r="BI82" i="4"/>
  <c r="BI124" i="4"/>
  <c r="AN82" i="4"/>
  <c r="AS83" i="4"/>
  <c r="AS99" i="4"/>
  <c r="AS40" i="4"/>
  <c r="AS87" i="4"/>
  <c r="AS98" i="4"/>
  <c r="AS86" i="4"/>
  <c r="AS68" i="4"/>
  <c r="AS10" i="4"/>
  <c r="AS14" i="4"/>
  <c r="AS120" i="4"/>
  <c r="AS28" i="4"/>
  <c r="AS71" i="4"/>
  <c r="AS95" i="4"/>
  <c r="AS78" i="4"/>
  <c r="AS36" i="4"/>
  <c r="AS74" i="4"/>
  <c r="AS22" i="4"/>
  <c r="AS60" i="4"/>
  <c r="AS18" i="4"/>
  <c r="AQ32" i="4"/>
  <c r="AR32" i="4" s="1"/>
  <c r="AN32" i="4"/>
  <c r="AQ112" i="4"/>
  <c r="AR112" i="4" s="1"/>
  <c r="AN112" i="4"/>
  <c r="AN26" i="4"/>
  <c r="AQ26" i="4"/>
  <c r="AR26" i="4" s="1"/>
  <c r="AQ134" i="4"/>
  <c r="AR134" i="4" s="1"/>
  <c r="AN134" i="4"/>
  <c r="AQ114" i="4"/>
  <c r="AR114" i="4" s="1"/>
  <c r="AN114" i="4"/>
  <c r="AQ44" i="4"/>
  <c r="AR44" i="4" s="1"/>
  <c r="AN44" i="4"/>
  <c r="AN96" i="4"/>
  <c r="AQ96" i="4"/>
  <c r="AR96" i="4" s="1"/>
  <c r="AQ132" i="4"/>
  <c r="AR132" i="4" s="1"/>
  <c r="AN132" i="4"/>
  <c r="AQ128" i="4"/>
  <c r="AR128" i="4" s="1"/>
  <c r="AN128" i="4"/>
  <c r="AN64" i="4"/>
  <c r="AQ64" i="4"/>
  <c r="AR64" i="4" s="1"/>
  <c r="AO47" i="4"/>
  <c r="AQ92" i="4"/>
  <c r="AR92" i="4" s="1"/>
  <c r="AN92" i="4"/>
  <c r="AO118" i="4"/>
  <c r="AQ79" i="4"/>
  <c r="AR79" i="4" s="1"/>
  <c r="AN79" i="4"/>
  <c r="AN106" i="4"/>
  <c r="AQ106" i="4"/>
  <c r="AR106" i="4" s="1"/>
  <c r="AO104" i="4"/>
  <c r="AO46" i="4"/>
  <c r="AN100" i="4"/>
  <c r="AQ100" i="4"/>
  <c r="AR100" i="4" s="1"/>
  <c r="AQ48" i="4"/>
  <c r="AR48" i="4" s="1"/>
  <c r="AN48" i="4"/>
  <c r="AB82" i="4"/>
  <c r="BU82" i="4" s="1"/>
  <c r="AB48" i="4"/>
  <c r="BU48" i="4" s="1"/>
  <c r="AB143" i="4"/>
  <c r="BU143" i="4" s="1"/>
  <c r="AB157" i="4"/>
  <c r="BU157" i="4" s="1"/>
  <c r="AB124" i="4"/>
  <c r="BU124" i="4" s="1"/>
  <c r="AB156" i="4"/>
  <c r="BU156" i="4" s="1"/>
  <c r="AB117" i="4"/>
  <c r="BU117" i="4" s="1"/>
  <c r="AB148" i="4"/>
  <c r="BU148" i="4" s="1"/>
  <c r="AX444" i="10"/>
  <c r="AB46" i="4"/>
  <c r="BU46" i="4" s="1"/>
  <c r="AB49" i="4"/>
  <c r="BU49" i="4" s="1"/>
  <c r="AB54" i="4"/>
  <c r="BU54" i="4" s="1"/>
  <c r="AB19" i="4"/>
  <c r="BU19" i="4" s="1"/>
  <c r="AB104" i="4"/>
  <c r="BU104" i="4" s="1"/>
  <c r="AB106" i="4"/>
  <c r="BU106" i="4" s="1"/>
  <c r="AB110" i="4"/>
  <c r="BU110" i="4" s="1"/>
  <c r="AB79" i="4"/>
  <c r="BU79" i="4" s="1"/>
  <c r="AB26" i="4"/>
  <c r="BU26" i="4" s="1"/>
  <c r="AB21" i="4"/>
  <c r="BU21" i="4" s="1"/>
  <c r="AB113" i="4"/>
  <c r="BU113" i="4" s="1"/>
  <c r="AB32" i="4"/>
  <c r="BU32" i="4" s="1"/>
  <c r="AB149" i="4"/>
  <c r="BU149" i="4" s="1"/>
  <c r="AB146" i="4"/>
  <c r="BU146" i="4" s="1"/>
  <c r="AB136" i="4"/>
  <c r="BU136" i="4" s="1"/>
  <c r="AB65" i="4"/>
  <c r="BU65" i="4" s="1"/>
  <c r="AB118" i="4"/>
  <c r="BU118" i="4" s="1"/>
  <c r="AB64" i="4"/>
  <c r="BU64" i="4" s="1"/>
  <c r="AB81" i="4"/>
  <c r="BU81" i="4" s="1"/>
  <c r="AB47" i="4"/>
  <c r="BU47" i="4" s="1"/>
  <c r="AB24" i="4"/>
  <c r="BU24" i="4" s="1"/>
  <c r="AB137" i="4"/>
  <c r="BU137" i="4" s="1"/>
  <c r="AX432" i="10"/>
  <c r="AX51" i="10"/>
  <c r="AW300" i="10"/>
  <c r="AD34" i="4"/>
  <c r="AW490" i="10"/>
  <c r="AX72" i="10"/>
  <c r="AW132" i="10"/>
  <c r="AW346" i="10"/>
  <c r="AX378" i="10"/>
  <c r="AW353" i="10"/>
  <c r="AX215" i="10"/>
  <c r="AX202" i="10"/>
  <c r="AD10" i="4"/>
  <c r="AX43" i="10"/>
  <c r="AX141" i="10"/>
  <c r="AX464" i="10"/>
  <c r="AW556" i="10"/>
  <c r="AW315" i="10"/>
  <c r="AD17" i="4"/>
  <c r="AW332" i="10"/>
  <c r="AW350" i="10"/>
  <c r="AW458" i="10"/>
  <c r="AW203" i="10"/>
  <c r="AW441" i="10"/>
  <c r="AX272" i="10"/>
  <c r="AX411" i="10"/>
  <c r="AX119" i="10"/>
  <c r="AX145" i="10"/>
  <c r="AX116" i="10"/>
  <c r="AW382" i="10"/>
  <c r="AW50" i="10"/>
  <c r="AW290" i="10"/>
  <c r="AX104" i="10"/>
  <c r="AX320" i="10"/>
  <c r="AX522" i="10"/>
  <c r="AW336" i="10"/>
  <c r="AX143" i="10"/>
  <c r="AX97" i="10"/>
  <c r="AX73" i="10"/>
  <c r="AW88" i="10"/>
  <c r="AX485" i="10"/>
  <c r="AX341" i="10"/>
  <c r="AW419" i="10"/>
  <c r="AX27" i="10"/>
  <c r="AW266" i="10"/>
  <c r="AW197" i="10"/>
  <c r="AW105" i="10"/>
  <c r="AX425" i="10"/>
  <c r="AX156" i="10"/>
  <c r="AX243" i="10"/>
  <c r="AW150" i="10"/>
  <c r="AX362" i="10"/>
  <c r="AX406" i="10"/>
  <c r="AX544" i="10"/>
  <c r="AX271" i="10"/>
  <c r="AW64" i="10"/>
  <c r="AX530" i="10"/>
  <c r="AW167" i="10"/>
  <c r="AD95" i="4"/>
  <c r="AD105" i="4"/>
  <c r="AD109" i="4"/>
  <c r="AD91" i="4"/>
  <c r="AD99" i="4"/>
  <c r="AD87" i="4"/>
  <c r="AD130" i="4"/>
  <c r="AD116" i="4"/>
  <c r="AD135" i="4"/>
  <c r="AD89" i="4"/>
  <c r="AW466" i="10"/>
  <c r="AX329" i="10"/>
  <c r="AX288" i="10"/>
  <c r="AX222" i="10"/>
  <c r="AX497" i="10"/>
  <c r="AX331" i="10"/>
  <c r="AX130" i="10"/>
  <c r="AW533" i="10"/>
  <c r="AX468" i="10"/>
  <c r="AX475" i="10"/>
  <c r="AW178" i="10"/>
  <c r="AX165" i="10"/>
  <c r="AW166" i="10"/>
  <c r="AW205" i="10"/>
  <c r="AW538" i="10"/>
  <c r="AW540" i="10"/>
  <c r="AW415" i="10"/>
  <c r="AX293" i="10"/>
  <c r="AW319" i="10"/>
  <c r="AW176" i="10"/>
  <c r="AX369" i="10"/>
  <c r="AW248" i="10"/>
  <c r="AX351" i="10"/>
  <c r="AW433" i="10"/>
  <c r="AW93" i="10"/>
  <c r="AX221" i="10"/>
  <c r="AW342" i="10"/>
  <c r="AW151" i="10"/>
  <c r="AX499" i="10"/>
  <c r="AW63" i="10"/>
  <c r="AX558" i="10"/>
  <c r="AX89" i="10"/>
  <c r="AW377" i="10"/>
  <c r="AW284" i="10"/>
  <c r="AW515" i="10"/>
  <c r="AW84" i="10"/>
  <c r="AW75" i="10"/>
  <c r="AX296" i="10"/>
  <c r="AX118" i="10"/>
  <c r="AW501" i="10"/>
  <c r="AW318" i="10"/>
  <c r="AX455" i="10"/>
  <c r="AX453" i="10"/>
  <c r="AX58" i="10"/>
  <c r="AX354" i="10"/>
  <c r="AW507" i="10"/>
  <c r="AX209" i="10"/>
  <c r="AW68" i="10"/>
  <c r="AW38" i="10"/>
  <c r="AX330" i="10"/>
  <c r="AW557" i="10"/>
  <c r="AX8" i="10"/>
  <c r="AX240" i="10"/>
  <c r="AX502" i="10"/>
  <c r="AW463" i="10"/>
  <c r="AX388" i="10"/>
  <c r="AW491" i="10"/>
  <c r="AW139" i="10"/>
  <c r="AW244" i="10"/>
  <c r="AX48" i="10"/>
  <c r="AX393" i="10"/>
  <c r="AW500" i="10"/>
  <c r="AX188" i="10"/>
  <c r="AW263" i="10"/>
  <c r="AW373" i="10"/>
  <c r="AW356" i="10"/>
  <c r="AW539" i="10"/>
  <c r="AX218" i="10"/>
  <c r="AW36" i="10"/>
  <c r="AX182" i="10"/>
  <c r="AW110" i="10"/>
  <c r="AW302" i="10"/>
  <c r="AX44" i="10"/>
  <c r="AX102" i="10"/>
  <c r="AX59" i="10"/>
  <c r="AW536" i="10"/>
  <c r="AX314" i="10"/>
  <c r="AX235" i="10"/>
  <c r="AX323" i="10"/>
  <c r="AX291" i="10"/>
  <c r="AW492" i="10"/>
  <c r="AW265" i="10"/>
  <c r="AW422" i="10"/>
  <c r="AW126" i="10"/>
  <c r="AW228" i="10"/>
  <c r="AX121" i="10"/>
  <c r="AX435" i="10"/>
  <c r="AX462" i="10"/>
  <c r="AX338" i="10"/>
  <c r="AX281" i="10"/>
  <c r="AX446" i="10"/>
  <c r="AX473" i="10"/>
  <c r="AW220" i="10"/>
  <c r="AX394" i="10"/>
  <c r="AW212" i="10"/>
  <c r="AW451" i="10"/>
  <c r="AW133" i="10"/>
  <c r="AW412" i="10"/>
  <c r="AX328" i="10"/>
  <c r="AW357" i="10"/>
  <c r="AX454" i="10"/>
  <c r="AW85" i="10"/>
  <c r="AX560" i="10"/>
  <c r="AW33" i="10"/>
  <c r="AX486" i="10"/>
  <c r="AX457" i="10"/>
  <c r="AX325" i="10"/>
  <c r="AW261" i="10"/>
  <c r="AW477" i="10"/>
  <c r="AW363" i="10"/>
  <c r="AX148" i="10"/>
  <c r="AW410" i="10"/>
  <c r="AW225" i="10"/>
  <c r="AW389" i="10"/>
  <c r="AX335" i="10"/>
  <c r="AW434" i="10"/>
  <c r="AW489" i="10"/>
  <c r="AW372" i="10"/>
  <c r="AX381" i="10"/>
  <c r="AW301" i="10"/>
  <c r="AX361" i="10"/>
  <c r="AW181" i="10"/>
  <c r="AX67" i="10"/>
  <c r="AW227" i="10"/>
  <c r="AX138" i="10"/>
  <c r="AX308" i="10"/>
  <c r="AX195" i="10"/>
  <c r="AW459" i="10"/>
  <c r="AW340" i="10"/>
  <c r="AX413" i="10"/>
  <c r="AX86" i="10"/>
  <c r="AX487" i="10"/>
  <c r="AW47" i="10"/>
  <c r="AW292" i="10"/>
  <c r="AX481" i="10"/>
  <c r="AX171" i="10"/>
  <c r="AW405" i="10"/>
  <c r="AW304" i="10"/>
  <c r="AW61" i="10"/>
  <c r="AX275" i="10"/>
  <c r="AX71" i="10"/>
  <c r="AW286" i="10"/>
  <c r="AW360" i="10"/>
  <c r="AW80" i="10"/>
  <c r="AX474" i="10"/>
  <c r="AW509" i="10"/>
  <c r="AX186" i="10"/>
  <c r="AW103" i="10"/>
  <c r="AX276" i="10"/>
  <c r="AW289" i="10"/>
  <c r="AX495" i="10"/>
  <c r="AX29" i="10"/>
  <c r="AX106" i="10"/>
  <c r="AW91" i="10"/>
  <c r="AX217" i="10"/>
  <c r="AX334" i="10"/>
  <c r="AW313" i="10"/>
  <c r="AX253" i="10"/>
  <c r="AX128" i="10"/>
  <c r="AX269" i="10"/>
  <c r="AX144" i="10"/>
  <c r="AW7" i="10"/>
  <c r="AX513" i="10"/>
  <c r="AW163" i="10"/>
  <c r="AW123" i="10"/>
  <c r="AX414" i="10"/>
  <c r="AW226" i="10"/>
  <c r="AX452" i="10"/>
  <c r="AX208" i="10"/>
  <c r="AX545" i="10"/>
  <c r="AX83" i="10"/>
  <c r="AW179" i="10"/>
  <c r="AW90" i="10"/>
  <c r="AX436" i="10"/>
  <c r="AW483" i="10"/>
  <c r="AW439" i="10"/>
  <c r="AX112" i="10"/>
  <c r="AW294" i="10"/>
  <c r="AW298" i="10"/>
  <c r="AW555" i="10"/>
  <c r="AX268" i="10"/>
  <c r="AW316" i="10"/>
  <c r="AX258" i="10"/>
  <c r="AX159" i="10"/>
  <c r="AX241" i="10"/>
  <c r="AX26" i="10"/>
  <c r="AX101" i="10"/>
  <c r="AX494" i="10"/>
  <c r="AW327" i="10"/>
  <c r="AW559" i="10"/>
  <c r="AW19" i="10"/>
  <c r="AX255" i="10"/>
  <c r="AW528" i="10"/>
  <c r="AW521" i="10"/>
  <c r="AX299" i="10"/>
  <c r="AW396" i="10"/>
  <c r="AW82" i="10"/>
  <c r="AW324" i="10"/>
  <c r="AW214" i="10"/>
  <c r="AX193" i="10"/>
  <c r="AW254" i="10"/>
  <c r="AW24" i="10"/>
  <c r="AW21" i="10"/>
  <c r="AX236" i="10"/>
  <c r="AW191" i="10"/>
  <c r="AW57" i="10"/>
  <c r="AX246" i="10"/>
  <c r="AX345" i="10"/>
  <c r="AW32" i="10"/>
  <c r="AW438" i="10"/>
  <c r="AW546" i="10"/>
  <c r="AW109" i="10"/>
  <c r="AW450" i="10"/>
  <c r="AT374" i="5"/>
  <c r="AW136" i="10"/>
  <c r="AX135" i="10"/>
  <c r="AW359" i="10"/>
  <c r="AX42" i="10"/>
  <c r="AX423" i="10"/>
  <c r="AW196" i="10"/>
  <c r="AW525" i="10"/>
  <c r="AX409" i="10"/>
  <c r="AX431" i="10"/>
  <c r="AW392" i="10"/>
  <c r="AX120" i="10"/>
  <c r="AX161" i="10"/>
  <c r="AW404" i="10"/>
  <c r="AW184" i="10"/>
  <c r="AX155" i="10"/>
  <c r="AW199" i="10"/>
  <c r="AW213" i="10"/>
  <c r="AX70" i="10"/>
  <c r="AW183" i="10"/>
  <c r="AW147" i="10"/>
  <c r="AT363" i="5"/>
  <c r="AW375" i="10"/>
  <c r="AW508" i="10"/>
  <c r="AX234" i="10"/>
  <c r="AX352" i="10"/>
  <c r="AW496" i="10"/>
  <c r="AX407" i="10"/>
  <c r="AX158" i="10"/>
  <c r="AW256" i="10"/>
  <c r="AW339" i="10"/>
  <c r="AX96" i="10"/>
  <c r="AX9" i="10"/>
  <c r="AW424" i="10"/>
  <c r="AW397" i="10"/>
  <c r="AX461" i="10"/>
  <c r="AW187" i="10"/>
  <c r="AW238" i="10"/>
  <c r="AX210" i="10"/>
  <c r="AX31" i="10"/>
  <c r="AX524" i="10"/>
  <c r="AW239" i="10"/>
  <c r="AW223" i="10"/>
  <c r="AW216" i="10"/>
  <c r="AW549" i="10"/>
  <c r="AW190" i="10"/>
  <c r="AW519" i="10"/>
  <c r="AX379" i="10"/>
  <c r="AW81" i="10"/>
  <c r="AW523" i="10"/>
  <c r="AW554" i="10"/>
  <c r="AW470" i="10"/>
  <c r="AW201" i="10"/>
  <c r="AX479" i="10"/>
  <c r="AW146" i="10"/>
  <c r="AW260" i="10"/>
  <c r="AW114" i="10"/>
  <c r="AX154" i="10"/>
  <c r="AX349" i="10"/>
  <c r="AW311" i="10"/>
  <c r="AU329" i="5"/>
  <c r="AW140" i="10"/>
  <c r="AX60" i="10"/>
  <c r="AW270" i="10"/>
  <c r="AV11" i="10"/>
  <c r="AW11" i="10" s="1"/>
  <c r="AX74" i="10"/>
  <c r="AW460" i="10"/>
  <c r="AX49" i="10"/>
  <c r="AX287" i="10"/>
  <c r="AX149" i="10"/>
  <c r="AX504" i="10"/>
  <c r="AX347" i="10"/>
  <c r="AW447" i="10"/>
  <c r="AX252" i="10"/>
  <c r="AW429" i="10"/>
  <c r="AW467" i="10"/>
  <c r="AW40" i="10"/>
  <c r="AW232" i="10"/>
  <c r="AX511" i="10"/>
  <c r="AW400" i="10"/>
  <c r="AW518" i="10"/>
  <c r="AD11" i="10"/>
  <c r="AX267" i="10"/>
  <c r="AW23" i="10"/>
  <c r="AU540" i="5"/>
  <c r="AX505" i="10"/>
  <c r="AW237" i="10"/>
  <c r="AU470" i="5"/>
  <c r="AX344" i="10"/>
  <c r="AW264" i="10"/>
  <c r="AT11" i="10"/>
  <c r="AU11" i="10"/>
  <c r="AU481" i="5"/>
  <c r="AU440" i="5"/>
  <c r="AT52" i="5"/>
  <c r="AT274" i="5"/>
  <c r="AT22" i="5"/>
  <c r="AU115" i="5"/>
  <c r="AU19" i="5"/>
  <c r="AT205" i="5"/>
  <c r="AT288" i="5"/>
  <c r="AT229" i="5"/>
  <c r="AT204" i="5"/>
  <c r="AT42" i="5"/>
  <c r="AT306" i="5"/>
  <c r="AT65" i="5"/>
  <c r="AU30" i="5"/>
  <c r="AU287" i="5"/>
  <c r="AU397" i="5"/>
  <c r="AU519" i="5"/>
  <c r="AT193" i="5"/>
  <c r="AU515" i="5"/>
  <c r="AT400" i="5"/>
  <c r="AT203" i="5"/>
  <c r="AT194" i="5"/>
  <c r="AU525" i="5"/>
  <c r="AU95" i="5"/>
  <c r="AT411" i="5"/>
  <c r="AT240" i="5"/>
  <c r="AU138" i="5"/>
  <c r="AU266" i="5"/>
  <c r="AU189" i="5"/>
  <c r="AQ11" i="5"/>
  <c r="AT89" i="5"/>
  <c r="AT549" i="5"/>
  <c r="AU437" i="5"/>
  <c r="AU347" i="5"/>
  <c r="AU73" i="5"/>
  <c r="AU83" i="5"/>
  <c r="AT522" i="5"/>
  <c r="AU483" i="5"/>
  <c r="AU351" i="5"/>
  <c r="AU342" i="5"/>
  <c r="AU346" i="5"/>
  <c r="AT107" i="5"/>
  <c r="AU492" i="5"/>
  <c r="AU403" i="5"/>
  <c r="AT394" i="5"/>
  <c r="AU530" i="5"/>
  <c r="AT388" i="5"/>
  <c r="AT190" i="5"/>
  <c r="AT482" i="5"/>
  <c r="AU90" i="5"/>
  <c r="AU154" i="5"/>
  <c r="AT257" i="5"/>
  <c r="AT196" i="5"/>
  <c r="AU94" i="5"/>
  <c r="AU156" i="5"/>
  <c r="AU423" i="5"/>
  <c r="AU176" i="5"/>
  <c r="AU503" i="5"/>
  <c r="AT292" i="5"/>
  <c r="AU410" i="5"/>
  <c r="AU421" i="5"/>
  <c r="AU170" i="5"/>
  <c r="AT435" i="5"/>
  <c r="AU39" i="5"/>
  <c r="AU47" i="5"/>
  <c r="AU296" i="5"/>
  <c r="AU420" i="5"/>
  <c r="AT354" i="5"/>
  <c r="AU355" i="5"/>
  <c r="AU536" i="5"/>
  <c r="AU326" i="5"/>
  <c r="AT383" i="5"/>
  <c r="AU545" i="5"/>
  <c r="AT75" i="5"/>
  <c r="AT239" i="5"/>
  <c r="AT246" i="5"/>
  <c r="AU532" i="5"/>
  <c r="AU114" i="5"/>
  <c r="AT273" i="5"/>
  <c r="AT97" i="5"/>
  <c r="AT452" i="5"/>
  <c r="AT544" i="5"/>
  <c r="AT86" i="5"/>
  <c r="AU444" i="5"/>
  <c r="AU166" i="5"/>
  <c r="AU407" i="5"/>
  <c r="AT67" i="5"/>
  <c r="AU68" i="5"/>
  <c r="AU79" i="5"/>
  <c r="AT429" i="5"/>
  <c r="AT212" i="5"/>
  <c r="AU127" i="5"/>
  <c r="AT191" i="5"/>
  <c r="AU370" i="5"/>
  <c r="AU335" i="5"/>
  <c r="AU518" i="5"/>
  <c r="AU334" i="5"/>
  <c r="AT371" i="5"/>
  <c r="AU244" i="5"/>
  <c r="AT111" i="5"/>
  <c r="AU496" i="5"/>
  <c r="AU226" i="5"/>
  <c r="AT210" i="5"/>
  <c r="AT546" i="5"/>
  <c r="AU271" i="5"/>
  <c r="AU235" i="5"/>
  <c r="AT293" i="5"/>
  <c r="AU259" i="5"/>
  <c r="AT268" i="5"/>
  <c r="AT380" i="5"/>
  <c r="AT547" i="5"/>
  <c r="AU199" i="5"/>
  <c r="AU284" i="5"/>
  <c r="AU533" i="5"/>
  <c r="AU336" i="5"/>
  <c r="AU300" i="5"/>
  <c r="AT514" i="5"/>
  <c r="AU348" i="5"/>
  <c r="AU426" i="5"/>
  <c r="AT472" i="5"/>
  <c r="AU500" i="5"/>
  <c r="AU172" i="5"/>
  <c r="AU324" i="5"/>
  <c r="AU102" i="5"/>
  <c r="AT552" i="5"/>
  <c r="AU250" i="5"/>
  <c r="AT542" i="5"/>
  <c r="AT149" i="5"/>
  <c r="AU278" i="5"/>
  <c r="AU463" i="5"/>
  <c r="AT378" i="5"/>
  <c r="AU368" i="5"/>
  <c r="AU143" i="5"/>
  <c r="AU432" i="5"/>
  <c r="AU35" i="5"/>
  <c r="AT417" i="5"/>
  <c r="AT367" i="5"/>
  <c r="AU313" i="5"/>
  <c r="AU285" i="5"/>
  <c r="AT26" i="5"/>
  <c r="AU262" i="5"/>
  <c r="AU459" i="5"/>
  <c r="AT464" i="5"/>
  <c r="AT379" i="5"/>
  <c r="AU330" i="5"/>
  <c r="AT416" i="5"/>
  <c r="AT318" i="5"/>
  <c r="AT486" i="5"/>
  <c r="AU198" i="5"/>
  <c r="AT460" i="5"/>
  <c r="AT381" i="5"/>
  <c r="AU53" i="5"/>
  <c r="AT219" i="5"/>
  <c r="AT175" i="5"/>
  <c r="AT123" i="5"/>
  <c r="AU535" i="5"/>
  <c r="AT303" i="5"/>
  <c r="AU230" i="5"/>
  <c r="AU165" i="5"/>
  <c r="AU414" i="5"/>
  <c r="AU133" i="5"/>
  <c r="AT382" i="5"/>
  <c r="AU391" i="5"/>
  <c r="AU441" i="5"/>
  <c r="AT369" i="5"/>
  <c r="AU477" i="5"/>
  <c r="AT455" i="5"/>
  <c r="AU456" i="5"/>
  <c r="AU221" i="5"/>
  <c r="AT356" i="5"/>
  <c r="AT521" i="5"/>
  <c r="AD11" i="5"/>
  <c r="AU242" i="5"/>
  <c r="AT106" i="5"/>
  <c r="AT325" i="5"/>
  <c r="AT405" i="5"/>
  <c r="AS11" i="5"/>
  <c r="AT11" i="5" s="1"/>
  <c r="AU153" i="5"/>
  <c r="AT443" i="5"/>
  <c r="AT419" i="5"/>
  <c r="AU99" i="5"/>
  <c r="AT560" i="5"/>
  <c r="AU263" i="5"/>
  <c r="AU180" i="5"/>
  <c r="AU270" i="5"/>
  <c r="AU436" i="5"/>
  <c r="AT554" i="5"/>
  <c r="AT449" i="5"/>
  <c r="AT474" i="5"/>
  <c r="AU387" i="5"/>
  <c r="AU120" i="5"/>
  <c r="AU23" i="5"/>
  <c r="AT29" i="5"/>
  <c r="AT236" i="5"/>
  <c r="AT129" i="5"/>
  <c r="AT333" i="5"/>
  <c r="AT255" i="5"/>
  <c r="AU314" i="5"/>
  <c r="AU415" i="5"/>
  <c r="AU228" i="5"/>
  <c r="AT87" i="5"/>
  <c r="AU92" i="5"/>
  <c r="AT76" i="5"/>
  <c r="AU331" i="5"/>
  <c r="AT431" i="5"/>
  <c r="AU302" i="5"/>
  <c r="AU507" i="5"/>
  <c r="AU439" i="5"/>
  <c r="AT264" i="5"/>
  <c r="AU349" i="5"/>
  <c r="AU385" i="5"/>
  <c r="AU254" i="5"/>
  <c r="AT261" i="5"/>
  <c r="AU491" i="5"/>
  <c r="AU168" i="5"/>
  <c r="AU211" i="5"/>
  <c r="AU31" i="5"/>
  <c r="AT131" i="5"/>
  <c r="AT272" i="5"/>
  <c r="AT243" i="5"/>
  <c r="AT155" i="5"/>
  <c r="AT40" i="5"/>
  <c r="AT41" i="5"/>
  <c r="AT485" i="5"/>
  <c r="AU12" i="5"/>
  <c r="AU340" i="5"/>
  <c r="AT310" i="5"/>
  <c r="AU24" i="5"/>
  <c r="AT101" i="5"/>
  <c r="AT28" i="5"/>
  <c r="AU209" i="5"/>
  <c r="AT428" i="5"/>
  <c r="AU91" i="5"/>
  <c r="AU103" i="5"/>
  <c r="AU469" i="5"/>
  <c r="AT524" i="5"/>
  <c r="AU38" i="5"/>
  <c r="AU345" i="5"/>
  <c r="AU225" i="5"/>
  <c r="AU93" i="5"/>
  <c r="AT161" i="5"/>
  <c r="AU490" i="5"/>
  <c r="AU50" i="5"/>
  <c r="AU531" i="5"/>
  <c r="AU321" i="5"/>
  <c r="AU222" i="5"/>
  <c r="AU233" i="5"/>
  <c r="AU159" i="5"/>
  <c r="AT85" i="5"/>
  <c r="AT25" i="5"/>
  <c r="AU307" i="5"/>
  <c r="AU511" i="5"/>
  <c r="AT220" i="5"/>
  <c r="AU396" i="5"/>
  <c r="AU516" i="5"/>
  <c r="AT298" i="5"/>
  <c r="AU224" i="5"/>
  <c r="AU139" i="5"/>
  <c r="AT390" i="5"/>
  <c r="AT361" i="5"/>
  <c r="AU237" i="5"/>
  <c r="AU377" i="5"/>
  <c r="AT494" i="5"/>
  <c r="AT438" i="5"/>
  <c r="AU328" i="5"/>
  <c r="AT185" i="5"/>
  <c r="AU320" i="5"/>
  <c r="AT473" i="5"/>
  <c r="AU10" i="5"/>
  <c r="AT427" i="5"/>
  <c r="AU269" i="5"/>
  <c r="AT312" i="5"/>
  <c r="AT167" i="5"/>
  <c r="AU358" i="5"/>
  <c r="AU558" i="5"/>
  <c r="AT119" i="5"/>
  <c r="AT48" i="5"/>
  <c r="AT359" i="5"/>
  <c r="AT163" i="5"/>
  <c r="AU140" i="5"/>
  <c r="AU304" i="5"/>
  <c r="AU208" i="5"/>
  <c r="AU551" i="5"/>
  <c r="AU488" i="5"/>
  <c r="AU425" i="5"/>
  <c r="AT478" i="5"/>
  <c r="AU135" i="5"/>
  <c r="AU132" i="5"/>
  <c r="AT282" i="5"/>
  <c r="AU406" i="5"/>
  <c r="AU402" i="5"/>
  <c r="AU457" i="5"/>
  <c r="AU555" i="5"/>
  <c r="AU276" i="5"/>
  <c r="AU343" i="5"/>
  <c r="AT195" i="5"/>
  <c r="AT82" i="5"/>
  <c r="AT295" i="5"/>
  <c r="AT327" i="5"/>
  <c r="AU401" i="5"/>
  <c r="AU294" i="5"/>
  <c r="AT130" i="5"/>
  <c r="AU505" i="5"/>
  <c r="AU158" i="5"/>
  <c r="AT20" i="5"/>
  <c r="AU559" i="5"/>
  <c r="AU291" i="5"/>
  <c r="AT376" i="5"/>
  <c r="AT56" i="5"/>
  <c r="AU55" i="5"/>
  <c r="AT537" i="5"/>
  <c r="AU164" i="5"/>
  <c r="AT9" i="5"/>
  <c r="AU197" i="5"/>
  <c r="AT409" i="5"/>
  <c r="AD56" i="4"/>
  <c r="AD55" i="4"/>
  <c r="AD57" i="4"/>
  <c r="AD58" i="4"/>
  <c r="AD33" i="4"/>
  <c r="AD29" i="4"/>
  <c r="AD25" i="4"/>
  <c r="AD45" i="4"/>
  <c r="AD31" i="4"/>
  <c r="AD41" i="4"/>
  <c r="AD37" i="4"/>
  <c r="AJ7" i="4"/>
  <c r="BY7" i="4" s="1"/>
  <c r="F88" i="1"/>
  <c r="AQ157" i="4" l="1"/>
  <c r="AR157" i="4" s="1"/>
  <c r="AS157" i="4" s="1"/>
  <c r="AQ133" i="4"/>
  <c r="AR133" i="4" s="1"/>
  <c r="AQ126" i="4"/>
  <c r="AR126" i="4" s="1"/>
  <c r="AS126" i="4" s="1"/>
  <c r="AN150" i="4"/>
  <c r="AS150" i="4" s="1"/>
  <c r="AQ152" i="4"/>
  <c r="AR152" i="4" s="1"/>
  <c r="AS152" i="4" s="1"/>
  <c r="AR131" i="4"/>
  <c r="AS131" i="4" s="1"/>
  <c r="AR127" i="4"/>
  <c r="AS127" i="4" s="1"/>
  <c r="AN122" i="4"/>
  <c r="AS122" i="4" s="1"/>
  <c r="AN154" i="4"/>
  <c r="AS154" i="4" s="1"/>
  <c r="AR155" i="4"/>
  <c r="AS155" i="4" s="1"/>
  <c r="AS121" i="4"/>
  <c r="BX8" i="4"/>
  <c r="AS15" i="4"/>
  <c r="BZ7" i="4"/>
  <c r="AS17" i="4"/>
  <c r="AS93" i="4"/>
  <c r="AS31" i="4"/>
  <c r="AS144" i="4"/>
  <c r="AS94" i="4"/>
  <c r="AS89" i="4"/>
  <c r="AS80" i="4"/>
  <c r="AD113" i="4"/>
  <c r="AE113" i="4" s="1"/>
  <c r="BX113" i="4" s="1"/>
  <c r="AH113" i="4"/>
  <c r="AJ113" i="4" s="1"/>
  <c r="AD104" i="4"/>
  <c r="AE104" i="4" s="1"/>
  <c r="BX104" i="4" s="1"/>
  <c r="AH104" i="4"/>
  <c r="AJ104" i="4" s="1"/>
  <c r="AD137" i="4"/>
  <c r="AE137" i="4" s="1"/>
  <c r="BX137" i="4" s="1"/>
  <c r="AH137" i="4"/>
  <c r="AJ137" i="4" s="1"/>
  <c r="AD65" i="4"/>
  <c r="AE65" i="4" s="1"/>
  <c r="BX65" i="4" s="1"/>
  <c r="AH65" i="4"/>
  <c r="AJ65" i="4" s="1"/>
  <c r="AD32" i="4"/>
  <c r="AE32" i="4" s="1"/>
  <c r="BX32" i="4" s="1"/>
  <c r="AH32" i="4"/>
  <c r="AJ32" i="4" s="1"/>
  <c r="AD106" i="4"/>
  <c r="AE106" i="4" s="1"/>
  <c r="BX106" i="4" s="1"/>
  <c r="AH106" i="4"/>
  <c r="AJ106" i="4" s="1"/>
  <c r="AD54" i="4"/>
  <c r="AE54" i="4" s="1"/>
  <c r="BX54" i="4" s="1"/>
  <c r="AH54" i="4"/>
  <c r="AJ54" i="4" s="1"/>
  <c r="AD148" i="4"/>
  <c r="AE148" i="4" s="1"/>
  <c r="BX148" i="4" s="1"/>
  <c r="AH148" i="4"/>
  <c r="AJ148" i="4" s="1"/>
  <c r="AD124" i="4"/>
  <c r="AE124" i="4" s="1"/>
  <c r="BX124" i="4" s="1"/>
  <c r="AH124" i="4"/>
  <c r="AJ124" i="4" s="1"/>
  <c r="AD82" i="4"/>
  <c r="AE82" i="4" s="1"/>
  <c r="BX82" i="4" s="1"/>
  <c r="AH82" i="4"/>
  <c r="AJ82" i="4" s="1"/>
  <c r="AD111" i="4"/>
  <c r="AE111" i="4" s="1"/>
  <c r="BX111" i="4" s="1"/>
  <c r="AH111" i="4"/>
  <c r="AJ111" i="4" s="1"/>
  <c r="AD47" i="4"/>
  <c r="AE47" i="4" s="1"/>
  <c r="BX47" i="4" s="1"/>
  <c r="AH47" i="4"/>
  <c r="AJ47" i="4" s="1"/>
  <c r="AD64" i="4"/>
  <c r="AE64" i="4" s="1"/>
  <c r="BX64" i="4" s="1"/>
  <c r="AH64" i="4"/>
  <c r="AJ64" i="4" s="1"/>
  <c r="AD146" i="4"/>
  <c r="AE146" i="4" s="1"/>
  <c r="BX146" i="4" s="1"/>
  <c r="AH146" i="4"/>
  <c r="AJ146" i="4" s="1"/>
  <c r="AD21" i="4"/>
  <c r="AE21" i="4" s="1"/>
  <c r="BX21" i="4" s="1"/>
  <c r="AH21" i="4"/>
  <c r="AJ21" i="4" s="1"/>
  <c r="AD79" i="4"/>
  <c r="AE79" i="4" s="1"/>
  <c r="BX79" i="4" s="1"/>
  <c r="AH79" i="4"/>
  <c r="AJ79" i="4" s="1"/>
  <c r="AD46" i="4"/>
  <c r="AE46" i="4" s="1"/>
  <c r="BX46" i="4" s="1"/>
  <c r="AH46" i="4"/>
  <c r="AJ46" i="4" s="1"/>
  <c r="AD117" i="4"/>
  <c r="AE117" i="4" s="1"/>
  <c r="BX117" i="4" s="1"/>
  <c r="AH117" i="4"/>
  <c r="AJ117" i="4" s="1"/>
  <c r="AD157" i="4"/>
  <c r="AE157" i="4" s="1"/>
  <c r="BX157" i="4" s="1"/>
  <c r="AH157" i="4"/>
  <c r="AJ157" i="4" s="1"/>
  <c r="AD143" i="4"/>
  <c r="AE143" i="4" s="1"/>
  <c r="BX143" i="4" s="1"/>
  <c r="AH143" i="4"/>
  <c r="AJ143" i="4" s="1"/>
  <c r="AD122" i="4"/>
  <c r="AE122" i="4" s="1"/>
  <c r="BX122" i="4" s="1"/>
  <c r="AH122" i="4"/>
  <c r="AJ122" i="4" s="1"/>
  <c r="AD59" i="4"/>
  <c r="AE59" i="4" s="1"/>
  <c r="BX59" i="4" s="1"/>
  <c r="AH59" i="4"/>
  <c r="AJ59" i="4" s="1"/>
  <c r="AD140" i="4"/>
  <c r="AE140" i="4" s="1"/>
  <c r="BX140" i="4" s="1"/>
  <c r="AH140" i="4"/>
  <c r="AJ140" i="4" s="1"/>
  <c r="AD24" i="4"/>
  <c r="AE24" i="4" s="1"/>
  <c r="BX24" i="4" s="1"/>
  <c r="AH24" i="4"/>
  <c r="AJ24" i="4" s="1"/>
  <c r="AD136" i="4"/>
  <c r="AE136" i="4" s="1"/>
  <c r="BX136" i="4" s="1"/>
  <c r="AH136" i="4"/>
  <c r="AJ136" i="4" s="1"/>
  <c r="AD49" i="4"/>
  <c r="AE49" i="4" s="1"/>
  <c r="BX49" i="4" s="1"/>
  <c r="AH49" i="4"/>
  <c r="AJ49" i="4" s="1"/>
  <c r="AD48" i="4"/>
  <c r="AE48" i="4" s="1"/>
  <c r="BX48" i="4" s="1"/>
  <c r="AH48" i="4"/>
  <c r="AJ48" i="4" s="1"/>
  <c r="AD94" i="4"/>
  <c r="AE94" i="4" s="1"/>
  <c r="BX94" i="4" s="1"/>
  <c r="AH94" i="4"/>
  <c r="AJ94" i="4" s="1"/>
  <c r="AD102" i="4"/>
  <c r="AE102" i="4" s="1"/>
  <c r="BX102" i="4" s="1"/>
  <c r="AH102" i="4"/>
  <c r="AJ102" i="4" s="1"/>
  <c r="AD39" i="4"/>
  <c r="AE39" i="4" s="1"/>
  <c r="BX39" i="4" s="1"/>
  <c r="AH39" i="4"/>
  <c r="AJ39" i="4" s="1"/>
  <c r="AD81" i="4"/>
  <c r="AE81" i="4" s="1"/>
  <c r="BX81" i="4" s="1"/>
  <c r="AH81" i="4"/>
  <c r="AJ81" i="4" s="1"/>
  <c r="AD118" i="4"/>
  <c r="AE118" i="4" s="1"/>
  <c r="BX118" i="4" s="1"/>
  <c r="AH118" i="4"/>
  <c r="AJ118" i="4" s="1"/>
  <c r="AD149" i="4"/>
  <c r="AE149" i="4" s="1"/>
  <c r="BX149" i="4" s="1"/>
  <c r="AH149" i="4"/>
  <c r="AJ149" i="4" s="1"/>
  <c r="AD26" i="4"/>
  <c r="AE26" i="4" s="1"/>
  <c r="BX26" i="4" s="1"/>
  <c r="AH26" i="4"/>
  <c r="AJ26" i="4" s="1"/>
  <c r="AD110" i="4"/>
  <c r="AE110" i="4" s="1"/>
  <c r="BX110" i="4" s="1"/>
  <c r="AH110" i="4"/>
  <c r="AJ110" i="4" s="1"/>
  <c r="AD19" i="4"/>
  <c r="AE19" i="4" s="1"/>
  <c r="BX19" i="4" s="1"/>
  <c r="AH19" i="4"/>
  <c r="AJ19" i="4" s="1"/>
  <c r="AD156" i="4"/>
  <c r="AE156" i="4" s="1"/>
  <c r="BX156" i="4" s="1"/>
  <c r="AH156" i="4"/>
  <c r="AJ156" i="4" s="1"/>
  <c r="AD126" i="4"/>
  <c r="AE126" i="4" s="1"/>
  <c r="BX126" i="4" s="1"/>
  <c r="AH126" i="4"/>
  <c r="AJ126" i="4" s="1"/>
  <c r="AS57" i="4"/>
  <c r="AS39" i="4"/>
  <c r="AS27" i="4"/>
  <c r="AS70" i="4"/>
  <c r="AS53" i="4"/>
  <c r="AS43" i="4"/>
  <c r="AS73" i="4"/>
  <c r="AS58" i="4"/>
  <c r="AS133" i="4"/>
  <c r="AJ97" i="4"/>
  <c r="AS88" i="4"/>
  <c r="AS103" i="4"/>
  <c r="AS25" i="4"/>
  <c r="AS50" i="4"/>
  <c r="AS97" i="4"/>
  <c r="AS61" i="4"/>
  <c r="AS151" i="4"/>
  <c r="AS76" i="4"/>
  <c r="AS12" i="4"/>
  <c r="AS16" i="4"/>
  <c r="AJ90" i="4"/>
  <c r="AS67" i="4"/>
  <c r="AS109" i="4"/>
  <c r="AN24" i="4"/>
  <c r="AS51" i="4"/>
  <c r="AS69" i="4"/>
  <c r="AS141" i="4"/>
  <c r="AS30" i="4"/>
  <c r="AS8" i="4"/>
  <c r="AN65" i="4"/>
  <c r="AS52" i="4"/>
  <c r="AS82" i="4"/>
  <c r="AN81" i="4"/>
  <c r="AS81" i="4" s="1"/>
  <c r="AS90" i="4"/>
  <c r="AS119" i="4"/>
  <c r="AS41" i="4"/>
  <c r="AS38" i="4"/>
  <c r="AE25" i="4"/>
  <c r="BX25" i="4" s="1"/>
  <c r="AE89" i="4"/>
  <c r="BX89" i="4" s="1"/>
  <c r="AQ145" i="4"/>
  <c r="AR145" i="4" s="1"/>
  <c r="AE41" i="4"/>
  <c r="BX41" i="4" s="1"/>
  <c r="AE55" i="4"/>
  <c r="BX55" i="4" s="1"/>
  <c r="AE31" i="4"/>
  <c r="BX31" i="4" s="1"/>
  <c r="AE33" i="4"/>
  <c r="BX33" i="4" s="1"/>
  <c r="AE56" i="4"/>
  <c r="BX56" i="4" s="1"/>
  <c r="AE37" i="4"/>
  <c r="BX37" i="4" s="1"/>
  <c r="AE45" i="4"/>
  <c r="BX45" i="4" s="1"/>
  <c r="AE58" i="4"/>
  <c r="BX58" i="4" s="1"/>
  <c r="AE130" i="4"/>
  <c r="BX130" i="4" s="1"/>
  <c r="AE109" i="4"/>
  <c r="BX109" i="4" s="1"/>
  <c r="AE34" i="4"/>
  <c r="BX34" i="4" s="1"/>
  <c r="AQ65" i="4"/>
  <c r="AR65" i="4" s="1"/>
  <c r="AQ19" i="4"/>
  <c r="AR19" i="4" s="1"/>
  <c r="AS19" i="4" s="1"/>
  <c r="AS75" i="4"/>
  <c r="AN149" i="4"/>
  <c r="AQ108" i="4"/>
  <c r="AR108" i="4" s="1"/>
  <c r="AQ143" i="4"/>
  <c r="AR143" i="4" s="1"/>
  <c r="AQ146" i="4"/>
  <c r="AR146" i="4" s="1"/>
  <c r="AN156" i="4"/>
  <c r="AN110" i="4"/>
  <c r="AS29" i="4"/>
  <c r="AN116" i="4"/>
  <c r="AS23" i="4"/>
  <c r="AE105" i="4"/>
  <c r="BX105" i="4" s="1"/>
  <c r="AE17" i="4"/>
  <c r="BX17" i="4" s="1"/>
  <c r="AE29" i="4"/>
  <c r="BX29" i="4" s="1"/>
  <c r="AE135" i="4"/>
  <c r="BX135" i="4" s="1"/>
  <c r="AE99" i="4"/>
  <c r="BX99" i="4" s="1"/>
  <c r="AE95" i="4"/>
  <c r="BX95" i="4" s="1"/>
  <c r="AQ24" i="4"/>
  <c r="AR24" i="4" s="1"/>
  <c r="AQ49" i="4"/>
  <c r="AR49" i="4" s="1"/>
  <c r="AS49" i="4" s="1"/>
  <c r="AN124" i="4"/>
  <c r="AN136" i="4"/>
  <c r="AS136" i="4" s="1"/>
  <c r="AQ137" i="4"/>
  <c r="AQ21" i="4"/>
  <c r="AR21" i="4" s="1"/>
  <c r="AE57" i="4"/>
  <c r="BX57" i="4" s="1"/>
  <c r="AE87" i="4"/>
  <c r="BX87" i="4" s="1"/>
  <c r="AE116" i="4"/>
  <c r="BX116" i="4" s="1"/>
  <c r="AE91" i="4"/>
  <c r="BX91" i="4" s="1"/>
  <c r="AE10" i="4"/>
  <c r="BX10" i="4" s="1"/>
  <c r="AN145" i="4"/>
  <c r="AQ54" i="4"/>
  <c r="AR54" i="4" s="1"/>
  <c r="AN117" i="4"/>
  <c r="AS117" i="4" s="1"/>
  <c r="AQ113" i="4"/>
  <c r="AR113" i="4" s="1"/>
  <c r="AN148" i="4"/>
  <c r="AS148" i="4" s="1"/>
  <c r="AS34" i="4"/>
  <c r="AS63" i="4"/>
  <c r="AQ130" i="4"/>
  <c r="AR130" i="4" s="1"/>
  <c r="AS130" i="4" s="1"/>
  <c r="BT8" i="4"/>
  <c r="AQ110" i="4"/>
  <c r="AR110" i="4" s="1"/>
  <c r="AN146" i="4"/>
  <c r="AN54" i="4"/>
  <c r="AQ116" i="4"/>
  <c r="AR116" i="4" s="1"/>
  <c r="AQ124" i="4"/>
  <c r="AR124" i="4" s="1"/>
  <c r="AJ52" i="4"/>
  <c r="AN21" i="4"/>
  <c r="AN108" i="4"/>
  <c r="AN143" i="4"/>
  <c r="AN142" i="4"/>
  <c r="AQ142" i="4"/>
  <c r="AR142" i="4" s="1"/>
  <c r="AN113" i="4"/>
  <c r="AN137" i="4"/>
  <c r="AQ149" i="4"/>
  <c r="AR149" i="4" s="1"/>
  <c r="AQ156" i="4"/>
  <c r="AR156" i="4" s="1"/>
  <c r="AN140" i="4"/>
  <c r="AQ140" i="4"/>
  <c r="AR140" i="4" s="1"/>
  <c r="AQ123" i="4"/>
  <c r="AN123" i="4"/>
  <c r="AJ123" i="4"/>
  <c r="AJ108" i="4"/>
  <c r="AS132" i="4"/>
  <c r="AS44" i="4"/>
  <c r="AS114" i="4"/>
  <c r="AS32" i="4"/>
  <c r="AS92" i="4"/>
  <c r="AS112" i="4"/>
  <c r="AS106" i="4"/>
  <c r="AS96" i="4"/>
  <c r="AS26" i="4"/>
  <c r="AS100" i="4"/>
  <c r="AS64" i="4"/>
  <c r="AS48" i="4"/>
  <c r="AS79" i="4"/>
  <c r="AS128" i="4"/>
  <c r="AS134" i="4"/>
  <c r="AQ118" i="4"/>
  <c r="AR118" i="4" s="1"/>
  <c r="AN118" i="4"/>
  <c r="AQ46" i="4"/>
  <c r="AR46" i="4" s="1"/>
  <c r="AN46" i="4"/>
  <c r="AN104" i="4"/>
  <c r="AQ104" i="4"/>
  <c r="AR104" i="4" s="1"/>
  <c r="AN47" i="4"/>
  <c r="AQ47" i="4"/>
  <c r="AR47" i="4" s="1"/>
  <c r="AJ16" i="4"/>
  <c r="AX11" i="10"/>
  <c r="AU11" i="5"/>
  <c r="AJ120" i="4"/>
  <c r="AJ95" i="4"/>
  <c r="AJ41" i="4"/>
  <c r="AJ87" i="4"/>
  <c r="AJ37" i="4"/>
  <c r="AJ133" i="4"/>
  <c r="AJ33" i="4"/>
  <c r="AJ25" i="4"/>
  <c r="AJ152" i="4"/>
  <c r="AJ57" i="4"/>
  <c r="AJ107" i="4"/>
  <c r="BY107" i="4" s="1"/>
  <c r="BZ107" i="4" s="1"/>
  <c r="AJ105" i="4"/>
  <c r="AJ55" i="4"/>
  <c r="AJ155" i="4"/>
  <c r="AJ83" i="4"/>
  <c r="AJ89" i="4"/>
  <c r="AJ62" i="4"/>
  <c r="AJ69" i="4"/>
  <c r="AJ29" i="4"/>
  <c r="AJ99" i="4"/>
  <c r="AJ75" i="4"/>
  <c r="AJ142" i="4"/>
  <c r="AJ116" i="4"/>
  <c r="AJ109" i="4"/>
  <c r="AJ76" i="4"/>
  <c r="AJ45" i="4"/>
  <c r="AJ58" i="4"/>
  <c r="AJ31" i="4"/>
  <c r="AJ56" i="4"/>
  <c r="AJ150" i="4"/>
  <c r="AJ130" i="4"/>
  <c r="AJ91" i="4"/>
  <c r="AJ135" i="4"/>
  <c r="AJ72" i="4"/>
  <c r="BY139" i="4" l="1"/>
  <c r="BZ139" i="4" s="1"/>
  <c r="BY121" i="4"/>
  <c r="BZ121" i="4" s="1"/>
  <c r="BY153" i="4"/>
  <c r="BZ153" i="4" s="1"/>
  <c r="AR123" i="4"/>
  <c r="AS123" i="4" s="1"/>
  <c r="AR137" i="4"/>
  <c r="AS137" i="4" s="1"/>
  <c r="BY151" i="4"/>
  <c r="BZ151" i="4" s="1"/>
  <c r="BY15" i="4"/>
  <c r="BZ15" i="4" s="1"/>
  <c r="BY93" i="4"/>
  <c r="BZ93" i="4" s="1"/>
  <c r="BY53" i="4"/>
  <c r="BZ53" i="4" s="1"/>
  <c r="BY17" i="4"/>
  <c r="BZ17" i="4" s="1"/>
  <c r="BY39" i="4"/>
  <c r="BZ39" i="4" s="1"/>
  <c r="BY66" i="4"/>
  <c r="BZ66" i="4" s="1"/>
  <c r="BY98" i="4"/>
  <c r="BZ98" i="4" s="1"/>
  <c r="BY11" i="4"/>
  <c r="BZ11" i="4" s="1"/>
  <c r="BY78" i="4"/>
  <c r="BZ78" i="4" s="1"/>
  <c r="BY115" i="4"/>
  <c r="BZ115" i="4" s="1"/>
  <c r="BY129" i="4"/>
  <c r="BZ129" i="4" s="1"/>
  <c r="BY85" i="4"/>
  <c r="BZ85" i="4" s="1"/>
  <c r="BY36" i="4"/>
  <c r="BZ36" i="4" s="1"/>
  <c r="BY60" i="4"/>
  <c r="BZ60" i="4" s="1"/>
  <c r="BY35" i="4"/>
  <c r="BZ35" i="4" s="1"/>
  <c r="BY42" i="4"/>
  <c r="BZ42" i="4" s="1"/>
  <c r="BY105" i="4"/>
  <c r="BZ105" i="4" s="1"/>
  <c r="BY138" i="4"/>
  <c r="BZ138" i="4" s="1"/>
  <c r="BY9" i="4"/>
  <c r="BZ9" i="4" s="1"/>
  <c r="BY111" i="4"/>
  <c r="BZ111" i="4" s="1"/>
  <c r="BY40" i="4"/>
  <c r="BZ40" i="4" s="1"/>
  <c r="BY68" i="4"/>
  <c r="BZ68" i="4" s="1"/>
  <c r="BY20" i="4"/>
  <c r="BZ20" i="4" s="1"/>
  <c r="BY74" i="4"/>
  <c r="BZ74" i="4" s="1"/>
  <c r="BY99" i="4"/>
  <c r="BZ99" i="4" s="1"/>
  <c r="BY86" i="4"/>
  <c r="BZ86" i="4" s="1"/>
  <c r="BY71" i="4"/>
  <c r="BZ71" i="4" s="1"/>
  <c r="BY147" i="4"/>
  <c r="BZ147" i="4" s="1"/>
  <c r="BY14" i="4"/>
  <c r="BZ14" i="4" s="1"/>
  <c r="BY77" i="4"/>
  <c r="BZ77" i="4" s="1"/>
  <c r="BY22" i="4"/>
  <c r="BZ22" i="4" s="1"/>
  <c r="BY18" i="4"/>
  <c r="BZ18" i="4" s="1"/>
  <c r="BY125" i="4"/>
  <c r="BZ125" i="4" s="1"/>
  <c r="BY59" i="4"/>
  <c r="BZ59" i="4" s="1"/>
  <c r="BY87" i="4"/>
  <c r="BZ87" i="4" s="1"/>
  <c r="BY102" i="4"/>
  <c r="BZ102" i="4" s="1"/>
  <c r="BY91" i="4"/>
  <c r="BZ91" i="4" s="1"/>
  <c r="BY135" i="4"/>
  <c r="BZ135" i="4" s="1"/>
  <c r="BY95" i="4"/>
  <c r="BZ95" i="4" s="1"/>
  <c r="BY45" i="4"/>
  <c r="BZ45" i="4" s="1"/>
  <c r="BY55" i="4"/>
  <c r="BZ55" i="4" s="1"/>
  <c r="BY33" i="4"/>
  <c r="BZ33" i="4" s="1"/>
  <c r="BY37" i="4"/>
  <c r="BZ37" i="4" s="1"/>
  <c r="BY56" i="4"/>
  <c r="BZ56" i="4" s="1"/>
  <c r="BY10" i="4"/>
  <c r="BZ10" i="4" s="1"/>
  <c r="BY83" i="4"/>
  <c r="BZ83" i="4" s="1"/>
  <c r="BY120" i="4"/>
  <c r="BZ120" i="4" s="1"/>
  <c r="BY62" i="4"/>
  <c r="BZ62" i="4" s="1"/>
  <c r="BY72" i="4"/>
  <c r="BZ72" i="4" s="1"/>
  <c r="BY84" i="4"/>
  <c r="BZ84" i="4" s="1"/>
  <c r="BY13" i="4"/>
  <c r="BZ13" i="4" s="1"/>
  <c r="BY101" i="4"/>
  <c r="BZ101" i="4" s="1"/>
  <c r="BY28" i="4"/>
  <c r="BZ28" i="4" s="1"/>
  <c r="BY16" i="4"/>
  <c r="BY70" i="4"/>
  <c r="BY31" i="4"/>
  <c r="BZ31" i="4" s="1"/>
  <c r="BY97" i="4"/>
  <c r="BY94" i="4"/>
  <c r="BZ94" i="4" s="1"/>
  <c r="BY89" i="4"/>
  <c r="BZ89" i="4" s="1"/>
  <c r="BY90" i="4"/>
  <c r="BZ90" i="4" s="1"/>
  <c r="BY80" i="4"/>
  <c r="BZ80" i="4" s="1"/>
  <c r="BY52" i="4"/>
  <c r="BY73" i="4"/>
  <c r="BZ73" i="4" s="1"/>
  <c r="BY12" i="4"/>
  <c r="BZ12" i="4" s="1"/>
  <c r="BY109" i="4"/>
  <c r="BZ109" i="4" s="1"/>
  <c r="AS65" i="4"/>
  <c r="BY27" i="4"/>
  <c r="BZ27" i="4" s="1"/>
  <c r="BY119" i="4"/>
  <c r="BY133" i="4"/>
  <c r="BZ133" i="4" s="1"/>
  <c r="BY43" i="4"/>
  <c r="BZ43" i="4" s="1"/>
  <c r="BY25" i="4"/>
  <c r="BZ25" i="4" s="1"/>
  <c r="BY58" i="4"/>
  <c r="BZ58" i="4" s="1"/>
  <c r="BY103" i="4"/>
  <c r="BZ103" i="4" s="1"/>
  <c r="AS124" i="4"/>
  <c r="BY61" i="4"/>
  <c r="BZ61" i="4" s="1"/>
  <c r="BY150" i="4"/>
  <c r="BZ150" i="4" s="1"/>
  <c r="AS24" i="4"/>
  <c r="BY69" i="4"/>
  <c r="BZ69" i="4" s="1"/>
  <c r="BY50" i="4"/>
  <c r="BZ50" i="4" s="1"/>
  <c r="AS113" i="4"/>
  <c r="AS116" i="4"/>
  <c r="BY76" i="4"/>
  <c r="BZ76" i="4" s="1"/>
  <c r="BY41" i="4"/>
  <c r="BZ41" i="4" s="1"/>
  <c r="AS156" i="4"/>
  <c r="AS21" i="4"/>
  <c r="AS54" i="4"/>
  <c r="BY34" i="4"/>
  <c r="BZ34" i="4" s="1"/>
  <c r="AY8" i="4"/>
  <c r="AV8" i="4"/>
  <c r="BY23" i="4"/>
  <c r="BZ23" i="4" s="1"/>
  <c r="AS143" i="4"/>
  <c r="AS145" i="4"/>
  <c r="AS110" i="4"/>
  <c r="AS146" i="4"/>
  <c r="BY63" i="4"/>
  <c r="BZ63" i="4" s="1"/>
  <c r="BY29" i="4"/>
  <c r="BZ29" i="4" s="1"/>
  <c r="AS108" i="4"/>
  <c r="AS149" i="4"/>
  <c r="AS140" i="4"/>
  <c r="AS142" i="4"/>
  <c r="AS46" i="4"/>
  <c r="AS47" i="4"/>
  <c r="AS104" i="4"/>
  <c r="AS118" i="4"/>
  <c r="BY152" i="4" l="1"/>
  <c r="BZ152" i="4" s="1"/>
  <c r="BY155" i="4"/>
  <c r="BZ155" i="4" s="1"/>
  <c r="BY127" i="4"/>
  <c r="BZ127" i="4" s="1"/>
  <c r="BY131" i="4"/>
  <c r="BZ131" i="4" s="1"/>
  <c r="BY154" i="4"/>
  <c r="BZ154" i="4" s="1"/>
  <c r="BY8" i="4"/>
  <c r="BZ8" i="4" s="1"/>
  <c r="BY126" i="4"/>
  <c r="BZ126" i="4" s="1"/>
  <c r="BY128" i="4"/>
  <c r="BZ128" i="4" s="1"/>
  <c r="BY96" i="4"/>
  <c r="BZ96" i="4" s="1"/>
  <c r="BY44" i="4"/>
  <c r="BZ44" i="4" s="1"/>
  <c r="BY26" i="4"/>
  <c r="BZ26" i="4" s="1"/>
  <c r="BY48" i="4"/>
  <c r="BZ48" i="4" s="1"/>
  <c r="BY19" i="4"/>
  <c r="BZ19" i="4" s="1"/>
  <c r="BY79" i="4"/>
  <c r="BZ79" i="4" s="1"/>
  <c r="BY112" i="4"/>
  <c r="BZ112" i="4" s="1"/>
  <c r="BY134" i="4"/>
  <c r="BZ134" i="4" s="1"/>
  <c r="BY49" i="4"/>
  <c r="BZ49" i="4" s="1"/>
  <c r="BY144" i="4"/>
  <c r="BZ144" i="4" s="1"/>
  <c r="BY141" i="4"/>
  <c r="BZ141" i="4" s="1"/>
  <c r="BY117" i="4"/>
  <c r="BZ117" i="4" s="1"/>
  <c r="BZ70" i="4"/>
  <c r="BY30" i="4"/>
  <c r="BZ30" i="4" s="1"/>
  <c r="BY67" i="4"/>
  <c r="BZ67" i="4" s="1"/>
  <c r="BZ52" i="4"/>
  <c r="BY88" i="4"/>
  <c r="BZ88" i="4" s="1"/>
  <c r="BY38" i="4"/>
  <c r="BZ38" i="4" s="1"/>
  <c r="BY57" i="4"/>
  <c r="BZ57" i="4" s="1"/>
  <c r="BY75" i="4"/>
  <c r="BZ75" i="4" s="1"/>
  <c r="BY92" i="4"/>
  <c r="BZ92" i="4" s="1"/>
  <c r="BY81" i="4"/>
  <c r="BZ81" i="4" s="1"/>
  <c r="BY122" i="4"/>
  <c r="BZ122" i="4" s="1"/>
  <c r="BY132" i="4"/>
  <c r="BZ132" i="4" s="1"/>
  <c r="BY32" i="4"/>
  <c r="BZ32" i="4" s="1"/>
  <c r="BY64" i="4"/>
  <c r="BZ64" i="4" s="1"/>
  <c r="BY114" i="4"/>
  <c r="BZ114" i="4" s="1"/>
  <c r="BY136" i="4"/>
  <c r="BZ136" i="4" s="1"/>
  <c r="BY130" i="4"/>
  <c r="BZ130" i="4" s="1"/>
  <c r="BY100" i="4"/>
  <c r="BZ100" i="4" s="1"/>
  <c r="BY106" i="4"/>
  <c r="BZ106" i="4" s="1"/>
  <c r="BY157" i="4"/>
  <c r="BZ157" i="4" s="1"/>
  <c r="BZ119" i="4"/>
  <c r="BZ97" i="4"/>
  <c r="BZ16" i="4"/>
  <c r="BY51" i="4"/>
  <c r="BZ51" i="4" s="1"/>
  <c r="BY82" i="4"/>
  <c r="BZ82" i="4" s="1"/>
  <c r="BY148" i="4"/>
  <c r="BZ148" i="4" s="1"/>
  <c r="BY21" i="4"/>
  <c r="BZ21" i="4" s="1"/>
  <c r="BY65" i="4"/>
  <c r="BZ65" i="4" s="1"/>
  <c r="BY116" i="4"/>
  <c r="BZ116" i="4" s="1"/>
  <c r="BY54" i="4"/>
  <c r="BY108" i="4"/>
  <c r="BZ108" i="4" s="1"/>
  <c r="BY156" i="4"/>
  <c r="BZ156" i="4" s="1"/>
  <c r="BY110" i="4"/>
  <c r="BZ110" i="4" s="1"/>
  <c r="BY149" i="4"/>
  <c r="BZ149" i="4" s="1"/>
  <c r="BY123" i="4"/>
  <c r="BY146" i="4" l="1"/>
  <c r="BZ146" i="4" s="1"/>
  <c r="BY142" i="4"/>
  <c r="BZ142" i="4" s="1"/>
  <c r="BY46" i="4"/>
  <c r="BZ46" i="4" s="1"/>
  <c r="BY47" i="4"/>
  <c r="BZ47" i="4" s="1"/>
  <c r="BY113" i="4"/>
  <c r="BZ113" i="4" s="1"/>
  <c r="BY140" i="4"/>
  <c r="BZ140" i="4" s="1"/>
  <c r="BY124" i="4"/>
  <c r="BZ124" i="4" s="1"/>
  <c r="BY143" i="4"/>
  <c r="BZ143" i="4" s="1"/>
  <c r="BY104" i="4"/>
  <c r="BZ104" i="4" s="1"/>
  <c r="BY118" i="4"/>
  <c r="BZ118" i="4" s="1"/>
  <c r="BZ123" i="4"/>
  <c r="BY145" i="4"/>
  <c r="BZ145" i="4" s="1"/>
  <c r="BZ54" i="4"/>
  <c r="BY24" i="4"/>
  <c r="BZ24" i="4" s="1"/>
  <c r="BY137" i="4"/>
  <c r="BZ137" i="4"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BMC-BCS</author>
  </authors>
  <commentList>
    <comment ref="A3" authorId="0" shapeId="0" xr:uid="{00000000-0006-0000-0000-000001000000}">
      <text>
        <r>
          <rPr>
            <b/>
            <sz val="11"/>
            <color indexed="10"/>
            <rFont val="Tahoma"/>
            <family val="2"/>
          </rPr>
          <t>Welcome to the LM5155/56 Design Tool</t>
        </r>
        <r>
          <rPr>
            <sz val="9"/>
            <color indexed="81"/>
            <rFont val="Tahoma"/>
            <family val="2"/>
          </rPr>
          <t xml:space="preserve">
This stand-alone tool facilitates and assists the power supply engineer with design of a DC-DC boost converter based on the LM5155/56 controller. As such, the user can expeditiously arrive at an optimized design by virtue of the following:
- Select components
- Optimize compensation values and pole/zero placement in terms of control loop stability using crossover frquency as a performance metric
- Inspect regulator efficiency and component power dissipation
- Analyze efficiency based on selected MOSFET, inductor and diode parameters
IMPORTANT: You must enable macros if Microsoft Excel asks as the file is being opened. U.S. English notation is used throughout. Make sure to input or select values in all of the yellow shaded cells even if a value already exists in that cell. Do not over write equations in cells, as this may result in calculation errors.
</t>
        </r>
      </text>
    </comment>
    <comment ref="Q3" authorId="0" shapeId="0" xr:uid="{00000000-0006-0000-0000-000002000000}">
      <text>
        <r>
          <rPr>
            <sz val="9"/>
            <color indexed="81"/>
            <rFont val="Tahoma"/>
            <family val="2"/>
          </rPr>
          <t xml:space="preserve">
</t>
        </r>
        <r>
          <rPr>
            <sz val="12"/>
            <color indexed="10"/>
            <rFont val="Tahoma"/>
            <family val="2"/>
          </rPr>
          <t>Texas Instruments:</t>
        </r>
        <r>
          <rPr>
            <sz val="9"/>
            <color indexed="81"/>
            <rFont val="Tahoma"/>
            <family val="2"/>
          </rPr>
          <t xml:space="preserve">
Limited Use Policy
You must treat this software and documentation like any other copyrighted material.
You may not:
- Copy documentation of the software
- Copy this software except to make archival or backup copies
- Reverse engineer, disassemble, decompile or make any attempt to discover the source code of the Software 
- Place the software onto a server so that it is accessible via a public network such as the internet 
- Sublicense, rent, lease or lend any portion of the software or documentation.
Texas Instruments is not responsible for the validity of any design created with this software and urges all designs to be fully tested and carefully verified. 
The most recent version of this excel file can be found in the product folder of the part at TI.com. To activate all functions, Macro should be enabled and 'Analysis Toolpak' should be added in. 
</t>
        </r>
      </text>
    </comment>
    <comment ref="H7" authorId="0" shapeId="0" xr:uid="{00000000-0006-0000-0000-000003000000}">
      <text>
        <r>
          <rPr>
            <b/>
            <u/>
            <sz val="11"/>
            <color indexed="81"/>
            <rFont val="Tahoma"/>
            <family val="2"/>
          </rPr>
          <t>Minimum Operating Votlage</t>
        </r>
        <r>
          <rPr>
            <b/>
            <sz val="9"/>
            <color indexed="81"/>
            <rFont val="Tahoma"/>
            <family val="2"/>
          </rPr>
          <t xml:space="preserve">
</t>
        </r>
        <r>
          <rPr>
            <sz val="10"/>
            <color indexed="81"/>
            <rFont val="Tahoma"/>
            <family val="2"/>
          </rPr>
          <t>Enter the minimum operating voltage. If the BIAS pin voltage is less than 3.5V the LM5155/56 should be externally biased. See the datasheet for details</t>
        </r>
        <r>
          <rPr>
            <sz val="9"/>
            <color indexed="81"/>
            <rFont val="Tahoma"/>
            <family val="2"/>
          </rPr>
          <t xml:space="preserve">
</t>
        </r>
        <r>
          <rPr>
            <b/>
            <u/>
            <sz val="11"/>
            <color indexed="81"/>
            <rFont val="Tahoma"/>
            <family val="2"/>
          </rPr>
          <t>Operating Range</t>
        </r>
        <r>
          <rPr>
            <sz val="9"/>
            <color indexed="81"/>
            <rFont val="Tahoma"/>
            <family val="2"/>
          </rPr>
          <t xml:space="preserve">
</t>
        </r>
        <r>
          <rPr>
            <sz val="11"/>
            <color indexed="10"/>
            <rFont val="Tahoma"/>
            <family val="2"/>
          </rPr>
          <t>LM5155:</t>
        </r>
        <r>
          <rPr>
            <sz val="9"/>
            <color indexed="81"/>
            <rFont val="Tahoma"/>
            <family val="2"/>
          </rPr>
          <t xml:space="preserve"> </t>
        </r>
        <r>
          <rPr>
            <sz val="10"/>
            <color indexed="81"/>
            <rFont val="Tahoma"/>
            <family val="2"/>
          </rPr>
          <t>3.5V to 45V</t>
        </r>
        <r>
          <rPr>
            <sz val="9"/>
            <color indexed="81"/>
            <rFont val="Tahoma"/>
            <family val="2"/>
          </rPr>
          <t xml:space="preserve">
</t>
        </r>
        <r>
          <rPr>
            <sz val="11"/>
            <color indexed="10"/>
            <rFont val="Tahoma"/>
            <family val="2"/>
          </rPr>
          <t>LM5156</t>
        </r>
        <r>
          <rPr>
            <sz val="11"/>
            <color indexed="81"/>
            <rFont val="Tahoma"/>
            <family val="2"/>
          </rPr>
          <t>:</t>
        </r>
        <r>
          <rPr>
            <sz val="9"/>
            <color indexed="81"/>
            <rFont val="Tahoma"/>
            <family val="2"/>
          </rPr>
          <t xml:space="preserve"> </t>
        </r>
        <r>
          <rPr>
            <sz val="10"/>
            <color indexed="81"/>
            <rFont val="Tahoma"/>
            <family val="2"/>
          </rPr>
          <t>3.5V to 60V</t>
        </r>
        <r>
          <rPr>
            <sz val="9"/>
            <color indexed="81"/>
            <rFont val="Tahoma"/>
            <family val="2"/>
          </rPr>
          <t xml:space="preserve">
</t>
        </r>
      </text>
    </comment>
    <comment ref="N7" authorId="0" shapeId="0" xr:uid="{00000000-0006-0000-0000-000004000000}">
      <text>
        <r>
          <rPr>
            <b/>
            <sz val="11"/>
            <color indexed="81"/>
            <rFont val="Tahoma"/>
            <family val="2"/>
          </rPr>
          <t>Output Voltage Load 1:</t>
        </r>
        <r>
          <rPr>
            <b/>
            <sz val="9"/>
            <color indexed="81"/>
            <rFont val="Tahoma"/>
            <family val="2"/>
          </rPr>
          <t xml:space="preserve">
</t>
        </r>
        <r>
          <rPr>
            <sz val="10"/>
            <color indexed="81"/>
            <rFont val="Tahoma"/>
            <family val="2"/>
          </rPr>
          <t xml:space="preserve">Selected the desired voltage of load 1.
</t>
        </r>
        <r>
          <rPr>
            <b/>
            <sz val="10"/>
            <color indexed="10"/>
            <rFont val="Tahoma"/>
            <family val="2"/>
          </rPr>
          <t>Load 1 voltage should be entered as the regulated load regardless of the feedback type</t>
        </r>
        <r>
          <rPr>
            <sz val="9"/>
            <color indexed="81"/>
            <rFont val="Tahoma"/>
            <family val="2"/>
          </rPr>
          <t xml:space="preserve">
</t>
        </r>
      </text>
    </comment>
    <comment ref="H8" authorId="0" shapeId="0" xr:uid="{00000000-0006-0000-0000-000005000000}">
      <text>
        <r>
          <rPr>
            <b/>
            <u/>
            <sz val="11"/>
            <color indexed="81"/>
            <rFont val="Tahoma"/>
            <family val="2"/>
          </rPr>
          <t>Nominal Operating Votlage</t>
        </r>
        <r>
          <rPr>
            <sz val="9"/>
            <color indexed="81"/>
            <rFont val="Tahoma"/>
            <family val="2"/>
          </rPr>
          <t xml:space="preserve">
</t>
        </r>
        <r>
          <rPr>
            <sz val="10"/>
            <color indexed="81"/>
            <rFont val="Tahoma"/>
            <family val="2"/>
          </rPr>
          <t>Enter the nominal operating voltage.</t>
        </r>
        <r>
          <rPr>
            <b/>
            <u/>
            <sz val="9"/>
            <color indexed="81"/>
            <rFont val="Tahoma"/>
            <family val="2"/>
          </rPr>
          <t xml:space="preserve">
</t>
        </r>
        <r>
          <rPr>
            <b/>
            <u/>
            <sz val="11"/>
            <color indexed="81"/>
            <rFont val="Tahoma"/>
            <family val="2"/>
          </rPr>
          <t>Operating Range</t>
        </r>
        <r>
          <rPr>
            <sz val="9"/>
            <color indexed="81"/>
            <rFont val="Tahoma"/>
            <family val="2"/>
          </rPr>
          <t xml:space="preserve">
</t>
        </r>
        <r>
          <rPr>
            <sz val="11"/>
            <color indexed="10"/>
            <rFont val="Tahoma"/>
            <family val="2"/>
          </rPr>
          <t>LM5155</t>
        </r>
        <r>
          <rPr>
            <sz val="9"/>
            <color indexed="81"/>
            <rFont val="Tahoma"/>
            <family val="2"/>
          </rPr>
          <t xml:space="preserve">: </t>
        </r>
        <r>
          <rPr>
            <sz val="10"/>
            <color indexed="81"/>
            <rFont val="Tahoma"/>
            <family val="2"/>
          </rPr>
          <t>3.5V to 45V</t>
        </r>
        <r>
          <rPr>
            <sz val="9"/>
            <color indexed="81"/>
            <rFont val="Tahoma"/>
            <family val="2"/>
          </rPr>
          <t xml:space="preserve">
</t>
        </r>
        <r>
          <rPr>
            <sz val="11"/>
            <color indexed="10"/>
            <rFont val="Tahoma"/>
            <family val="2"/>
          </rPr>
          <t>LM5156</t>
        </r>
        <r>
          <rPr>
            <sz val="9"/>
            <color indexed="81"/>
            <rFont val="Tahoma"/>
            <family val="2"/>
          </rPr>
          <t xml:space="preserve">: </t>
        </r>
        <r>
          <rPr>
            <sz val="10"/>
            <color indexed="81"/>
            <rFont val="Tahoma"/>
            <family val="2"/>
          </rPr>
          <t>3.5V to 60V</t>
        </r>
      </text>
    </comment>
    <comment ref="H9" authorId="0" shapeId="0" xr:uid="{00000000-0006-0000-0000-000006000000}">
      <text>
        <r>
          <rPr>
            <b/>
            <u/>
            <sz val="11"/>
            <color indexed="81"/>
            <rFont val="Tahoma"/>
            <family val="2"/>
          </rPr>
          <t>Maximum Operating Votlage</t>
        </r>
        <r>
          <rPr>
            <sz val="9"/>
            <color indexed="81"/>
            <rFont val="Tahoma"/>
            <family val="2"/>
          </rPr>
          <t xml:space="preserve">
</t>
        </r>
        <r>
          <rPr>
            <sz val="10"/>
            <color indexed="81"/>
            <rFont val="Tahoma"/>
            <family val="2"/>
          </rPr>
          <t>Enter the maximum operating voltage. If the BIAS pin voltage is less than greater than the specified maximum of the LM5155/56 external circuitry can be added. Please see the LM5155/56 webpage</t>
        </r>
        <r>
          <rPr>
            <sz val="9"/>
            <color indexed="81"/>
            <rFont val="Tahoma"/>
            <family val="2"/>
          </rPr>
          <t xml:space="preserve">
</t>
        </r>
        <r>
          <rPr>
            <b/>
            <u/>
            <sz val="11"/>
            <color indexed="81"/>
            <rFont val="Tahoma"/>
            <family val="2"/>
          </rPr>
          <t>Operating Range</t>
        </r>
        <r>
          <rPr>
            <sz val="9"/>
            <color indexed="81"/>
            <rFont val="Tahoma"/>
            <family val="2"/>
          </rPr>
          <t xml:space="preserve">
</t>
        </r>
        <r>
          <rPr>
            <sz val="11"/>
            <color indexed="10"/>
            <rFont val="Tahoma"/>
            <family val="2"/>
          </rPr>
          <t>LM5155:</t>
        </r>
        <r>
          <rPr>
            <sz val="9"/>
            <color indexed="81"/>
            <rFont val="Tahoma"/>
            <family val="2"/>
          </rPr>
          <t xml:space="preserve"> 3.5V to 45V
</t>
        </r>
        <r>
          <rPr>
            <sz val="11"/>
            <color indexed="10"/>
            <rFont val="Tahoma"/>
            <family val="2"/>
          </rPr>
          <t>LM5156</t>
        </r>
        <r>
          <rPr>
            <sz val="9"/>
            <color indexed="81"/>
            <rFont val="Tahoma"/>
            <family val="2"/>
          </rPr>
          <t xml:space="preserve">: 3.5V to 60V
</t>
        </r>
      </text>
    </comment>
    <comment ref="N10" authorId="0" shapeId="0" xr:uid="{00000000-0006-0000-0000-000007000000}">
      <text>
        <r>
          <rPr>
            <b/>
            <u/>
            <sz val="9"/>
            <color indexed="81"/>
            <rFont val="Tahoma"/>
            <family val="2"/>
          </rPr>
          <t>Load 1 Turns Ratio</t>
        </r>
        <r>
          <rPr>
            <sz val="9"/>
            <color indexed="81"/>
            <rFont val="Tahoma"/>
            <family val="2"/>
          </rPr>
          <t xml:space="preserve">
The turns ratio on the secondary winding of load 1. 
</t>
        </r>
        <r>
          <rPr>
            <b/>
            <sz val="9"/>
            <color indexed="10"/>
            <rFont val="Tahoma"/>
            <family val="2"/>
          </rPr>
          <t>The primary turns ratio (Np) is assumed to be 1</t>
        </r>
      </text>
    </comment>
    <comment ref="N11" authorId="0" shapeId="0" xr:uid="{00000000-0006-0000-0000-000008000000}">
      <text>
        <r>
          <rPr>
            <b/>
            <u/>
            <sz val="9"/>
            <color indexed="81"/>
            <rFont val="Tahoma"/>
            <family val="2"/>
          </rPr>
          <t>DC Resistance of Load 1 Winding</t>
        </r>
        <r>
          <rPr>
            <sz val="9"/>
            <color indexed="81"/>
            <rFont val="Tahoma"/>
            <family val="2"/>
          </rPr>
          <t xml:space="preserve">
Resistance of load 1 winding. For high current outputs this value should be minimized</t>
        </r>
      </text>
    </comment>
    <comment ref="H14" authorId="0" shapeId="0" xr:uid="{00000000-0006-0000-0000-000009000000}">
      <text>
        <r>
          <rPr>
            <b/>
            <u/>
            <sz val="11"/>
            <color indexed="81"/>
            <rFont val="Tahoma"/>
            <family val="2"/>
          </rPr>
          <t>Operating Frequency Set by RT</t>
        </r>
        <r>
          <rPr>
            <b/>
            <sz val="9"/>
            <color indexed="81"/>
            <rFont val="Tahoma"/>
            <family val="2"/>
          </rPr>
          <t xml:space="preserve">
</t>
        </r>
        <r>
          <rPr>
            <sz val="10"/>
            <color indexed="81"/>
            <rFont val="Tahoma"/>
            <family val="2"/>
          </rPr>
          <t>This cell defines the free running switching frequency</t>
        </r>
        <r>
          <rPr>
            <b/>
            <sz val="9"/>
            <color indexed="81"/>
            <rFont val="Tahoma"/>
            <family val="2"/>
          </rPr>
          <t xml:space="preserve">
Text turns red if:
</t>
        </r>
        <r>
          <rPr>
            <sz val="10"/>
            <color indexed="81"/>
            <rFont val="Tahoma"/>
            <family val="2"/>
          </rPr>
          <t xml:space="preserve">Frequency is set below: </t>
        </r>
        <r>
          <rPr>
            <sz val="10"/>
            <color indexed="10"/>
            <rFont val="Tahoma"/>
            <family val="2"/>
          </rPr>
          <t>50kHz</t>
        </r>
        <r>
          <rPr>
            <sz val="10"/>
            <color indexed="81"/>
            <rFont val="Tahoma"/>
            <family val="2"/>
          </rPr>
          <t xml:space="preserve">
Frequenyc is set above: </t>
        </r>
        <r>
          <rPr>
            <sz val="10"/>
            <color indexed="10"/>
            <rFont val="Tahoma"/>
            <family val="2"/>
          </rPr>
          <t>2.2MHz</t>
        </r>
        <r>
          <rPr>
            <sz val="9"/>
            <color indexed="81"/>
            <rFont val="Tahoma"/>
            <family val="2"/>
          </rPr>
          <t xml:space="preserve">
</t>
        </r>
      </text>
    </comment>
    <comment ref="H17" authorId="0" shapeId="0" xr:uid="{00000000-0006-0000-0000-00000A000000}">
      <text>
        <r>
          <rPr>
            <b/>
            <u/>
            <sz val="10"/>
            <color indexed="81"/>
            <rFont val="Tahoma"/>
            <family val="2"/>
          </rPr>
          <t xml:space="preserve">Maximum duty cycle </t>
        </r>
        <r>
          <rPr>
            <sz val="9"/>
            <color indexed="81"/>
            <rFont val="Tahoma"/>
            <family val="2"/>
          </rPr>
          <t xml:space="preserve">
</t>
        </r>
        <r>
          <rPr>
            <sz val="10"/>
            <color indexed="81"/>
            <rFont val="Tahoma"/>
            <family val="2"/>
          </rPr>
          <t>Desired maximum duty cycle of the regulator. If the duty cycle the is set less than 50% the need for external slope compensation is removed. 
Typically between 30% to 70% is  a good starting point.</t>
        </r>
        <r>
          <rPr>
            <sz val="9"/>
            <color indexed="81"/>
            <rFont val="Tahoma"/>
            <family val="2"/>
          </rPr>
          <t xml:space="preserve">
</t>
        </r>
      </text>
    </comment>
    <comment ref="H22" authorId="0" shapeId="0" xr:uid="{00000000-0006-0000-0000-00000B000000}">
      <text>
        <r>
          <rPr>
            <b/>
            <u/>
            <sz val="9"/>
            <color indexed="81"/>
            <rFont val="Tahoma"/>
            <family val="2"/>
          </rPr>
          <t>Primary winding current ripple ratio</t>
        </r>
        <r>
          <rPr>
            <b/>
            <sz val="9"/>
            <color indexed="81"/>
            <rFont val="Tahoma"/>
            <family val="2"/>
          </rPr>
          <t xml:space="preserve">
</t>
        </r>
        <r>
          <rPr>
            <sz val="9"/>
            <color indexed="81"/>
            <rFont val="Tahoma"/>
            <family val="2"/>
          </rPr>
          <t>The ratio between the ripple current vs the average current in the primary winding
30% to 70% ripple is a good starting point.</t>
        </r>
      </text>
    </comment>
    <comment ref="H24" authorId="0" shapeId="0" xr:uid="{00000000-0006-0000-0000-00000C000000}">
      <text>
        <r>
          <rPr>
            <b/>
            <sz val="9"/>
            <color indexed="81"/>
            <rFont val="Tahoma"/>
            <family val="2"/>
          </rPr>
          <t>Primary Winding Inductance</t>
        </r>
        <r>
          <rPr>
            <sz val="9"/>
            <color indexed="81"/>
            <rFont val="Tahoma"/>
            <family val="2"/>
          </rPr>
          <t xml:space="preserve">
Enter the primary winding magnetizing inductance here.
This cell will</t>
        </r>
      </text>
    </comment>
    <comment ref="H25" authorId="0" shapeId="0" xr:uid="{00000000-0006-0000-0000-00000D000000}">
      <text>
        <r>
          <rPr>
            <b/>
            <u/>
            <sz val="9"/>
            <color indexed="81"/>
            <rFont val="Tahoma"/>
            <family val="2"/>
          </rPr>
          <t>DC Resistance of Primary Winding</t>
        </r>
        <r>
          <rPr>
            <b/>
            <sz val="9"/>
            <color indexed="81"/>
            <rFont val="Tahoma"/>
            <family val="2"/>
          </rPr>
          <t xml:space="preserve">
</t>
        </r>
        <r>
          <rPr>
            <sz val="9"/>
            <color indexed="81"/>
            <rFont val="Tahoma"/>
            <family val="2"/>
          </rPr>
          <t xml:space="preserve">Resistance of Primary winding. For high power applications this value should be minimized
</t>
        </r>
      </text>
    </comment>
    <comment ref="H26" authorId="0" shapeId="0" xr:uid="{00000000-0006-0000-0000-00000E000000}">
      <text>
        <r>
          <rPr>
            <b/>
            <u/>
            <sz val="9"/>
            <color indexed="81"/>
            <rFont val="Tahoma"/>
            <family val="2"/>
          </rPr>
          <t>Primary Winding Peak Current:</t>
        </r>
        <r>
          <rPr>
            <b/>
            <sz val="9"/>
            <color indexed="81"/>
            <rFont val="Tahoma"/>
            <family val="2"/>
          </rPr>
          <t xml:space="preserve">
</t>
        </r>
        <r>
          <rPr>
            <sz val="9"/>
            <color indexed="81"/>
            <rFont val="Tahoma"/>
            <family val="2"/>
          </rPr>
          <t xml:space="preserve">Peak current in the primary winding at full output power.
</t>
        </r>
      </text>
    </comment>
    <comment ref="H30" authorId="0" shapeId="0" xr:uid="{00000000-0006-0000-0000-00000F000000}">
      <text>
        <r>
          <rPr>
            <b/>
            <u/>
            <sz val="9"/>
            <color indexed="81"/>
            <rFont val="Tahoma"/>
            <family val="2"/>
          </rPr>
          <t>Peak current Limit Margin</t>
        </r>
        <r>
          <rPr>
            <b/>
            <sz val="9"/>
            <color indexed="81"/>
            <rFont val="Tahoma"/>
            <family val="2"/>
          </rPr>
          <t xml:space="preserve">
</t>
        </r>
        <r>
          <rPr>
            <sz val="9"/>
            <color indexed="81"/>
            <rFont val="Tahoma"/>
            <family val="2"/>
          </rPr>
          <t xml:space="preserve">Percentage above the calculate maximum peak current in the primimary winding. This value sets the required peak current limit
</t>
        </r>
        <r>
          <rPr>
            <sz val="9"/>
            <color indexed="10"/>
            <rFont val="Tahoma"/>
            <family val="2"/>
          </rPr>
          <t>Typically this value should be above 20%, allowing for component tolerances and efficiency</t>
        </r>
        <r>
          <rPr>
            <sz val="9"/>
            <color indexed="81"/>
            <rFont val="Tahoma"/>
            <family val="2"/>
          </rPr>
          <t xml:space="preserve">
</t>
        </r>
      </text>
    </comment>
    <comment ref="H32" authorId="0" shapeId="0" xr:uid="{00000000-0006-0000-0000-000010000000}">
      <text>
        <r>
          <rPr>
            <b/>
            <u/>
            <sz val="9"/>
            <color indexed="81"/>
            <rFont val="Tahoma"/>
            <family val="2"/>
          </rPr>
          <t>Recommended Current Sense Resistor (R</t>
        </r>
        <r>
          <rPr>
            <b/>
            <u/>
            <vertAlign val="subscript"/>
            <sz val="9"/>
            <color indexed="81"/>
            <rFont val="Tahoma"/>
            <family val="2"/>
          </rPr>
          <t>S</t>
        </r>
        <r>
          <rPr>
            <b/>
            <u/>
            <sz val="9"/>
            <color indexed="81"/>
            <rFont val="Tahoma"/>
            <family val="2"/>
          </rPr>
          <t>)</t>
        </r>
        <r>
          <rPr>
            <sz val="9"/>
            <color indexed="81"/>
            <rFont val="Tahoma"/>
            <family val="2"/>
          </rPr>
          <t xml:space="preserve">
Use this resistor to sense current and set the peak overcurrent protection. As such, the calculation takes the required current limit setpoint and the primary winding ripple current amplitude to calculate R</t>
        </r>
        <r>
          <rPr>
            <vertAlign val="subscript"/>
            <sz val="9"/>
            <color indexed="81"/>
            <rFont val="Tahoma"/>
            <family val="2"/>
          </rPr>
          <t>S</t>
        </r>
        <r>
          <rPr>
            <sz val="9"/>
            <color indexed="81"/>
            <rFont val="Tahoma"/>
            <family val="2"/>
          </rPr>
          <t xml:space="preserve">.
The current limit threshold voltage is 100mV with ±10% tolerance.
</t>
        </r>
      </text>
    </comment>
    <comment ref="H33" authorId="0" shapeId="0" xr:uid="{00000000-0006-0000-0000-000011000000}">
      <text>
        <r>
          <rPr>
            <b/>
            <u/>
            <sz val="9"/>
            <color indexed="81"/>
            <rFont val="Tahoma"/>
            <family val="2"/>
          </rPr>
          <t>Recommended External Slope Compensation (R</t>
        </r>
        <r>
          <rPr>
            <b/>
            <u/>
            <vertAlign val="subscript"/>
            <sz val="9"/>
            <color indexed="81"/>
            <rFont val="Tahoma"/>
            <family val="2"/>
          </rPr>
          <t>SL</t>
        </r>
        <r>
          <rPr>
            <b/>
            <u/>
            <sz val="9"/>
            <color indexed="81"/>
            <rFont val="Tahoma"/>
            <family val="2"/>
          </rPr>
          <t>)</t>
        </r>
        <r>
          <rPr>
            <sz val="9"/>
            <color indexed="81"/>
            <rFont val="Tahoma"/>
            <family val="2"/>
          </rPr>
          <t xml:space="preserve">
External Slope compensation. This is only required when operting in CCM mode.</t>
        </r>
      </text>
    </comment>
    <comment ref="H36" authorId="0" shapeId="0" xr:uid="{00000000-0006-0000-0000-000012000000}">
      <text>
        <r>
          <rPr>
            <b/>
            <u/>
            <sz val="9"/>
            <color indexed="81"/>
            <rFont val="Tahoma"/>
            <family val="2"/>
          </rPr>
          <t>Transformer Primary Winding peak current limit</t>
        </r>
        <r>
          <rPr>
            <b/>
            <sz val="9"/>
            <color indexed="81"/>
            <rFont val="Tahoma"/>
            <family val="2"/>
          </rPr>
          <t xml:space="preserve">
</t>
        </r>
        <r>
          <rPr>
            <sz val="9"/>
            <color indexed="81"/>
            <rFont val="Tahoma"/>
            <family val="2"/>
          </rPr>
          <t>Maximum current in the inductor usually occurs at VIN(min). The result is corresponds to onset of current limit and is intended as a guide to transformer selection as it relates to saturation current</t>
        </r>
        <r>
          <rPr>
            <b/>
            <sz val="9"/>
            <color indexed="81"/>
            <rFont val="Tahoma"/>
            <family val="2"/>
          </rPr>
          <t>.</t>
        </r>
      </text>
    </comment>
    <comment ref="H40" authorId="0" shapeId="0" xr:uid="{00000000-0006-0000-0000-000013000000}">
      <text>
        <r>
          <rPr>
            <b/>
            <u/>
            <sz val="9"/>
            <color indexed="81"/>
            <rFont val="Tahoma"/>
            <family val="2"/>
          </rPr>
          <t>Load 1 Load Transient Voltage Ripple</t>
        </r>
        <r>
          <rPr>
            <sz val="9"/>
            <color indexed="81"/>
            <rFont val="Tahoma"/>
            <family val="2"/>
          </rPr>
          <t xml:space="preserve">
Desired output voltage transient for 50% load to 100% load step.
</t>
        </r>
      </text>
    </comment>
    <comment ref="H42" authorId="0" shapeId="0" xr:uid="{00000000-0006-0000-0000-000014000000}">
      <text>
        <r>
          <rPr>
            <b/>
            <u/>
            <sz val="9"/>
            <color indexed="81"/>
            <rFont val="Tahoma"/>
            <family val="2"/>
          </rPr>
          <t>Load 1 Output Capacitance:</t>
        </r>
        <r>
          <rPr>
            <b/>
            <sz val="9"/>
            <color indexed="81"/>
            <rFont val="Tahoma"/>
            <family val="2"/>
          </rPr>
          <t xml:space="preserve">
</t>
        </r>
        <r>
          <rPr>
            <sz val="9"/>
            <color indexed="81"/>
            <rFont val="Tahoma"/>
            <family val="2"/>
          </rPr>
          <t xml:space="preserve">Enter the output capacitance here based on the minimum calculated result. Make sure that the nominal capacitance is appropriately derated for applied voltage, particularly with ceramics.
</t>
        </r>
      </text>
    </comment>
    <comment ref="G47" authorId="0" shapeId="0" xr:uid="{00000000-0006-0000-0000-000015000000}">
      <text>
        <r>
          <rPr>
            <b/>
            <u/>
            <sz val="9"/>
            <color indexed="81"/>
            <rFont val="Tahoma"/>
            <family val="2"/>
          </rPr>
          <t>Soft-start Capacitor</t>
        </r>
        <r>
          <rPr>
            <sz val="9"/>
            <color indexed="81"/>
            <rFont val="Tahoma"/>
            <family val="2"/>
          </rPr>
          <t xml:space="preserve">
If the feedback is selected to be isolated a secondary side soft-start cirucuit should be implemented.</t>
        </r>
      </text>
    </comment>
    <comment ref="H52" authorId="0" shapeId="0" xr:uid="{00000000-0006-0000-0000-000016000000}">
      <text>
        <r>
          <rPr>
            <b/>
            <u/>
            <sz val="9"/>
            <color indexed="81"/>
            <rFont val="Tahoma"/>
            <family val="2"/>
          </rPr>
          <t>UVLO On Voltage</t>
        </r>
        <r>
          <rPr>
            <sz val="9"/>
            <color indexed="81"/>
            <rFont val="Tahoma"/>
            <family val="2"/>
          </rPr>
          <t xml:space="preserve">
Input voltage when LM5155 starts switching. Assuming the UVLO resistor divider is connected to the input rail. This value should be greater than the V</t>
        </r>
        <r>
          <rPr>
            <vertAlign val="subscript"/>
            <sz val="9"/>
            <color indexed="81"/>
            <rFont val="Tahoma"/>
            <family val="2"/>
          </rPr>
          <t xml:space="preserve">UVLO_OFF  </t>
        </r>
        <r>
          <rPr>
            <sz val="9"/>
            <color indexed="81"/>
            <rFont val="Tahoma"/>
            <family val="2"/>
          </rPr>
          <t>voltage
If more hystersis between V</t>
        </r>
        <r>
          <rPr>
            <vertAlign val="subscript"/>
            <sz val="9"/>
            <color indexed="81"/>
            <rFont val="Tahoma"/>
            <family val="2"/>
          </rPr>
          <t>UVLO_ON</t>
        </r>
        <r>
          <rPr>
            <sz val="9"/>
            <color indexed="81"/>
            <rFont val="Tahoma"/>
            <family val="2"/>
          </rPr>
          <t xml:space="preserve"> and V</t>
        </r>
        <r>
          <rPr>
            <vertAlign val="subscript"/>
            <sz val="9"/>
            <color indexed="81"/>
            <rFont val="Tahoma"/>
            <family val="2"/>
          </rPr>
          <t>UVLO_OFF</t>
        </r>
        <r>
          <rPr>
            <sz val="9"/>
            <color indexed="81"/>
            <rFont val="Tahoma"/>
            <family val="2"/>
          </rPr>
          <t xml:space="preserve"> see the datasheet.
</t>
        </r>
      </text>
    </comment>
    <comment ref="H53" authorId="0" shapeId="0" xr:uid="{00000000-0006-0000-0000-000017000000}">
      <text>
        <r>
          <rPr>
            <b/>
            <u/>
            <sz val="9"/>
            <color indexed="81"/>
            <rFont val="Tahoma"/>
            <family val="2"/>
          </rPr>
          <t xml:space="preserve">UVLO Off Voltage
</t>
        </r>
        <r>
          <rPr>
            <sz val="9"/>
            <color indexed="81"/>
            <rFont val="Tahoma"/>
            <family val="2"/>
          </rPr>
          <t xml:space="preserve">
Input voltage when LM5155 stops switching. Assuming the UVLO resistor divider is connected to the input rail. This value should be less than the V</t>
        </r>
        <r>
          <rPr>
            <vertAlign val="subscript"/>
            <sz val="9"/>
            <color indexed="81"/>
            <rFont val="Tahoma"/>
            <family val="2"/>
          </rPr>
          <t>UVLO_ON</t>
        </r>
        <r>
          <rPr>
            <sz val="9"/>
            <color indexed="81"/>
            <rFont val="Tahoma"/>
            <family val="2"/>
          </rPr>
          <t xml:space="preserve">  voltage.
If more hystersis between V</t>
        </r>
        <r>
          <rPr>
            <vertAlign val="subscript"/>
            <sz val="9"/>
            <color indexed="81"/>
            <rFont val="Tahoma"/>
            <family val="2"/>
          </rPr>
          <t>UVLO_ON</t>
        </r>
        <r>
          <rPr>
            <sz val="9"/>
            <color indexed="81"/>
            <rFont val="Tahoma"/>
            <family val="2"/>
          </rPr>
          <t xml:space="preserve"> and V</t>
        </r>
        <r>
          <rPr>
            <vertAlign val="subscript"/>
            <sz val="9"/>
            <color indexed="81"/>
            <rFont val="Tahoma"/>
            <family val="2"/>
          </rPr>
          <t>UVLO_OFF</t>
        </r>
        <r>
          <rPr>
            <sz val="9"/>
            <color indexed="81"/>
            <rFont val="Tahoma"/>
            <family val="2"/>
          </rPr>
          <t xml:space="preserve"> see the datasheet.</t>
        </r>
      </text>
    </comment>
    <comment ref="H62" authorId="0" shapeId="0" xr:uid="{00000000-0006-0000-0000-000018000000}">
      <text>
        <r>
          <rPr>
            <b/>
            <u/>
            <sz val="9"/>
            <color indexed="81"/>
            <rFont val="Tahoma"/>
            <family val="2"/>
          </rPr>
          <t xml:space="preserve">External Reference Voltage
</t>
        </r>
        <r>
          <rPr>
            <sz val="9"/>
            <color indexed="81"/>
            <rFont val="Tahoma"/>
            <family val="2"/>
          </rPr>
          <t xml:space="preserve">Isolated feedback requires the use of an external voltage reference on the secondary side. This is the voltage of the external shunt voltage reference. 
For low ouput voltages (&lt;5V) it is recommended to select a reference voltage of ~1.24V to help simplify the loop compensation design.
</t>
        </r>
      </text>
    </comment>
    <comment ref="H68" authorId="0" shapeId="0" xr:uid="{00000000-0006-0000-0000-000019000000}">
      <text>
        <r>
          <rPr>
            <b/>
            <u/>
            <sz val="10"/>
            <color indexed="81"/>
            <rFont val="Tahoma"/>
            <family val="2"/>
          </rPr>
          <t>Minimum Current Transfer Ratio</t>
        </r>
        <r>
          <rPr>
            <sz val="9"/>
            <color indexed="81"/>
            <rFont val="Tahoma"/>
            <family val="2"/>
          </rPr>
          <t xml:space="preserve">
</t>
        </r>
        <r>
          <rPr>
            <sz val="10"/>
            <color indexed="81"/>
            <rFont val="Tahoma"/>
            <family val="2"/>
          </rPr>
          <t xml:space="preserve">Minimum specified current transfer ratio (CTR) of the selected optocoupler. This is the gain of the optocoupler and is the ratio of the phototransistor collector current to the diode forward current.
As the minimum CTR and the maximum CTR become closer the easier the loop compensation becomes. </t>
        </r>
      </text>
    </comment>
    <comment ref="H69" authorId="0" shapeId="0" xr:uid="{00000000-0006-0000-0000-00001A000000}">
      <text>
        <r>
          <rPr>
            <b/>
            <sz val="9"/>
            <color indexed="81"/>
            <rFont val="Tahoma"/>
            <family val="2"/>
          </rPr>
          <t xml:space="preserve">Minimum Current Transfer Ratio
</t>
        </r>
        <r>
          <rPr>
            <sz val="9"/>
            <color indexed="81"/>
            <rFont val="Tahoma"/>
            <family val="2"/>
          </rPr>
          <t>Minimum specified current transfer ratio (CTR) of the selected optocoupler. This is the gain of the optocoupler and is the ratio of the phototransistor collector current to the diode forward current.
As the minimum CTR and the maximum CTR become closer the easier the loop compensation becomes.</t>
        </r>
        <r>
          <rPr>
            <b/>
            <sz val="9"/>
            <color indexed="81"/>
            <rFont val="Tahoma"/>
            <family val="2"/>
          </rPr>
          <t xml:space="preserve"> </t>
        </r>
        <r>
          <rPr>
            <sz val="9"/>
            <color indexed="81"/>
            <rFont val="Tahoma"/>
            <family val="2"/>
          </rPr>
          <t xml:space="preserve">
</t>
        </r>
      </text>
    </comment>
    <comment ref="H70" authorId="0" shapeId="0" xr:uid="{00000000-0006-0000-0000-00001B000000}">
      <text>
        <r>
          <rPr>
            <b/>
            <u/>
            <sz val="9"/>
            <color indexed="81"/>
            <rFont val="Tahoma"/>
            <family val="2"/>
          </rPr>
          <t>Optocoupler Diode Forward Voltage Drop</t>
        </r>
        <r>
          <rPr>
            <sz val="9"/>
            <color indexed="81"/>
            <rFont val="Tahoma"/>
            <family val="2"/>
          </rPr>
          <t xml:space="preserve">
Use the specified voltage diode voltage drop from the optocoupler datasheet. Typically this is specified with a couple milliamperes (mA) of forward current</t>
        </r>
      </text>
    </comment>
    <comment ref="H71" authorId="0" shapeId="0" xr:uid="{00000000-0006-0000-0000-00001C000000}">
      <text>
        <r>
          <rPr>
            <b/>
            <u/>
            <sz val="9"/>
            <color indexed="81"/>
            <rFont val="Tahoma"/>
            <family val="2"/>
          </rPr>
          <t xml:space="preserve">Phototransistor Collector Capacitance
</t>
        </r>
        <r>
          <rPr>
            <sz val="9"/>
            <color indexed="81"/>
            <rFont val="Tahoma"/>
            <family val="2"/>
          </rPr>
          <t>The capacitance of the phototransistor collector. This sets the high frequency pole in the error amplifier frequency response. This can be estimated by using the frequency response of the optocoupler from the datasheet and the pull-up resistor value.
C</t>
        </r>
        <r>
          <rPr>
            <vertAlign val="subscript"/>
            <sz val="9"/>
            <color indexed="81"/>
            <rFont val="Tahoma"/>
            <family val="2"/>
          </rPr>
          <t>OPTO</t>
        </r>
        <r>
          <rPr>
            <sz val="9"/>
            <color indexed="81"/>
            <rFont val="Tahoma"/>
            <family val="2"/>
          </rPr>
          <t xml:space="preserve"> = 1/(2</t>
        </r>
        <r>
          <rPr>
            <sz val="9"/>
            <color indexed="81"/>
            <rFont val="Calibri"/>
            <family val="2"/>
          </rPr>
          <t>π</t>
        </r>
        <r>
          <rPr>
            <sz val="9"/>
            <color indexed="81"/>
            <rFont val="Tahoma"/>
            <family val="2"/>
          </rPr>
          <t>*R</t>
        </r>
        <r>
          <rPr>
            <vertAlign val="subscript"/>
            <sz val="9"/>
            <color indexed="81"/>
            <rFont val="Tahoma"/>
            <family val="2"/>
          </rPr>
          <t>PULLUP</t>
        </r>
        <r>
          <rPr>
            <sz val="9"/>
            <color indexed="81"/>
            <rFont val="Tahoma"/>
            <family val="2"/>
          </rPr>
          <t>*f</t>
        </r>
        <r>
          <rPr>
            <vertAlign val="subscript"/>
            <sz val="9"/>
            <color indexed="81"/>
            <rFont val="Tahoma"/>
            <family val="2"/>
          </rPr>
          <t>CUTOFF</t>
        </r>
        <r>
          <rPr>
            <sz val="9"/>
            <color indexed="81"/>
            <rFont val="Tahoma"/>
            <family val="2"/>
          </rPr>
          <t>)
A capacitor can be added in parallel to the phototransistor to lower the pole frequency as needed.</t>
        </r>
      </text>
    </comment>
    <comment ref="H72" authorId="0" shapeId="0" xr:uid="{00000000-0006-0000-0000-00001D000000}">
      <text>
        <r>
          <rPr>
            <b/>
            <u/>
            <sz val="9"/>
            <color indexed="81"/>
            <rFont val="Tahoma"/>
            <family val="2"/>
          </rPr>
          <t xml:space="preserve">Phototransistor Saturation voltage
</t>
        </r>
        <r>
          <rPr>
            <sz val="9"/>
            <color indexed="81"/>
            <rFont val="Tahoma"/>
            <family val="2"/>
          </rPr>
          <t>Saturation voltage of the phototransistor as specified in the optocoupler datasheet.</t>
        </r>
      </text>
    </comment>
    <comment ref="H75" authorId="0" shapeId="0" xr:uid="{00000000-0006-0000-0000-00001E000000}">
      <text>
        <r>
          <rPr>
            <b/>
            <u/>
            <sz val="9"/>
            <color indexed="81"/>
            <rFont val="Tahoma"/>
            <family val="2"/>
          </rPr>
          <t>Pull up voltage (V</t>
        </r>
        <r>
          <rPr>
            <b/>
            <u/>
            <vertAlign val="subscript"/>
            <sz val="9"/>
            <color indexed="81"/>
            <rFont val="Tahoma"/>
            <family val="2"/>
          </rPr>
          <t>PULLUP</t>
        </r>
        <r>
          <rPr>
            <b/>
            <u/>
            <sz val="9"/>
            <color indexed="81"/>
            <rFont val="Tahoma"/>
            <family val="2"/>
          </rPr>
          <t>)</t>
        </r>
        <r>
          <rPr>
            <sz val="9"/>
            <color indexed="81"/>
            <rFont val="Tahoma"/>
            <family val="2"/>
          </rPr>
          <t xml:space="preserve">
This can be the VCC voltage of the LM5155/56 or can be supplied by an auxillary winding on the primary side. This value will affect the selection of the pull up resistor.</t>
        </r>
      </text>
    </comment>
    <comment ref="H77" authorId="0" shapeId="0" xr:uid="{00000000-0006-0000-0000-00001F000000}">
      <text>
        <r>
          <rPr>
            <b/>
            <u/>
            <sz val="9"/>
            <color indexed="81"/>
            <rFont val="Tahoma"/>
            <family val="2"/>
          </rPr>
          <t>Pullup Resistor Value</t>
        </r>
        <r>
          <rPr>
            <sz val="9"/>
            <color indexed="81"/>
            <rFont val="Tahoma"/>
            <family val="2"/>
          </rPr>
          <t xml:space="preserve">
Resistor between VPULLUP and the collector of the phototransistor of the  optocoupler. This resistor selection directly affects the mid-band gain of the error amplifier bandwidth</t>
        </r>
      </text>
    </comment>
    <comment ref="H79" authorId="0" shapeId="0" xr:uid="{00000000-0006-0000-0000-000020000000}">
      <text>
        <r>
          <rPr>
            <b/>
            <u/>
            <sz val="9"/>
            <color indexed="81"/>
            <rFont val="Tahoma"/>
            <family val="2"/>
          </rPr>
          <t>LED Resistor (R</t>
        </r>
        <r>
          <rPr>
            <b/>
            <u/>
            <vertAlign val="subscript"/>
            <sz val="9"/>
            <color indexed="81"/>
            <rFont val="Tahoma"/>
            <family val="2"/>
          </rPr>
          <t>LED</t>
        </r>
        <r>
          <rPr>
            <b/>
            <u/>
            <sz val="9"/>
            <color indexed="81"/>
            <rFont val="Tahoma"/>
            <family val="2"/>
          </rPr>
          <t>)</t>
        </r>
        <r>
          <rPr>
            <sz val="9"/>
            <color indexed="81"/>
            <rFont val="Tahoma"/>
            <family val="2"/>
          </rPr>
          <t xml:space="preserve">
Resistor connected between the output voltage and the anode of optocoupler diode. This value should be less than the calculated R</t>
        </r>
        <r>
          <rPr>
            <vertAlign val="subscript"/>
            <sz val="9"/>
            <color indexed="81"/>
            <rFont val="Tahoma"/>
            <family val="2"/>
          </rPr>
          <t>LED_max</t>
        </r>
        <r>
          <rPr>
            <sz val="9"/>
            <color indexed="81"/>
            <rFont val="Tahoma"/>
            <family val="2"/>
          </rPr>
          <t xml:space="preserve"> value above.</t>
        </r>
      </text>
    </comment>
    <comment ref="H83" authorId="0" shapeId="0" xr:uid="{00000000-0006-0000-0000-000021000000}">
      <text>
        <r>
          <rPr>
            <b/>
            <u/>
            <sz val="9"/>
            <color indexed="81"/>
            <rFont val="Tahoma"/>
            <family val="2"/>
          </rPr>
          <t>Selected Loop Crossover Frequency</t>
        </r>
        <r>
          <rPr>
            <sz val="9"/>
            <color indexed="81"/>
            <rFont val="Tahoma"/>
            <family val="2"/>
          </rPr>
          <t xml:space="preserve">
Selected crossover frequency of the control loop. It is recommend to select this value to be less than the cell above.</t>
        </r>
      </text>
    </comment>
    <comment ref="H86" authorId="0" shapeId="0" xr:uid="{00000000-0006-0000-0000-000022000000}">
      <text>
        <r>
          <rPr>
            <b/>
            <u/>
            <sz val="9"/>
            <color indexed="81"/>
            <rFont val="Tahoma"/>
            <family val="2"/>
          </rPr>
          <t>Compensation Resistor Selection (R</t>
        </r>
        <r>
          <rPr>
            <b/>
            <u/>
            <vertAlign val="subscript"/>
            <sz val="9"/>
            <color indexed="81"/>
            <rFont val="Tahoma"/>
            <family val="2"/>
          </rPr>
          <t>COMP</t>
        </r>
        <r>
          <rPr>
            <b/>
            <u/>
            <sz val="9"/>
            <color indexed="81"/>
            <rFont val="Tahoma"/>
            <family val="2"/>
          </rPr>
          <t>)</t>
        </r>
        <r>
          <rPr>
            <b/>
            <sz val="9"/>
            <color indexed="81"/>
            <rFont val="Tahoma"/>
            <family val="2"/>
          </rPr>
          <t xml:space="preserve">
</t>
        </r>
        <r>
          <rPr>
            <sz val="9"/>
            <color indexed="81"/>
            <rFont val="Tahoma"/>
            <family val="2"/>
          </rPr>
          <t>Directly affects the location for the compensation zero and the mid-band gain.
Increasing this value will increase the cross over frequency but decrease the phase margin.</t>
        </r>
      </text>
    </comment>
    <comment ref="H87" authorId="0" shapeId="0" xr:uid="{00000000-0006-0000-0000-000023000000}">
      <text>
        <r>
          <rPr>
            <b/>
            <u/>
            <sz val="9"/>
            <color indexed="81"/>
            <rFont val="Tahoma"/>
            <family val="2"/>
          </rPr>
          <t>Compensation Resistor Selection (C</t>
        </r>
        <r>
          <rPr>
            <b/>
            <u/>
            <vertAlign val="subscript"/>
            <sz val="9"/>
            <color indexed="81"/>
            <rFont val="Tahoma"/>
            <family val="2"/>
          </rPr>
          <t>COMP</t>
        </r>
        <r>
          <rPr>
            <b/>
            <u/>
            <sz val="9"/>
            <color indexed="81"/>
            <rFont val="Tahoma"/>
            <family val="2"/>
          </rPr>
          <t>)</t>
        </r>
        <r>
          <rPr>
            <b/>
            <sz val="9"/>
            <color indexed="81"/>
            <rFont val="Tahoma"/>
            <family val="2"/>
          </rPr>
          <t xml:space="preserve">
</t>
        </r>
        <r>
          <rPr>
            <sz val="9"/>
            <color indexed="81"/>
            <rFont val="Tahoma"/>
            <family val="2"/>
          </rPr>
          <t>Directly affects the location for the compensation zero. Increasing this value will decrease compensation zero location and increase the phase margin</t>
        </r>
        <r>
          <rPr>
            <b/>
            <sz val="9"/>
            <color indexed="81"/>
            <rFont val="Tahoma"/>
            <family val="2"/>
          </rPr>
          <t>.</t>
        </r>
        <r>
          <rPr>
            <sz val="9"/>
            <color indexed="81"/>
            <rFont val="Tahoma"/>
            <family val="2"/>
          </rPr>
          <t xml:space="preserve">
</t>
        </r>
      </text>
    </comment>
    <comment ref="H88" authorId="0" shapeId="0" xr:uid="{00000000-0006-0000-0000-000024000000}">
      <text>
        <r>
          <rPr>
            <b/>
            <u/>
            <sz val="9"/>
            <color indexed="81"/>
            <rFont val="Tahoma"/>
            <family val="2"/>
          </rPr>
          <t>Compensation Capacitor Selection (C</t>
        </r>
        <r>
          <rPr>
            <b/>
            <u/>
            <vertAlign val="subscript"/>
            <sz val="9"/>
            <color indexed="81"/>
            <rFont val="Tahoma"/>
            <family val="2"/>
          </rPr>
          <t>HF</t>
        </r>
        <r>
          <rPr>
            <b/>
            <u/>
            <sz val="9"/>
            <color indexed="81"/>
            <rFont val="Tahoma"/>
            <family val="2"/>
          </rPr>
          <t xml:space="preserve">)
</t>
        </r>
        <r>
          <rPr>
            <sz val="9"/>
            <color indexed="81"/>
            <rFont val="Tahoma"/>
            <family val="2"/>
          </rPr>
          <t xml:space="preserve">
Directly affects the location for the compensation pole. Increasing this value will decrease compensation zero frequency.</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BMC-BCS</author>
  </authors>
  <commentList>
    <comment ref="K112" authorId="0" shapeId="0" xr:uid="{00000000-0006-0000-0100-000001000000}">
      <text>
        <r>
          <rPr>
            <b/>
            <sz val="9"/>
            <color indexed="81"/>
            <rFont val="Tahoma"/>
            <family val="2"/>
          </rPr>
          <t xml:space="preserve">Slope Compensation flag. If this flag is tripped there is not enough slope compensation. Double check the calculated values
</t>
        </r>
        <r>
          <rPr>
            <sz val="9"/>
            <color indexed="81"/>
            <rFont val="Tahoma"/>
            <family val="2"/>
          </rPr>
          <t xml:space="preserve">
</t>
        </r>
      </text>
    </comment>
    <comment ref="K113" authorId="0" shapeId="0" xr:uid="{00000000-0006-0000-0100-000002000000}">
      <text>
        <r>
          <rPr>
            <sz val="9"/>
            <color indexed="81"/>
            <rFont val="Tahoma"/>
            <family val="2"/>
          </rPr>
          <t xml:space="preserve">Tripped if the current sense resistor results in a lower current limit
</t>
        </r>
      </text>
    </comment>
    <comment ref="B129" authorId="0" shapeId="0" xr:uid="{00000000-0006-0000-0100-000003000000}">
      <text>
        <r>
          <rPr>
            <b/>
            <sz val="9"/>
            <color indexed="81"/>
            <rFont val="Tahoma"/>
            <family val="2"/>
          </rPr>
          <t>BMC-BCS:</t>
        </r>
        <r>
          <rPr>
            <sz val="9"/>
            <color indexed="81"/>
            <rFont val="Tahoma"/>
            <family val="2"/>
          </rPr>
          <t xml:space="preserve">
Needs to be updated for flyback configuration
</t>
        </r>
      </text>
    </comment>
    <comment ref="B137" authorId="0" shapeId="0" xr:uid="{00000000-0006-0000-0100-000004000000}">
      <text>
        <r>
          <rPr>
            <b/>
            <sz val="9"/>
            <color indexed="81"/>
            <rFont val="Tahoma"/>
            <family val="2"/>
          </rPr>
          <t>BMC-BCS:</t>
        </r>
        <r>
          <rPr>
            <sz val="9"/>
            <color indexed="81"/>
            <rFont val="Tahoma"/>
            <family val="2"/>
          </rPr>
          <t xml:space="preserve">
Needs to be updated for flyback configuration
</t>
        </r>
      </text>
    </comment>
    <comment ref="B145" authorId="0" shapeId="0" xr:uid="{00000000-0006-0000-0100-000005000000}">
      <text>
        <r>
          <rPr>
            <b/>
            <sz val="9"/>
            <color indexed="81"/>
            <rFont val="Tahoma"/>
            <family val="2"/>
          </rPr>
          <t>BMC-BCS:</t>
        </r>
        <r>
          <rPr>
            <sz val="9"/>
            <color indexed="81"/>
            <rFont val="Tahoma"/>
            <family val="2"/>
          </rPr>
          <t xml:space="preserve">
Needs to be updated for flyback configuration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BMC-BCS</author>
  </authors>
  <commentList>
    <comment ref="N13" authorId="0" shapeId="0" xr:uid="{00000000-0006-0000-0200-000001000000}">
      <text>
        <r>
          <rPr>
            <b/>
            <sz val="9"/>
            <color indexed="81"/>
            <rFont val="Tahoma"/>
            <family val="2"/>
          </rPr>
          <t>BMC-BCS:</t>
        </r>
        <r>
          <rPr>
            <sz val="9"/>
            <color indexed="81"/>
            <rFont val="Tahoma"/>
            <family val="2"/>
          </rPr>
          <t xml:space="preserve">
Ignore this for the design, Pole is based on optocoupler capacitance</t>
        </r>
      </text>
    </comment>
    <comment ref="O18" authorId="0" shapeId="0" xr:uid="{00000000-0006-0000-0200-000002000000}">
      <text>
        <r>
          <rPr>
            <b/>
            <sz val="9"/>
            <color indexed="81"/>
            <rFont val="Tahoma"/>
            <family val="2"/>
          </rPr>
          <t>BMC-BCS:</t>
        </r>
        <r>
          <rPr>
            <sz val="9"/>
            <color indexed="81"/>
            <rFont val="Tahoma"/>
            <family val="2"/>
          </rPr>
          <t xml:space="preserve">
Need to make this log not linear at some point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BMC-BCS</author>
  </authors>
  <commentList>
    <comment ref="O18" authorId="0" shapeId="0" xr:uid="{00000000-0006-0000-0300-000001000000}">
      <text>
        <r>
          <rPr>
            <b/>
            <sz val="9"/>
            <color indexed="81"/>
            <rFont val="Tahoma"/>
            <family val="2"/>
          </rPr>
          <t>BMC-BCS:</t>
        </r>
        <r>
          <rPr>
            <sz val="9"/>
            <color indexed="81"/>
            <rFont val="Tahoma"/>
            <family val="2"/>
          </rPr>
          <t xml:space="preserve">
Need to make this log not linear at some point
</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BMC-BCS</author>
  </authors>
  <commentList>
    <comment ref="AF5" authorId="0" shapeId="0" xr:uid="{00000000-0006-0000-0400-000001000000}">
      <text>
        <r>
          <rPr>
            <b/>
            <sz val="9"/>
            <color indexed="81"/>
            <rFont val="Tahoma"/>
            <family val="2"/>
          </rPr>
          <t>BMC-BCS:</t>
        </r>
        <r>
          <rPr>
            <sz val="9"/>
            <color indexed="81"/>
            <rFont val="Tahoma"/>
            <family val="2"/>
          </rPr>
          <t xml:space="preserve">
To simplify the design just assme a fixed loss for the snubber and leakage
</t>
        </r>
      </text>
    </comment>
    <comment ref="U6" authorId="0" shapeId="0" xr:uid="{00000000-0006-0000-0400-000002000000}">
      <text>
        <r>
          <rPr>
            <b/>
            <sz val="9"/>
            <color indexed="81"/>
            <rFont val="Tahoma"/>
            <family val="2"/>
          </rPr>
          <t xml:space="preserve">1 = DCM operation
2 = CCM operation
</t>
        </r>
      </text>
    </comment>
    <comment ref="V6" authorId="0" shapeId="0" xr:uid="{00000000-0006-0000-0400-000003000000}">
      <text>
        <r>
          <rPr>
            <b/>
            <sz val="9"/>
            <color indexed="81"/>
            <rFont val="Tahoma"/>
            <family val="2"/>
          </rPr>
          <t>BMC-BCS:</t>
        </r>
        <r>
          <rPr>
            <sz val="9"/>
            <color indexed="81"/>
            <rFont val="Tahoma"/>
            <family val="2"/>
          </rPr>
          <t xml:space="preserve">
To make the calculations simple the diode is assumed to be idela in CCM operation
</t>
        </r>
      </text>
    </comment>
    <comment ref="AT6" authorId="0" shapeId="0" xr:uid="{00000000-0006-0000-0400-000004000000}">
      <text>
        <r>
          <rPr>
            <b/>
            <sz val="9"/>
            <color indexed="81"/>
            <rFont val="Tahoma"/>
            <family val="2"/>
          </rPr>
          <t>BMC-BCS:</t>
        </r>
        <r>
          <rPr>
            <sz val="9"/>
            <color indexed="81"/>
            <rFont val="Tahoma"/>
            <family val="2"/>
          </rPr>
          <t xml:space="preserve">
Should calculate later
</t>
        </r>
      </text>
    </comment>
    <comment ref="BC6" authorId="0" shapeId="0" xr:uid="{00000000-0006-0000-0400-000005000000}">
      <text>
        <r>
          <rPr>
            <sz val="9"/>
            <color indexed="81"/>
            <rFont val="Tahoma"/>
            <family val="2"/>
          </rPr>
          <t xml:space="preserve">Just use the average current for the approximations
</t>
        </r>
      </text>
    </comment>
    <comment ref="BN6" authorId="0" shapeId="0" xr:uid="{00000000-0006-0000-0400-000006000000}">
      <text>
        <r>
          <rPr>
            <sz val="9"/>
            <color indexed="81"/>
            <rFont val="Tahoma"/>
            <family val="2"/>
          </rPr>
          <t xml:space="preserve">Just use the average current for the approximations
</t>
        </r>
      </text>
    </comment>
  </commentList>
</comments>
</file>

<file path=xl/sharedStrings.xml><?xml version="1.0" encoding="utf-8"?>
<sst xmlns="http://schemas.openxmlformats.org/spreadsheetml/2006/main" count="1379" uniqueCount="699">
  <si>
    <t>TERMS OF USE</t>
  </si>
  <si>
    <t>ABOUT</t>
  </si>
  <si>
    <t>=Input Box</t>
  </si>
  <si>
    <t>Rev 1</t>
  </si>
  <si>
    <t>Step 1: Design Specifications</t>
  </si>
  <si>
    <r>
      <t>Minimum Input Supply Voltage , V</t>
    </r>
    <r>
      <rPr>
        <vertAlign val="subscript"/>
        <sz val="10"/>
        <color theme="1"/>
        <rFont val="Calibri"/>
        <family val="2"/>
        <scheme val="minor"/>
      </rPr>
      <t>SUPPLY(min)</t>
    </r>
    <r>
      <rPr>
        <sz val="10"/>
        <color theme="1"/>
        <rFont val="Calibri"/>
        <family val="2"/>
        <scheme val="minor"/>
      </rPr>
      <t xml:space="preserve"> </t>
    </r>
  </si>
  <si>
    <r>
      <t>Typical Input Supply Voltage, V</t>
    </r>
    <r>
      <rPr>
        <vertAlign val="subscript"/>
        <sz val="10"/>
        <color theme="1"/>
        <rFont val="Calibri"/>
        <family val="2"/>
        <scheme val="minor"/>
      </rPr>
      <t>SUPPLY(typ)</t>
    </r>
    <r>
      <rPr>
        <sz val="10"/>
        <color theme="1"/>
        <rFont val="Calibri"/>
        <family val="2"/>
        <scheme val="minor"/>
      </rPr>
      <t xml:space="preserve"> </t>
    </r>
  </si>
  <si>
    <r>
      <t>Maximum Input Supply Voltage , V</t>
    </r>
    <r>
      <rPr>
        <vertAlign val="subscript"/>
        <sz val="10"/>
        <color theme="1"/>
        <rFont val="Calibri"/>
        <family val="2"/>
        <scheme val="minor"/>
      </rPr>
      <t>SUPPLY(max)</t>
    </r>
    <r>
      <rPr>
        <sz val="10"/>
        <color theme="1"/>
        <rFont val="Calibri"/>
        <family val="2"/>
        <scheme val="minor"/>
      </rPr>
      <t xml:space="preserve"> </t>
    </r>
  </si>
  <si>
    <r>
      <t>Output Target Voltage, V</t>
    </r>
    <r>
      <rPr>
        <vertAlign val="subscript"/>
        <sz val="10"/>
        <color theme="1"/>
        <rFont val="Calibri"/>
        <family val="2"/>
        <scheme val="minor"/>
      </rPr>
      <t>LOAD</t>
    </r>
    <r>
      <rPr>
        <sz val="10"/>
        <color theme="1"/>
        <rFont val="Calibri"/>
        <family val="2"/>
        <scheme val="minor"/>
      </rPr>
      <t xml:space="preserve"> </t>
    </r>
  </si>
  <si>
    <r>
      <t>Maximum Output Current , I</t>
    </r>
    <r>
      <rPr>
        <vertAlign val="subscript"/>
        <sz val="10"/>
        <color theme="1"/>
        <rFont val="Calibri"/>
        <family val="2"/>
        <scheme val="minor"/>
      </rPr>
      <t>LOAD</t>
    </r>
    <r>
      <rPr>
        <sz val="10"/>
        <color theme="1"/>
        <rFont val="Calibri"/>
        <family val="2"/>
        <scheme val="minor"/>
      </rPr>
      <t xml:space="preserve"> </t>
    </r>
  </si>
  <si>
    <r>
      <t>Free Running Switching Frequency, F</t>
    </r>
    <r>
      <rPr>
        <vertAlign val="subscript"/>
        <sz val="10"/>
        <color theme="1"/>
        <rFont val="Calibri"/>
        <family val="2"/>
        <scheme val="minor"/>
      </rPr>
      <t>SW</t>
    </r>
  </si>
  <si>
    <t>V</t>
  </si>
  <si>
    <t>A</t>
  </si>
  <si>
    <t>kHz</t>
  </si>
  <si>
    <t>%</t>
  </si>
  <si>
    <r>
      <t>Output Power, P</t>
    </r>
    <r>
      <rPr>
        <vertAlign val="subscript"/>
        <sz val="10"/>
        <color theme="1"/>
        <rFont val="Calibri"/>
        <family val="2"/>
        <scheme val="minor"/>
      </rPr>
      <t>OUT</t>
    </r>
    <r>
      <rPr>
        <sz val="10"/>
        <color theme="1"/>
        <rFont val="Calibri"/>
        <family val="2"/>
        <scheme val="minor"/>
      </rPr>
      <t xml:space="preserve"> </t>
    </r>
  </si>
  <si>
    <t>EXCEL Variables Names/Calculations</t>
  </si>
  <si>
    <t>Input from user =</t>
  </si>
  <si>
    <t>Output =</t>
  </si>
  <si>
    <t>Constant</t>
  </si>
  <si>
    <t>Variable Name</t>
  </si>
  <si>
    <t>Value</t>
  </si>
  <si>
    <t>STD Units</t>
  </si>
  <si>
    <t>Notes</t>
  </si>
  <si>
    <t>Iteration</t>
  </si>
  <si>
    <t>Step 1: Operational Specs</t>
  </si>
  <si>
    <t>VIN_min</t>
  </si>
  <si>
    <t>VIN_nom</t>
  </si>
  <si>
    <t>VIN_max</t>
  </si>
  <si>
    <t>Minimum input voltage</t>
  </si>
  <si>
    <t>Nominal input voltage</t>
  </si>
  <si>
    <t>Maximum input voltage</t>
  </si>
  <si>
    <t>VOUT</t>
  </si>
  <si>
    <t>IOUT</t>
  </si>
  <si>
    <t>Maximum Output current</t>
  </si>
  <si>
    <t>Ω</t>
  </si>
  <si>
    <t>W</t>
  </si>
  <si>
    <t>EFF_est</t>
  </si>
  <si>
    <t>Total output power</t>
  </si>
  <si>
    <t>Minimum load resistance</t>
  </si>
  <si>
    <t>D_2p2_min</t>
  </si>
  <si>
    <t>D_2p2_nom</t>
  </si>
  <si>
    <t>D_2p2_max</t>
  </si>
  <si>
    <t>Minimum max duty cycle at 2p2MHZ operation</t>
  </si>
  <si>
    <t>t_off_max</t>
  </si>
  <si>
    <t>T_off_nom</t>
  </si>
  <si>
    <t>T_off_min</t>
  </si>
  <si>
    <t>s</t>
  </si>
  <si>
    <t>Minimum forced off time</t>
  </si>
  <si>
    <t>nominal forced off time</t>
  </si>
  <si>
    <t>Maximum forced off time</t>
  </si>
  <si>
    <t xml:space="preserve">IC Duty Cycle Limitation: </t>
  </si>
  <si>
    <t>D_limit_min</t>
  </si>
  <si>
    <t>D_limit_nom</t>
  </si>
  <si>
    <t>D_limit_max</t>
  </si>
  <si>
    <t>Nomminal max duty cycle at low frequency</t>
  </si>
  <si>
    <t>Spec conditions</t>
  </si>
  <si>
    <t>Min max duty cycle at low frequency</t>
  </si>
  <si>
    <t>Maximum max duty cycle at low frequency</t>
  </si>
  <si>
    <t>Nominal right now</t>
  </si>
  <si>
    <t>Fsw</t>
  </si>
  <si>
    <t>Hz</t>
  </si>
  <si>
    <t xml:space="preserve">Switching frequnecy </t>
  </si>
  <si>
    <t>Flag</t>
  </si>
  <si>
    <t>Forced off time limit? [2 True, 1 False]</t>
  </si>
  <si>
    <t>RT</t>
  </si>
  <si>
    <t>Oscillator Set resistor. Based on the datasheet equation</t>
  </si>
  <si>
    <r>
      <t>Free running Oscillator Set Resistor, R</t>
    </r>
    <r>
      <rPr>
        <vertAlign val="subscript"/>
        <sz val="10"/>
        <color theme="1"/>
        <rFont val="Calibri"/>
        <family val="2"/>
        <scheme val="minor"/>
      </rPr>
      <t>T</t>
    </r>
  </si>
  <si>
    <r>
      <t>k</t>
    </r>
    <r>
      <rPr>
        <sz val="11"/>
        <color theme="1"/>
        <rFont val="Calibri"/>
        <family val="2"/>
      </rPr>
      <t>Ω</t>
    </r>
  </si>
  <si>
    <t>Dc_Limit</t>
  </si>
  <si>
    <t>Max duty cycle of LM5155 at Fsw</t>
  </si>
  <si>
    <t>EXCEL Constants / Values / IC Limits</t>
  </si>
  <si>
    <t>ton_min</t>
  </si>
  <si>
    <t>Typical Ton minimum value</t>
  </si>
  <si>
    <t>Lcalc_VIN_min</t>
  </si>
  <si>
    <t>H</t>
  </si>
  <si>
    <t>ILrip</t>
  </si>
  <si>
    <t>Lm</t>
  </si>
  <si>
    <t>Selected filter inductor</t>
  </si>
  <si>
    <t>uH</t>
  </si>
  <si>
    <t>Rdcr</t>
  </si>
  <si>
    <r>
      <t>m</t>
    </r>
    <r>
      <rPr>
        <sz val="11"/>
        <color theme="1"/>
        <rFont val="Calibri"/>
        <family val="2"/>
      </rPr>
      <t>Ω</t>
    </r>
  </si>
  <si>
    <t>.</t>
  </si>
  <si>
    <t>ILp_VINmin</t>
  </si>
  <si>
    <t>Peak inductor current at VIN min. Including estimated efficiency</t>
  </si>
  <si>
    <t>ILrip_VINmin</t>
  </si>
  <si>
    <t xml:space="preserve">Inductor ripple current at VIN min. </t>
  </si>
  <si>
    <t>ILrip_VINnom</t>
  </si>
  <si>
    <t>ILp_VINnom</t>
  </si>
  <si>
    <t>ILrip_VINmax</t>
  </si>
  <si>
    <t>ILp_VINmax</t>
  </si>
  <si>
    <t>Step 3: Current Sense Resistor</t>
  </si>
  <si>
    <t>Selected indutor ripple ratio. Will be changed later to a standard value just to keep things simple</t>
  </si>
  <si>
    <t xml:space="preserve">Inductor ripple current at VIN nom. </t>
  </si>
  <si>
    <t>Peak inductor current at VIN nom. Including estimated efficiency</t>
  </si>
  <si>
    <t xml:space="preserve">Inductor ripple current at VIN max. </t>
  </si>
  <si>
    <t>Peak inductor current at VIN max. Including estimated efficiency</t>
  </si>
  <si>
    <t>Step 3: Current Sense Resistor Selection</t>
  </si>
  <si>
    <t>Ipk_margin</t>
  </si>
  <si>
    <t>Peak current limit margin. 20% is a typical value</t>
  </si>
  <si>
    <t>Ipk_selected</t>
  </si>
  <si>
    <t>Selected peak current limit based on margin selection</t>
  </si>
  <si>
    <t>Filter inductor DCR</t>
  </si>
  <si>
    <t>Ltol</t>
  </si>
  <si>
    <t>Assumed inductor tolerance. Constant to help simplify the user experience</t>
  </si>
  <si>
    <t>Rcs_max</t>
  </si>
  <si>
    <t>Maximum Rcs based on internal slope compensation. Assuming slope ratio of 1/2</t>
  </si>
  <si>
    <t>Rcs_sl_ratio</t>
  </si>
  <si>
    <t>ratio of down slope to slope compensation. This can be updated to give more margin</t>
  </si>
  <si>
    <t>Isl</t>
  </si>
  <si>
    <t>Internal slope compensation ramp</t>
  </si>
  <si>
    <t>Rsl_int</t>
  </si>
  <si>
    <t>Internal Slope compensation resistor</t>
  </si>
  <si>
    <t>Rcs_wo_sl</t>
  </si>
  <si>
    <t>Current sense resistor without slope compensation</t>
  </si>
  <si>
    <t>Vcl</t>
  </si>
  <si>
    <t>Current Limit Value. See datsheet for Parameters</t>
  </si>
  <si>
    <t>Flag_ext_sl</t>
  </si>
  <si>
    <t>Rcs_w_sl</t>
  </si>
  <si>
    <t>Rcs_ext_sl_ratio</t>
  </si>
  <si>
    <t>External Slope compensation ratio. Constant</t>
  </si>
  <si>
    <t>R_sl_ext</t>
  </si>
  <si>
    <t>R_cs_calc</t>
  </si>
  <si>
    <t>R_sl_calc</t>
  </si>
  <si>
    <t>R_cs</t>
  </si>
  <si>
    <t>R_sl</t>
  </si>
  <si>
    <t>Current Sense Resistor calculated</t>
  </si>
  <si>
    <t>External slope compensation resistor</t>
  </si>
  <si>
    <t>Calculated external slope compensation resistor</t>
  </si>
  <si>
    <t>Calculated current sense resistor with slope compensation included</t>
  </si>
  <si>
    <r>
      <t>Recommended external slope compensation Resistor (R</t>
    </r>
    <r>
      <rPr>
        <vertAlign val="subscript"/>
        <sz val="11"/>
        <color theme="1"/>
        <rFont val="Calibri"/>
        <family val="2"/>
        <scheme val="minor"/>
      </rPr>
      <t>SL</t>
    </r>
    <r>
      <rPr>
        <sz val="11"/>
        <color theme="1"/>
        <rFont val="Calibri"/>
        <family val="2"/>
        <scheme val="minor"/>
      </rPr>
      <t>)</t>
    </r>
  </si>
  <si>
    <t>Selected current sense Resistor</t>
  </si>
  <si>
    <t>Selected external slope compensation</t>
  </si>
  <si>
    <r>
      <t>Selected external slope compensation Resistor (R</t>
    </r>
    <r>
      <rPr>
        <vertAlign val="subscript"/>
        <sz val="11"/>
        <color theme="1"/>
        <rFont val="Calibri"/>
        <family val="2"/>
        <scheme val="minor"/>
      </rPr>
      <t>SL</t>
    </r>
    <r>
      <rPr>
        <sz val="11"/>
        <color theme="1"/>
        <rFont val="Calibri"/>
        <family val="2"/>
        <scheme val="minor"/>
      </rPr>
      <t>)</t>
    </r>
  </si>
  <si>
    <t>Check to make sure that slope compensation is high enough at the minimum input voltage</t>
  </si>
  <si>
    <t>Slope Compensation</t>
  </si>
  <si>
    <t>sl_vin_min</t>
  </si>
  <si>
    <t>Actual inductor peak current limit</t>
  </si>
  <si>
    <t>IL_pk</t>
  </si>
  <si>
    <t>IL_pk_max</t>
  </si>
  <si>
    <t>Peak current limit at the minimum input voltage</t>
  </si>
  <si>
    <t>Peak inductor current limit for saturation rating.  VIN max due to the possibility of external slope comp</t>
  </si>
  <si>
    <t>sat_mar</t>
  </si>
  <si>
    <t>Margin for saturation current of the inductor</t>
  </si>
  <si>
    <t>V/V</t>
  </si>
  <si>
    <t>COMP voltage Limit checks</t>
  </si>
  <si>
    <t>Step 4: Output Capacitor Selection</t>
  </si>
  <si>
    <t>mV</t>
  </si>
  <si>
    <t>uF</t>
  </si>
  <si>
    <r>
      <t>Selected Output Capacitance (C</t>
    </r>
    <r>
      <rPr>
        <vertAlign val="subscript"/>
        <sz val="11"/>
        <color theme="1"/>
        <rFont val="Calibri"/>
        <family val="2"/>
        <scheme val="minor"/>
      </rPr>
      <t>OUT</t>
    </r>
    <r>
      <rPr>
        <sz val="11"/>
        <color theme="1"/>
        <rFont val="Calibri"/>
        <family val="2"/>
        <scheme val="minor"/>
      </rPr>
      <t>)</t>
    </r>
  </si>
  <si>
    <t>Desired output ripple</t>
  </si>
  <si>
    <t>F</t>
  </si>
  <si>
    <t>Calculate minimum capacitance based simply on the capacitive ripple</t>
  </si>
  <si>
    <t>IRMS_COUT</t>
  </si>
  <si>
    <t>RMS current of the output capacitor at VIN min IOUT max. RMS current rating should be larger than this.</t>
  </si>
  <si>
    <r>
      <t>Equivalent  COUT ESR (R</t>
    </r>
    <r>
      <rPr>
        <vertAlign val="subscript"/>
        <sz val="11"/>
        <color theme="1"/>
        <rFont val="Calibri"/>
        <family val="2"/>
        <scheme val="minor"/>
      </rPr>
      <t>ESR</t>
    </r>
    <r>
      <rPr>
        <sz val="11"/>
        <color theme="1"/>
        <rFont val="Calibri"/>
        <family val="2"/>
        <scheme val="minor"/>
      </rPr>
      <t>)</t>
    </r>
  </si>
  <si>
    <t>Selected Output Capacitance</t>
  </si>
  <si>
    <t>Selected output capacitance ESR</t>
  </si>
  <si>
    <r>
      <t>Selected Peak Current limit(IL</t>
    </r>
    <r>
      <rPr>
        <vertAlign val="subscript"/>
        <sz val="11"/>
        <color theme="1"/>
        <rFont val="Calibri"/>
        <family val="2"/>
        <scheme val="minor"/>
      </rPr>
      <t>PK_select</t>
    </r>
    <r>
      <rPr>
        <sz val="11"/>
        <color theme="1"/>
        <rFont val="Calibri"/>
        <family val="2"/>
        <scheme val="minor"/>
      </rPr>
      <t>)</t>
    </r>
  </si>
  <si>
    <t>Input Parameters</t>
  </si>
  <si>
    <t>Output Voltage</t>
  </si>
  <si>
    <t>Component Selection</t>
  </si>
  <si>
    <t>LM</t>
  </si>
  <si>
    <t>filter Inductor</t>
  </si>
  <si>
    <t>Current sense resi</t>
  </si>
  <si>
    <t>External Slope Compensation Resistor</t>
  </si>
  <si>
    <t>Interanl Slope Compesnation Resistor</t>
  </si>
  <si>
    <t>Interanl Slope Compesnation current</t>
  </si>
  <si>
    <t>RCOMP</t>
  </si>
  <si>
    <t>kΩ</t>
  </si>
  <si>
    <t>Feedback Resistor Selection</t>
  </si>
  <si>
    <t>pF</t>
  </si>
  <si>
    <t>nF</t>
  </si>
  <si>
    <t>CCOMP</t>
  </si>
  <si>
    <t>CHF</t>
  </si>
  <si>
    <t>Type II compensation Resistort</t>
  </si>
  <si>
    <t>Type II compensation Capacitor</t>
  </si>
  <si>
    <t>Type II high frequency capacitor</t>
  </si>
  <si>
    <t>RFBT</t>
  </si>
  <si>
    <t>RFBB</t>
  </si>
  <si>
    <t>Compensation Components</t>
  </si>
  <si>
    <t>Top feedback resistor</t>
  </si>
  <si>
    <t>Bottom feedback resistor</t>
  </si>
  <si>
    <t>Calculations</t>
  </si>
  <si>
    <t>Frequency</t>
  </si>
  <si>
    <t>Selected VIN</t>
  </si>
  <si>
    <t>VIN_var</t>
  </si>
  <si>
    <t>VIN_VAR</t>
  </si>
  <si>
    <t>Variable input voltage</t>
  </si>
  <si>
    <t>ADC</t>
  </si>
  <si>
    <t>Gcomp</t>
  </si>
  <si>
    <t>Scale down factor of the interal comp voltage divider</t>
  </si>
  <si>
    <t>Intenal step down of the divider</t>
  </si>
  <si>
    <t>DC gain of the plant function</t>
  </si>
  <si>
    <t>Acs</t>
  </si>
  <si>
    <t>Current sense Amplifier Gain (1 for this device)</t>
  </si>
  <si>
    <t>Low Frequency Pole</t>
  </si>
  <si>
    <t>RHPz zero of boost converter</t>
  </si>
  <si>
    <t>ESR zero cause by output capacitance</t>
  </si>
  <si>
    <t>wsl</t>
  </si>
  <si>
    <t>Q</t>
  </si>
  <si>
    <t>Se</t>
  </si>
  <si>
    <t xml:space="preserve">Slope compensation </t>
  </si>
  <si>
    <t>Down slope at the selected input voltage</t>
  </si>
  <si>
    <t>Sn</t>
  </si>
  <si>
    <t>Rad</t>
  </si>
  <si>
    <t>wp_lf</t>
  </si>
  <si>
    <t>wz_rhp</t>
  </si>
  <si>
    <t>wz_esr</t>
  </si>
  <si>
    <t>Gain</t>
  </si>
  <si>
    <t>Phase</t>
  </si>
  <si>
    <t>Sampling</t>
  </si>
  <si>
    <t>Complex</t>
  </si>
  <si>
    <t>Total</t>
  </si>
  <si>
    <t>Plant Transfer Function</t>
  </si>
  <si>
    <t>Error Amplifier</t>
  </si>
  <si>
    <t>Plant Parameters</t>
  </si>
  <si>
    <t>wz_ea</t>
  </si>
  <si>
    <t>Adc_ea</t>
  </si>
  <si>
    <t>gm_ea</t>
  </si>
  <si>
    <t>Error Amplifier Gain</t>
  </si>
  <si>
    <t>A/V</t>
  </si>
  <si>
    <t>wp0_ea</t>
  </si>
  <si>
    <t>wp1_ea</t>
  </si>
  <si>
    <t>ADC_ea</t>
  </si>
  <si>
    <t xml:space="preserve">Gain </t>
  </si>
  <si>
    <t>Open Loop Response</t>
  </si>
  <si>
    <t>COMPLEX</t>
  </si>
  <si>
    <t>dB</t>
  </si>
  <si>
    <t>Selected by user. Feedback resistor should be &gt;100uA to help reject noise</t>
  </si>
  <si>
    <t>Error Amplifier Zero</t>
  </si>
  <si>
    <t>Error Amplifier pole at the origin</t>
  </si>
  <si>
    <t>Error Amplifier pole at high frequencies</t>
  </si>
  <si>
    <t>RFBB_CALC</t>
  </si>
  <si>
    <t>Vref</t>
  </si>
  <si>
    <t>Reference voltage</t>
  </si>
  <si>
    <t>Estimated bottom feedback resistor</t>
  </si>
  <si>
    <t>Selected botton feedback resistor</t>
  </si>
  <si>
    <t>Ifb</t>
  </si>
  <si>
    <t>Current Drawn from the feedback resistors (Typically higher than 100uA to help w/ noise)</t>
  </si>
  <si>
    <r>
      <t xml:space="preserve">Plant low frequency pole. </t>
    </r>
    <r>
      <rPr>
        <b/>
        <sz val="11"/>
        <color theme="1"/>
        <rFont val="Calibri"/>
        <family val="2"/>
        <scheme val="minor"/>
      </rPr>
      <t>IN Hz!!!</t>
    </r>
  </si>
  <si>
    <r>
      <t xml:space="preserve">Plant RHP Zero, </t>
    </r>
    <r>
      <rPr>
        <b/>
        <sz val="11"/>
        <color theme="1"/>
        <rFont val="Calibri"/>
        <family val="2"/>
        <scheme val="minor"/>
      </rPr>
      <t>(IN Hz)</t>
    </r>
  </si>
  <si>
    <r>
      <t xml:space="preserve">Plant capacitor ESR zero </t>
    </r>
    <r>
      <rPr>
        <b/>
        <sz val="11"/>
        <color theme="1"/>
        <rFont val="Calibri"/>
        <family val="2"/>
        <scheme val="minor"/>
      </rPr>
      <t>(In Hz)</t>
    </r>
  </si>
  <si>
    <t>Feedback resistor selection</t>
  </si>
  <si>
    <t>Crossover Frequency Selection</t>
  </si>
  <si>
    <t>Fcross_est</t>
  </si>
  <si>
    <r>
      <t>Calculated bottom feedback resistor (R</t>
    </r>
    <r>
      <rPr>
        <vertAlign val="subscript"/>
        <sz val="11"/>
        <color theme="1"/>
        <rFont val="Calibri"/>
        <family val="2"/>
        <scheme val="minor"/>
      </rPr>
      <t>FBB_cala</t>
    </r>
    <r>
      <rPr>
        <sz val="11"/>
        <color theme="1"/>
        <rFont val="Calibri"/>
        <family val="2"/>
        <scheme val="minor"/>
      </rPr>
      <t>)</t>
    </r>
  </si>
  <si>
    <t>fcross</t>
  </si>
  <si>
    <t>Desired Crossover frequency</t>
  </si>
  <si>
    <t>1/10 the swictching frequency</t>
  </si>
  <si>
    <t>Conservative. Set Fcross to be 1/5th the RHP zero frequency or 1/10th SW: whichever is lower</t>
  </si>
  <si>
    <t>Select the lower crossover frequency</t>
  </si>
  <si>
    <t>Gplant_fc</t>
  </si>
  <si>
    <t>Gain of the plant at the desired crossover frequency</t>
  </si>
  <si>
    <t>Fcross</t>
  </si>
  <si>
    <t>wz_RHP</t>
  </si>
  <si>
    <t>Gplant_fc_dB</t>
  </si>
  <si>
    <t>Plant gain at crossover frequency (dB)</t>
  </si>
  <si>
    <t>Gea_mid_calc</t>
  </si>
  <si>
    <t>Error Amplifier Mid-band gain to set cross over frequency correctly</t>
  </si>
  <si>
    <t>Rcomp_Calc</t>
  </si>
  <si>
    <t>Calculate on based on the desired Mid-band gain needed to set the crossover frequency</t>
  </si>
  <si>
    <t>fz_ea_est</t>
  </si>
  <si>
    <t>Set the fz_ea 1/10th the cross over frequency (Common approach)</t>
  </si>
  <si>
    <t>Set the fz_ea geometerically inbetween crossover and the wp_lf</t>
  </si>
  <si>
    <t>Fz_ea_1</t>
  </si>
  <si>
    <t>Fz_ea_2</t>
  </si>
  <si>
    <t>CCOMP_calc</t>
  </si>
  <si>
    <t>CHF_Calc</t>
  </si>
  <si>
    <t>fp_ea_est</t>
  </si>
  <si>
    <r>
      <t>Select a top feedback resistor(R</t>
    </r>
    <r>
      <rPr>
        <vertAlign val="subscript"/>
        <sz val="11"/>
        <color theme="1"/>
        <rFont val="Calibri"/>
        <family val="2"/>
        <scheme val="minor"/>
      </rPr>
      <t>FBT</t>
    </r>
    <r>
      <rPr>
        <sz val="11"/>
        <color theme="1"/>
        <rFont val="Calibri"/>
        <family val="2"/>
        <scheme val="minor"/>
      </rPr>
      <t>)</t>
    </r>
  </si>
  <si>
    <r>
      <t>Select a bottomresistor based on calculated balue(R</t>
    </r>
    <r>
      <rPr>
        <vertAlign val="subscript"/>
        <sz val="11"/>
        <color theme="1"/>
        <rFont val="Calibri"/>
        <family val="2"/>
        <scheme val="minor"/>
      </rPr>
      <t>FBB</t>
    </r>
    <r>
      <rPr>
        <sz val="11"/>
        <color theme="1"/>
        <rFont val="Calibri"/>
        <family val="2"/>
        <scheme val="minor"/>
      </rPr>
      <t>)</t>
    </r>
  </si>
  <si>
    <t>Step 5: Soft-Start Capacitor Selection</t>
  </si>
  <si>
    <t>Step 6: UVLO Resistor Divider Selection</t>
  </si>
  <si>
    <t>Efficiency / Power Loss Analyzer</t>
  </si>
  <si>
    <r>
      <t>R</t>
    </r>
    <r>
      <rPr>
        <vertAlign val="subscript"/>
        <sz val="11"/>
        <color theme="1"/>
        <rFont val="Calibri"/>
        <family val="2"/>
        <scheme val="minor"/>
      </rPr>
      <t>COMP</t>
    </r>
  </si>
  <si>
    <t>Calculated</t>
  </si>
  <si>
    <t>Selected</t>
  </si>
  <si>
    <t>Steps</t>
  </si>
  <si>
    <t>Step size</t>
  </si>
  <si>
    <t>VIN</t>
  </si>
  <si>
    <t>DCM/CCM</t>
  </si>
  <si>
    <t>DC</t>
  </si>
  <si>
    <t>IIN</t>
  </si>
  <si>
    <t>Icrms_min</t>
  </si>
  <si>
    <t>Minimum required RMS current rating for the output capacitor bank</t>
  </si>
  <si>
    <t>Soft-Start</t>
  </si>
  <si>
    <t>Iss</t>
  </si>
  <si>
    <t>Soft-start capacitor charge current</t>
  </si>
  <si>
    <t>Soft-Start Charge current</t>
  </si>
  <si>
    <t>Css_min</t>
  </si>
  <si>
    <t>Suggested minimum SS capacitor to minize the over shoot.</t>
  </si>
  <si>
    <t>tss</t>
  </si>
  <si>
    <t>Desired Soft-Start Capacitor</t>
  </si>
  <si>
    <r>
      <t>Suggested minimum soft-start capacitor (C</t>
    </r>
    <r>
      <rPr>
        <vertAlign val="subscript"/>
        <sz val="11"/>
        <color theme="1"/>
        <rFont val="Calibri"/>
        <family val="2"/>
        <scheme val="minor"/>
      </rPr>
      <t>SS_MIN</t>
    </r>
    <r>
      <rPr>
        <sz val="11"/>
        <color theme="1"/>
        <rFont val="Calibri"/>
        <family val="2"/>
        <scheme val="minor"/>
      </rPr>
      <t>)</t>
    </r>
  </si>
  <si>
    <t>ms</t>
  </si>
  <si>
    <t>Css_calc</t>
  </si>
  <si>
    <t>Calcualted Soft-start capacitor</t>
  </si>
  <si>
    <r>
      <t>Calculated soft-start capacitor (C</t>
    </r>
    <r>
      <rPr>
        <vertAlign val="subscript"/>
        <sz val="11"/>
        <color theme="1"/>
        <rFont val="Calibri"/>
        <family val="2"/>
        <scheme val="minor"/>
      </rPr>
      <t>SS</t>
    </r>
    <r>
      <rPr>
        <sz val="11"/>
        <color theme="1"/>
        <rFont val="Calibri"/>
        <family val="2"/>
        <scheme val="minor"/>
      </rPr>
      <t>)</t>
    </r>
  </si>
  <si>
    <r>
      <t>Desied soft-start time at minimum input voltage (T</t>
    </r>
    <r>
      <rPr>
        <vertAlign val="subscript"/>
        <sz val="11"/>
        <color theme="1"/>
        <rFont val="Calibri"/>
        <family val="2"/>
        <scheme val="minor"/>
      </rPr>
      <t>SS</t>
    </r>
    <r>
      <rPr>
        <sz val="11"/>
        <color theme="1"/>
        <rFont val="Calibri"/>
        <family val="2"/>
        <scheme val="minor"/>
      </rPr>
      <t>)</t>
    </r>
  </si>
  <si>
    <r>
      <t>Desired voltage OFF (V</t>
    </r>
    <r>
      <rPr>
        <vertAlign val="subscript"/>
        <sz val="11"/>
        <color theme="1"/>
        <rFont val="Calibri"/>
        <family val="2"/>
        <scheme val="minor"/>
      </rPr>
      <t>UVLO_OFF</t>
    </r>
    <r>
      <rPr>
        <sz val="11"/>
        <color theme="1"/>
        <rFont val="Calibri"/>
        <family val="2"/>
        <scheme val="minor"/>
      </rPr>
      <t>)</t>
    </r>
  </si>
  <si>
    <r>
      <t>Desired voltage On (V</t>
    </r>
    <r>
      <rPr>
        <vertAlign val="subscript"/>
        <sz val="11"/>
        <color theme="1"/>
        <rFont val="Calibri"/>
        <family val="2"/>
        <scheme val="minor"/>
      </rPr>
      <t>UVLO_ON</t>
    </r>
    <r>
      <rPr>
        <sz val="11"/>
        <color theme="1"/>
        <rFont val="Calibri"/>
        <family val="2"/>
        <scheme val="minor"/>
      </rPr>
      <t>)</t>
    </r>
  </si>
  <si>
    <t>Step 6: UVLO Resistor Selection</t>
  </si>
  <si>
    <t>Step 5: Soft-start Capacitor selection</t>
  </si>
  <si>
    <t>Vuvlo_on</t>
  </si>
  <si>
    <t>Vuvlo_off</t>
  </si>
  <si>
    <t>Desired turn on voltage</t>
  </si>
  <si>
    <t>Desired turn off voltage</t>
  </si>
  <si>
    <t>UVLO Thresholds</t>
  </si>
  <si>
    <t>UV_rise</t>
  </si>
  <si>
    <t>UV_fall</t>
  </si>
  <si>
    <t>Falling threshold (See datasheet for more details)</t>
  </si>
  <si>
    <t>Rising Threshold (See datasheet for more details)</t>
  </si>
  <si>
    <t>Rising UV threshold</t>
  </si>
  <si>
    <t>Falling  UV threshold</t>
  </si>
  <si>
    <t>UV_I_hyst</t>
  </si>
  <si>
    <t>UVLO current hysteresis</t>
  </si>
  <si>
    <t>UVLO circuit current hysteresis</t>
  </si>
  <si>
    <t>Ruvlo_top_calc</t>
  </si>
  <si>
    <t>Ruvlo_bottom_calc</t>
  </si>
  <si>
    <t>Vuvlo_on_act</t>
  </si>
  <si>
    <t>Vuvlo_off_act</t>
  </si>
  <si>
    <t>Actual turn on voltage</t>
  </si>
  <si>
    <t>Actual turn off voltage</t>
  </si>
  <si>
    <t>Step  7: Loop Compensation</t>
  </si>
  <si>
    <t>Operation Variables</t>
  </si>
  <si>
    <t>Duty Cycle</t>
  </si>
  <si>
    <t>dIL</t>
  </si>
  <si>
    <r>
      <t>IL</t>
    </r>
    <r>
      <rPr>
        <vertAlign val="subscript"/>
        <sz val="11"/>
        <color theme="1"/>
        <rFont val="Calibri"/>
        <family val="2"/>
        <scheme val="minor"/>
      </rPr>
      <t>RMS</t>
    </r>
  </si>
  <si>
    <r>
      <t>IL</t>
    </r>
    <r>
      <rPr>
        <vertAlign val="subscript"/>
        <sz val="11"/>
        <color theme="1"/>
        <rFont val="Calibri"/>
        <family val="2"/>
        <scheme val="minor"/>
      </rPr>
      <t>PEAK</t>
    </r>
  </si>
  <si>
    <t>Step 7: Component Selection</t>
  </si>
  <si>
    <r>
      <t>P</t>
    </r>
    <r>
      <rPr>
        <vertAlign val="subscript"/>
        <sz val="11"/>
        <color theme="1"/>
        <rFont val="Calibri"/>
        <family val="2"/>
        <scheme val="minor"/>
      </rPr>
      <t>Lac</t>
    </r>
    <r>
      <rPr>
        <sz val="11"/>
        <color theme="1"/>
        <rFont val="Calibri"/>
        <family val="2"/>
        <scheme val="minor"/>
      </rPr>
      <t xml:space="preserve"> (W)</t>
    </r>
  </si>
  <si>
    <r>
      <t>P</t>
    </r>
    <r>
      <rPr>
        <vertAlign val="subscript"/>
        <sz val="11"/>
        <color theme="1"/>
        <rFont val="Calibri"/>
        <family val="2"/>
        <scheme val="minor"/>
      </rPr>
      <t>L_DCR</t>
    </r>
    <r>
      <rPr>
        <sz val="11"/>
        <color theme="1"/>
        <rFont val="Calibri"/>
        <family val="2"/>
        <scheme val="minor"/>
      </rPr>
      <t xml:space="preserve"> (W)</t>
    </r>
  </si>
  <si>
    <r>
      <t>On-State Resistance, R</t>
    </r>
    <r>
      <rPr>
        <vertAlign val="subscript"/>
        <sz val="10"/>
        <rFont val="Arial"/>
        <family val="2"/>
      </rPr>
      <t>DS(on)</t>
    </r>
    <r>
      <rPr>
        <sz val="10"/>
        <rFont val="Arial"/>
        <family val="2"/>
      </rPr>
      <t xml:space="preserve"> </t>
    </r>
  </si>
  <si>
    <r>
      <t>Total Gate Charge, Q</t>
    </r>
    <r>
      <rPr>
        <vertAlign val="subscript"/>
        <sz val="10"/>
        <rFont val="Arial"/>
        <family val="2"/>
      </rPr>
      <t>G</t>
    </r>
    <r>
      <rPr>
        <sz val="10"/>
        <rFont val="Arial"/>
        <family val="2"/>
      </rPr>
      <t xml:space="preserve"> </t>
    </r>
  </si>
  <si>
    <r>
      <t>Gate-Drain Charge, Q</t>
    </r>
    <r>
      <rPr>
        <vertAlign val="subscript"/>
        <sz val="10"/>
        <rFont val="Arial"/>
        <family val="2"/>
      </rPr>
      <t>GD</t>
    </r>
    <r>
      <rPr>
        <sz val="10"/>
        <rFont val="Arial"/>
        <family val="2"/>
      </rPr>
      <t xml:space="preserve"> </t>
    </r>
  </si>
  <si>
    <r>
      <t>Gate-Source Charge, Q</t>
    </r>
    <r>
      <rPr>
        <vertAlign val="subscript"/>
        <sz val="10"/>
        <rFont val="Arial"/>
        <family val="2"/>
      </rPr>
      <t>GS</t>
    </r>
    <r>
      <rPr>
        <sz val="10"/>
        <rFont val="Arial"/>
        <family val="2"/>
      </rPr>
      <t xml:space="preserve"> </t>
    </r>
  </si>
  <si>
    <r>
      <t>Gate Resistance, R</t>
    </r>
    <r>
      <rPr>
        <vertAlign val="subscript"/>
        <sz val="10"/>
        <rFont val="Arial"/>
        <family val="2"/>
      </rPr>
      <t>G</t>
    </r>
    <r>
      <rPr>
        <sz val="10"/>
        <rFont val="Arial"/>
        <family val="2"/>
      </rPr>
      <t xml:space="preserve"> </t>
    </r>
  </si>
  <si>
    <r>
      <t>Gate-Source Threshold Voltage, V</t>
    </r>
    <r>
      <rPr>
        <vertAlign val="subscript"/>
        <sz val="10"/>
        <rFont val="Arial"/>
        <family val="2"/>
      </rPr>
      <t>TH</t>
    </r>
    <r>
      <rPr>
        <sz val="10"/>
        <rFont val="Arial"/>
        <family val="2"/>
      </rPr>
      <t xml:space="preserve"> </t>
    </r>
  </si>
  <si>
    <t>mΩ</t>
  </si>
  <si>
    <t>nC</t>
  </si>
  <si>
    <t>Ω</t>
  </si>
  <si>
    <t>S</t>
  </si>
  <si>
    <t>Diode Parameters</t>
  </si>
  <si>
    <t>MOSFET parameters</t>
  </si>
  <si>
    <t>MOSFET Parameters</t>
  </si>
  <si>
    <t>Qg_tot</t>
  </si>
  <si>
    <t>Qgs</t>
  </si>
  <si>
    <t>Qgd</t>
  </si>
  <si>
    <t>Rgate</t>
  </si>
  <si>
    <t>gfs</t>
  </si>
  <si>
    <t>Vth</t>
  </si>
  <si>
    <t>C</t>
  </si>
  <si>
    <t>RDS_on</t>
  </si>
  <si>
    <t>Rgate_int</t>
  </si>
  <si>
    <t>Internal Gate resistance of the MOSFET driver.</t>
  </si>
  <si>
    <t>Vsp</t>
  </si>
  <si>
    <t>Gate voltage when MOSFET begins conducting current</t>
  </si>
  <si>
    <t>Rise time of the switch node</t>
  </si>
  <si>
    <t>Fall time of the switch node</t>
  </si>
  <si>
    <t>VCC</t>
  </si>
  <si>
    <t>VCC regulator</t>
  </si>
  <si>
    <t>Vcc</t>
  </si>
  <si>
    <t>Regulated output voltage of internal LDO. Can change if this is externally biased.</t>
  </si>
  <si>
    <t>Need to double check this value</t>
  </si>
  <si>
    <t xml:space="preserve">VCC voltage. Can be changed with external bias. </t>
  </si>
  <si>
    <t>tr_sw</t>
  </si>
  <si>
    <t>tf_sw</t>
  </si>
  <si>
    <r>
      <t>P</t>
    </r>
    <r>
      <rPr>
        <vertAlign val="subscript"/>
        <sz val="11"/>
        <color theme="1"/>
        <rFont val="Calibri"/>
        <family val="2"/>
        <scheme val="minor"/>
      </rPr>
      <t xml:space="preserve">Q_SW </t>
    </r>
    <r>
      <rPr>
        <sz val="11"/>
        <color theme="1"/>
        <rFont val="Calibri"/>
        <family val="2"/>
        <scheme val="minor"/>
      </rPr>
      <t>(W)</t>
    </r>
  </si>
  <si>
    <r>
      <t>P</t>
    </r>
    <r>
      <rPr>
        <vertAlign val="subscript"/>
        <sz val="11"/>
        <color theme="1"/>
        <rFont val="Calibri"/>
        <family val="2"/>
        <scheme val="minor"/>
      </rPr>
      <t xml:space="preserve">Q_COND </t>
    </r>
    <r>
      <rPr>
        <sz val="11"/>
        <color theme="1"/>
        <rFont val="Calibri"/>
        <family val="2"/>
        <scheme val="minor"/>
      </rPr>
      <t>(W)</t>
    </r>
  </si>
  <si>
    <r>
      <t>P</t>
    </r>
    <r>
      <rPr>
        <vertAlign val="subscript"/>
        <sz val="11"/>
        <color theme="1"/>
        <rFont val="Calibri"/>
        <family val="2"/>
        <scheme val="minor"/>
      </rPr>
      <t xml:space="preserve">Q_tot </t>
    </r>
    <r>
      <rPr>
        <sz val="11"/>
        <color theme="1"/>
        <rFont val="Calibri"/>
        <family val="2"/>
        <scheme val="minor"/>
      </rPr>
      <t>(W)</t>
    </r>
  </si>
  <si>
    <r>
      <t>P</t>
    </r>
    <r>
      <rPr>
        <vertAlign val="subscript"/>
        <sz val="11"/>
        <color theme="1"/>
        <rFont val="Calibri"/>
        <family val="2"/>
        <scheme val="minor"/>
      </rPr>
      <t>L_tot</t>
    </r>
    <r>
      <rPr>
        <sz val="11"/>
        <color theme="1"/>
        <rFont val="Calibri"/>
        <family val="2"/>
        <scheme val="minor"/>
      </rPr>
      <t xml:space="preserve"> (W)</t>
    </r>
  </si>
  <si>
    <r>
      <t>P</t>
    </r>
    <r>
      <rPr>
        <vertAlign val="subscript"/>
        <sz val="11"/>
        <color theme="1"/>
        <rFont val="Calibri"/>
        <family val="2"/>
        <scheme val="minor"/>
      </rPr>
      <t>RCS</t>
    </r>
    <r>
      <rPr>
        <sz val="11"/>
        <color theme="1"/>
        <rFont val="Calibri"/>
        <family val="2"/>
        <scheme val="minor"/>
      </rPr>
      <t xml:space="preserve"> (W)</t>
    </r>
  </si>
  <si>
    <r>
      <t>P</t>
    </r>
    <r>
      <rPr>
        <vertAlign val="subscript"/>
        <sz val="11"/>
        <color theme="1"/>
        <rFont val="Calibri"/>
        <family val="2"/>
        <scheme val="minor"/>
      </rPr>
      <t>G_drv</t>
    </r>
    <r>
      <rPr>
        <sz val="11"/>
        <color theme="1"/>
        <rFont val="Calibri"/>
        <family val="2"/>
        <scheme val="minor"/>
      </rPr>
      <t xml:space="preserve"> (W)</t>
    </r>
  </si>
  <si>
    <r>
      <t>P</t>
    </r>
    <r>
      <rPr>
        <vertAlign val="subscript"/>
        <sz val="11"/>
        <color theme="1"/>
        <rFont val="Calibri"/>
        <family val="2"/>
        <scheme val="minor"/>
      </rPr>
      <t>IQ</t>
    </r>
    <r>
      <rPr>
        <sz val="11"/>
        <color theme="1"/>
        <rFont val="Calibri"/>
        <family val="2"/>
        <scheme val="minor"/>
      </rPr>
      <t xml:space="preserve"> (W)</t>
    </r>
  </si>
  <si>
    <t>IQ current</t>
  </si>
  <si>
    <t xml:space="preserve">IQ </t>
  </si>
  <si>
    <t>Non-switching IQ current</t>
  </si>
  <si>
    <t>Other Losses</t>
  </si>
  <si>
    <r>
      <t>C</t>
    </r>
    <r>
      <rPr>
        <vertAlign val="subscript"/>
        <sz val="11"/>
        <color theme="1"/>
        <rFont val="Calibri"/>
        <family val="2"/>
        <scheme val="minor"/>
      </rPr>
      <t>COMP</t>
    </r>
  </si>
  <si>
    <r>
      <t>C</t>
    </r>
    <r>
      <rPr>
        <vertAlign val="subscript"/>
        <sz val="11"/>
        <color theme="1"/>
        <rFont val="Calibri"/>
        <family val="2"/>
        <scheme val="minor"/>
      </rPr>
      <t>HF</t>
    </r>
  </si>
  <si>
    <t>RHP_zero location based on the minimum input voltage</t>
  </si>
  <si>
    <t>Low frequency pole based on the minimum input voltage</t>
  </si>
  <si>
    <t>rad</t>
  </si>
  <si>
    <t>raf</t>
  </si>
  <si>
    <t>ESR zero based on the minimum input voltage</t>
  </si>
  <si>
    <t>This is based on the minimum input voltage. T</t>
  </si>
  <si>
    <t>Input Voltage</t>
  </si>
  <si>
    <r>
      <t>Selected band width (F</t>
    </r>
    <r>
      <rPr>
        <vertAlign val="subscript"/>
        <sz val="11"/>
        <color theme="1"/>
        <rFont val="Calibri"/>
        <family val="2"/>
        <scheme val="minor"/>
      </rPr>
      <t>CO</t>
    </r>
    <r>
      <rPr>
        <sz val="11"/>
        <color theme="1"/>
        <rFont val="Calibri"/>
        <family val="2"/>
        <scheme val="minor"/>
      </rPr>
      <t>)</t>
    </r>
  </si>
  <si>
    <r>
      <t>Calculated top UVLO resistor value (R</t>
    </r>
    <r>
      <rPr>
        <vertAlign val="subscript"/>
        <sz val="11"/>
        <color theme="1"/>
        <rFont val="Calibri"/>
        <family val="2"/>
        <scheme val="minor"/>
      </rPr>
      <t>UVT_CALC</t>
    </r>
    <r>
      <rPr>
        <sz val="11"/>
        <color theme="1"/>
        <rFont val="Calibri"/>
        <family val="2"/>
        <scheme val="minor"/>
      </rPr>
      <t>)</t>
    </r>
  </si>
  <si>
    <r>
      <t>Selected top UVLO resistor value (R</t>
    </r>
    <r>
      <rPr>
        <vertAlign val="subscript"/>
        <sz val="11"/>
        <color theme="1"/>
        <rFont val="Calibri"/>
        <family val="2"/>
        <scheme val="minor"/>
      </rPr>
      <t>UVT</t>
    </r>
    <r>
      <rPr>
        <sz val="11"/>
        <color theme="1"/>
        <rFont val="Calibri"/>
        <family val="2"/>
        <scheme val="minor"/>
      </rPr>
      <t>)</t>
    </r>
  </si>
  <si>
    <r>
      <t>Bottom UVLO Resistor (R</t>
    </r>
    <r>
      <rPr>
        <vertAlign val="subscript"/>
        <sz val="11"/>
        <color theme="1"/>
        <rFont val="Calibri"/>
        <family val="2"/>
        <scheme val="minor"/>
      </rPr>
      <t>UVB</t>
    </r>
    <r>
      <rPr>
        <sz val="11"/>
        <color theme="1"/>
        <rFont val="Calibri"/>
        <family val="2"/>
        <scheme val="minor"/>
      </rPr>
      <t>)</t>
    </r>
  </si>
  <si>
    <t>Calcualted top UVLO resistor</t>
  </si>
  <si>
    <t>Selected top UVLO resistor</t>
  </si>
  <si>
    <t>Calcualted Bottom UBLO Resistor</t>
  </si>
  <si>
    <t>Frcoss (VIN)min</t>
  </si>
  <si>
    <t>ADC_VINmin</t>
  </si>
  <si>
    <t>wp_lf_VINmin</t>
  </si>
  <si>
    <t>fp_lf_VINmin</t>
  </si>
  <si>
    <t>wz_esr_VINmin</t>
  </si>
  <si>
    <t>fz_esr_VINmin</t>
  </si>
  <si>
    <t>wz_RHP_VINmin</t>
  </si>
  <si>
    <t>fz_rhp_VINmin</t>
  </si>
  <si>
    <t>Se_VINmin</t>
  </si>
  <si>
    <t>Sn_VINmin</t>
  </si>
  <si>
    <t>wsl_VINmin</t>
  </si>
  <si>
    <t>Q_VINmin</t>
  </si>
  <si>
    <t>Operation Raange</t>
  </si>
  <si>
    <t>Vin_op_min</t>
  </si>
  <si>
    <t>Minimum operating voltage</t>
  </si>
  <si>
    <t>Maximum BIAS pin operating voltage</t>
  </si>
  <si>
    <t>Vin_op_max</t>
  </si>
  <si>
    <r>
      <t>Desired Maximum Inductor Current Ripple Ratio (I</t>
    </r>
    <r>
      <rPr>
        <vertAlign val="subscript"/>
        <sz val="10"/>
        <color theme="1"/>
        <rFont val="Calibri"/>
        <family val="2"/>
        <scheme val="minor"/>
      </rPr>
      <t>RR_MAX</t>
    </r>
    <r>
      <rPr>
        <sz val="10"/>
        <color theme="1"/>
        <rFont val="Calibri"/>
        <family val="2"/>
        <scheme val="minor"/>
      </rPr>
      <t>)</t>
    </r>
  </si>
  <si>
    <t>Peak Current Limit Margin</t>
  </si>
  <si>
    <r>
      <t>Voltage selected (V</t>
    </r>
    <r>
      <rPr>
        <vertAlign val="subscript"/>
        <sz val="11"/>
        <rFont val="Calibri"/>
        <family val="2"/>
        <scheme val="minor"/>
      </rPr>
      <t>IN_VAR</t>
    </r>
    <r>
      <rPr>
        <sz val="11"/>
        <rFont val="Calibri"/>
        <family val="2"/>
        <scheme val="minor"/>
      </rPr>
      <t>)</t>
    </r>
  </si>
  <si>
    <t>This should be set at or near the lowest RHP zero Frequency</t>
  </si>
  <si>
    <t>Set between 1/2 fsw and the RHPz in the application note. This is aggressive</t>
  </si>
  <si>
    <r>
      <t>Recommended current sense Resistor (R</t>
    </r>
    <r>
      <rPr>
        <vertAlign val="subscript"/>
        <sz val="11"/>
        <color theme="1"/>
        <rFont val="Calibri"/>
        <family val="2"/>
        <scheme val="minor"/>
      </rPr>
      <t>S</t>
    </r>
    <r>
      <rPr>
        <sz val="11"/>
        <color theme="1"/>
        <rFont val="Calibri"/>
        <family val="2"/>
        <scheme val="minor"/>
      </rPr>
      <t>)</t>
    </r>
  </si>
  <si>
    <r>
      <t>Selected current sense Resistor (R</t>
    </r>
    <r>
      <rPr>
        <vertAlign val="subscript"/>
        <sz val="11"/>
        <color theme="1"/>
        <rFont val="Calibri"/>
        <family val="2"/>
        <scheme val="minor"/>
      </rPr>
      <t>S</t>
    </r>
    <r>
      <rPr>
        <sz val="11"/>
        <color theme="1"/>
        <rFont val="Calibri"/>
        <family val="2"/>
        <scheme val="minor"/>
      </rPr>
      <t>)</t>
    </r>
  </si>
  <si>
    <t>VOUT1</t>
  </si>
  <si>
    <t>IOUT1</t>
  </si>
  <si>
    <t>ROUT1</t>
  </si>
  <si>
    <t>POUT1</t>
  </si>
  <si>
    <t>VOUT2</t>
  </si>
  <si>
    <t>IOUT2</t>
  </si>
  <si>
    <t>ROUT2</t>
  </si>
  <si>
    <t>POUT2</t>
  </si>
  <si>
    <t>VOUT3</t>
  </si>
  <si>
    <t>IOUT3</t>
  </si>
  <si>
    <t>ROUT3</t>
  </si>
  <si>
    <t>POUT3</t>
  </si>
  <si>
    <t>POUT_Total</t>
  </si>
  <si>
    <t>Enable</t>
  </si>
  <si>
    <t>EN_OUT_3</t>
  </si>
  <si>
    <t>EN_OUT_2</t>
  </si>
  <si>
    <t>Enable the second output voltage</t>
  </si>
  <si>
    <t>Enable the third output voltage</t>
  </si>
  <si>
    <t>Target Output Voltage, First output voltage should always be the one regulated, and should be active</t>
  </si>
  <si>
    <t>Step 2: Transformer Specifications</t>
  </si>
  <si>
    <r>
      <t>Recommended Inductance Primary Inductance (L</t>
    </r>
    <r>
      <rPr>
        <vertAlign val="subscript"/>
        <sz val="10"/>
        <color theme="1"/>
        <rFont val="Calibri"/>
        <family val="2"/>
        <scheme val="minor"/>
      </rPr>
      <t>M_CALC</t>
    </r>
    <r>
      <rPr>
        <sz val="10"/>
        <color theme="1"/>
        <rFont val="Calibri"/>
        <family val="2"/>
        <scheme val="minor"/>
      </rPr>
      <t>)</t>
    </r>
  </si>
  <si>
    <r>
      <t>User Selected Primary Inductance, (L</t>
    </r>
    <r>
      <rPr>
        <vertAlign val="subscript"/>
        <sz val="10"/>
        <color theme="1"/>
        <rFont val="Calibri"/>
        <family val="2"/>
        <scheme val="minor"/>
      </rPr>
      <t>M</t>
    </r>
    <r>
      <rPr>
        <sz val="10"/>
        <color theme="1"/>
        <rFont val="Calibri"/>
        <family val="2"/>
        <scheme val="minor"/>
      </rPr>
      <t>)</t>
    </r>
  </si>
  <si>
    <t>Np</t>
  </si>
  <si>
    <t>Step 2: Transformer Specs</t>
  </si>
  <si>
    <t>The number of turns on the primary side. Can change to help ease calculations</t>
  </si>
  <si>
    <t>Maximum duty cycle for the design</t>
  </si>
  <si>
    <r>
      <t>Desired Maximum Duty Cycle (D</t>
    </r>
    <r>
      <rPr>
        <vertAlign val="subscript"/>
        <sz val="11"/>
        <color theme="1"/>
        <rFont val="Calibri"/>
        <family val="2"/>
        <scheme val="minor"/>
      </rPr>
      <t>MAX</t>
    </r>
    <r>
      <rPr>
        <sz val="11"/>
        <color theme="1"/>
        <rFont val="Calibri"/>
        <family val="2"/>
        <scheme val="minor"/>
      </rPr>
      <t>)</t>
    </r>
  </si>
  <si>
    <t>System Constants</t>
  </si>
  <si>
    <t>Vd</t>
  </si>
  <si>
    <t>This is just the standard voltage drop of a diode allows for some head room on duty cycle calculations</t>
  </si>
  <si>
    <t>Dmax_limit</t>
  </si>
  <si>
    <t>Calcualted secondary side (VOUT1) Turns Ratio (Assuming CCM operation)</t>
  </si>
  <si>
    <t>Selected Turns Ratio for regulated primary rail</t>
  </si>
  <si>
    <t>NS2_calc</t>
  </si>
  <si>
    <t>NS2</t>
  </si>
  <si>
    <t>Calcualted secondary side (VOUT2)</t>
  </si>
  <si>
    <t xml:space="preserve">Selected Turns Ratio for VOUT2 </t>
  </si>
  <si>
    <t>N1S_calc</t>
  </si>
  <si>
    <t>Ns1_</t>
  </si>
  <si>
    <t>Turns</t>
  </si>
  <si>
    <t>Target Output Voltage (Absolute Maximum)</t>
  </si>
  <si>
    <t>Target Output Voltage (Absolute Maximum Voltage)</t>
  </si>
  <si>
    <r>
      <t>Calculated Secondary Side turns (N</t>
    </r>
    <r>
      <rPr>
        <vertAlign val="subscript"/>
        <sz val="11"/>
        <color theme="1"/>
        <rFont val="Calibri"/>
        <family val="2"/>
        <scheme val="minor"/>
      </rPr>
      <t>Sx_calc</t>
    </r>
    <r>
      <rPr>
        <sz val="11"/>
        <color theme="1"/>
        <rFont val="Calibri"/>
        <family val="2"/>
        <scheme val="minor"/>
      </rPr>
      <t>)</t>
    </r>
  </si>
  <si>
    <r>
      <t>Selected Secondary Side turns (N</t>
    </r>
    <r>
      <rPr>
        <vertAlign val="subscript"/>
        <sz val="11"/>
        <color theme="1"/>
        <rFont val="Calibri"/>
        <family val="2"/>
        <scheme val="minor"/>
      </rPr>
      <t>Sx_</t>
    </r>
    <r>
      <rPr>
        <sz val="11"/>
        <color theme="1"/>
        <rFont val="Calibri"/>
        <family val="2"/>
        <scheme val="minor"/>
      </rPr>
      <t>)</t>
    </r>
  </si>
  <si>
    <t>Ns3_calc</t>
  </si>
  <si>
    <t>NS3_</t>
  </si>
  <si>
    <t>Calcualted secondary side (VOUT3)</t>
  </si>
  <si>
    <t xml:space="preserve">Selected Turns Ratio for VOUT3 </t>
  </si>
  <si>
    <r>
      <t>Adjusted output voltage (V</t>
    </r>
    <r>
      <rPr>
        <vertAlign val="subscript"/>
        <sz val="11"/>
        <color theme="1"/>
        <rFont val="Calibri"/>
        <family val="2"/>
        <scheme val="minor"/>
      </rPr>
      <t>LOADx</t>
    </r>
    <r>
      <rPr>
        <sz val="11"/>
        <color theme="1"/>
        <rFont val="Calibri"/>
        <family val="2"/>
        <scheme val="minor"/>
      </rPr>
      <t>)</t>
    </r>
  </si>
  <si>
    <t>VOUT2_act</t>
  </si>
  <si>
    <t>Actual Output voltage</t>
  </si>
  <si>
    <t>VOUT3_act</t>
  </si>
  <si>
    <t>Dmax_act</t>
  </si>
  <si>
    <r>
      <t>Approximate Maximum Duty Cycle (D</t>
    </r>
    <r>
      <rPr>
        <vertAlign val="subscript"/>
        <sz val="11"/>
        <color theme="1"/>
        <rFont val="Calibri"/>
        <family val="2"/>
        <scheme val="minor"/>
      </rPr>
      <t>MAX</t>
    </r>
    <r>
      <rPr>
        <sz val="11"/>
        <color theme="1"/>
        <rFont val="Calibri"/>
        <family val="2"/>
        <scheme val="minor"/>
      </rPr>
      <t>)</t>
    </r>
  </si>
  <si>
    <t>Occurs at the minimum input voltage</t>
  </si>
  <si>
    <t>VIN nom nominal Duty cycle</t>
  </si>
  <si>
    <t>VIN max nominal Duty cycle</t>
  </si>
  <si>
    <t>Estimated efficiency of the conveter. For right now need to just keep this 1</t>
  </si>
  <si>
    <t>Vreflect</t>
  </si>
  <si>
    <t>Inductor at Maximum input voltage (Includes the diode drop in the duty cycle calculation)</t>
  </si>
  <si>
    <t>IL_avg_VIN_min</t>
  </si>
  <si>
    <t>average input current</t>
  </si>
  <si>
    <t>Vout1_rip_sel</t>
  </si>
  <si>
    <t>Cout1_min</t>
  </si>
  <si>
    <t>Resr1</t>
  </si>
  <si>
    <t>Vout3_rip_sel</t>
  </si>
  <si>
    <t>Cout3_min</t>
  </si>
  <si>
    <t>Resr3</t>
  </si>
  <si>
    <t>Load 2</t>
  </si>
  <si>
    <t>Load 3</t>
  </si>
  <si>
    <t>Load 1</t>
  </si>
  <si>
    <t>Cout_total</t>
  </si>
  <si>
    <t>Resr_total</t>
  </si>
  <si>
    <t>Vout2_rip_sel</t>
  </si>
  <si>
    <t>Cout2_min</t>
  </si>
  <si>
    <t>Cout2</t>
  </si>
  <si>
    <t>Resr2</t>
  </si>
  <si>
    <t>Resr2_Trans</t>
  </si>
  <si>
    <t>ESR tranfered to the regualted winding of the transformer</t>
  </si>
  <si>
    <t>Total output cap ESR refered to the pregulated winding (VOUT1). Used for loop modeling</t>
  </si>
  <si>
    <t>Total output capacitance refered to the regulated winding (VOUT1). Used for loop modeling</t>
  </si>
  <si>
    <t>Need to finish updating from here</t>
  </si>
  <si>
    <t>POUT_Var</t>
  </si>
  <si>
    <t>Variable output Power (Need to add this in</t>
  </si>
  <si>
    <t>COUT_total</t>
  </si>
  <si>
    <t>CCM Model</t>
  </si>
  <si>
    <t>Dc</t>
  </si>
  <si>
    <t>Duty cycle at Vin_var</t>
  </si>
  <si>
    <t>mc</t>
  </si>
  <si>
    <r>
      <t>External voltage reference voltage (V</t>
    </r>
    <r>
      <rPr>
        <vertAlign val="subscript"/>
        <sz val="11"/>
        <color theme="1"/>
        <rFont val="Calibri"/>
        <family val="2"/>
        <scheme val="minor"/>
      </rPr>
      <t>ref_iso</t>
    </r>
    <r>
      <rPr>
        <sz val="11"/>
        <color theme="1"/>
        <rFont val="Calibri"/>
        <family val="2"/>
        <scheme val="minor"/>
      </rPr>
      <t>)</t>
    </r>
  </si>
  <si>
    <t>Otpocoupler selection Resistor Selection</t>
  </si>
  <si>
    <r>
      <t>Minimum current transfer Ratio (k</t>
    </r>
    <r>
      <rPr>
        <vertAlign val="subscript"/>
        <sz val="11"/>
        <color theme="1"/>
        <rFont val="Calibri"/>
        <family val="2"/>
        <scheme val="minor"/>
      </rPr>
      <t>OPTO_min</t>
    </r>
    <r>
      <rPr>
        <sz val="11"/>
        <color theme="1"/>
        <rFont val="Calibri"/>
        <family val="2"/>
        <scheme val="minor"/>
      </rPr>
      <t>)</t>
    </r>
  </si>
  <si>
    <r>
      <t>Maximum current transfer Ratio (k</t>
    </r>
    <r>
      <rPr>
        <vertAlign val="subscript"/>
        <sz val="11"/>
        <color theme="1"/>
        <rFont val="Calibri"/>
        <family val="2"/>
        <scheme val="minor"/>
      </rPr>
      <t>OPTO_max</t>
    </r>
    <r>
      <rPr>
        <sz val="11"/>
        <color theme="1"/>
        <rFont val="Calibri"/>
        <family val="2"/>
        <scheme val="minor"/>
      </rPr>
      <t>)</t>
    </r>
  </si>
  <si>
    <r>
      <t>Worst case diode voltage drop (V</t>
    </r>
    <r>
      <rPr>
        <vertAlign val="subscript"/>
        <sz val="11"/>
        <color theme="1"/>
        <rFont val="Calibri"/>
        <family val="2"/>
        <scheme val="minor"/>
      </rPr>
      <t>D_opto</t>
    </r>
    <r>
      <rPr>
        <sz val="11"/>
        <color theme="1"/>
        <rFont val="Calibri"/>
        <family val="2"/>
        <scheme val="minor"/>
      </rPr>
      <t>)</t>
    </r>
  </si>
  <si>
    <t>Select Feedback type</t>
  </si>
  <si>
    <t>Feedback type</t>
  </si>
  <si>
    <t>Isolated</t>
  </si>
  <si>
    <t>Non-isolated</t>
  </si>
  <si>
    <t>FB_type</t>
  </si>
  <si>
    <t>The type of feedback selected. 1 isolated feedback, 2 non-isolated feedback</t>
  </si>
  <si>
    <t>isolate Feedback calculations</t>
  </si>
  <si>
    <t>Vref_iso</t>
  </si>
  <si>
    <t>External reference voltage. This is needed for isolated feedback designs</t>
  </si>
  <si>
    <t>RFBT_iso</t>
  </si>
  <si>
    <t>RFBB_iso_calc</t>
  </si>
  <si>
    <t>RFBB_iso</t>
  </si>
  <si>
    <t>Calcualted bottom feedback resistor</t>
  </si>
  <si>
    <t>Selected top feedback resistor</t>
  </si>
  <si>
    <t>Selected bottom feedback resistor</t>
  </si>
  <si>
    <t>A/A</t>
  </si>
  <si>
    <r>
      <t>Minimum value for pullup resistor (R</t>
    </r>
    <r>
      <rPr>
        <vertAlign val="subscript"/>
        <sz val="11"/>
        <color theme="1"/>
        <rFont val="Calibri"/>
        <family val="2"/>
        <scheme val="minor"/>
      </rPr>
      <t>PULLUP_min</t>
    </r>
    <r>
      <rPr>
        <sz val="11"/>
        <color theme="1"/>
        <rFont val="Calibri"/>
        <family val="2"/>
        <scheme val="minor"/>
      </rPr>
      <t>)</t>
    </r>
  </si>
  <si>
    <t>Feedback resistors</t>
  </si>
  <si>
    <t>Opto coupler parameters</t>
  </si>
  <si>
    <t>Non-isolated feedback</t>
  </si>
  <si>
    <t>kopto_min</t>
  </si>
  <si>
    <t>kopto_max</t>
  </si>
  <si>
    <t>Minimum CTR of the optocoupler</t>
  </si>
  <si>
    <t>Maximum CTR of the optocoupler</t>
  </si>
  <si>
    <t>Vd_opto</t>
  </si>
  <si>
    <t>Should be the worst case diode drop to ensure feedback works properly over operating conditions</t>
  </si>
  <si>
    <t>Copto</t>
  </si>
  <si>
    <t>Vcomp_max</t>
  </si>
  <si>
    <t>Maximum voltage on the COMP pin</t>
  </si>
  <si>
    <t>Icomp_sink_max</t>
  </si>
  <si>
    <t>Maximum current the COMP pin can sink to keep voltage at 2.5V</t>
  </si>
  <si>
    <t>Rpullup_min</t>
  </si>
  <si>
    <r>
      <t>Pullup voltage (V</t>
    </r>
    <r>
      <rPr>
        <vertAlign val="subscript"/>
        <sz val="11"/>
        <color theme="1"/>
        <rFont val="Calibri"/>
        <family val="2"/>
        <scheme val="minor"/>
      </rPr>
      <t>PULLUP</t>
    </r>
    <r>
      <rPr>
        <sz val="11"/>
        <color theme="1"/>
        <rFont val="Calibri"/>
        <family val="2"/>
        <scheme val="minor"/>
      </rPr>
      <t>)</t>
    </r>
  </si>
  <si>
    <t>This can be selected once the pull up resistor is known. This value will change with Rpullup</t>
  </si>
  <si>
    <t>Vpullup</t>
  </si>
  <si>
    <t>voltage connected to the pullup resistor. This can be the auxwinding or the VCC voltage.</t>
  </si>
  <si>
    <r>
      <t>Selected Pullup Resistor (R</t>
    </r>
    <r>
      <rPr>
        <vertAlign val="subscript"/>
        <sz val="11"/>
        <color theme="1"/>
        <rFont val="Calibri"/>
        <family val="2"/>
        <scheme val="minor"/>
      </rPr>
      <t>PULLUP</t>
    </r>
    <r>
      <rPr>
        <sz val="11"/>
        <color theme="1"/>
        <rFont val="Calibri"/>
        <family val="2"/>
        <scheme val="minor"/>
      </rPr>
      <t>)</t>
    </r>
  </si>
  <si>
    <t>Rpullup</t>
  </si>
  <si>
    <t>Minimum pullup resistor value that will not damage the VCOMP clamp of the LM5155'</t>
  </si>
  <si>
    <t>Selected pullup resistor</t>
  </si>
  <si>
    <t>Bandwidth selection</t>
  </si>
  <si>
    <t>Compensation placement</t>
  </si>
  <si>
    <t>Suggest crossover frequency for the isolated loop. Should be less the 1/5 WzRHP and lower than optocoupler zero</t>
  </si>
  <si>
    <t>CCM Plant Model</t>
  </si>
  <si>
    <t>Step 5: Loop Compensation (CCM operation)</t>
  </si>
  <si>
    <t>RLED</t>
  </si>
  <si>
    <t>DC gain at the minimum input voltage</t>
  </si>
  <si>
    <t>1/5 f RHP</t>
  </si>
  <si>
    <t>fopto</t>
  </si>
  <si>
    <t>optocoupler pole.</t>
  </si>
  <si>
    <t xml:space="preserve">The pole set by the pull up resistor and the opto-coupler capcaitance. </t>
  </si>
  <si>
    <t>fcross_iso</t>
  </si>
  <si>
    <t>fcross_iso_est</t>
  </si>
  <si>
    <t>Selected crossover frequency for the isolated feedback design</t>
  </si>
  <si>
    <t>RLED_max</t>
  </si>
  <si>
    <t>Maximum LED resistor value</t>
  </si>
  <si>
    <r>
      <t>Pullup Resistor (R</t>
    </r>
    <r>
      <rPr>
        <b/>
        <vertAlign val="subscript"/>
        <sz val="11"/>
        <color theme="1"/>
        <rFont val="Calibri"/>
        <family val="2"/>
        <scheme val="minor"/>
      </rPr>
      <t>PULLUP</t>
    </r>
    <r>
      <rPr>
        <b/>
        <sz val="11"/>
        <color theme="1"/>
        <rFont val="Calibri"/>
        <family val="2"/>
        <scheme val="minor"/>
      </rPr>
      <t>) and LED Resistor (R</t>
    </r>
    <r>
      <rPr>
        <b/>
        <vertAlign val="subscript"/>
        <sz val="11"/>
        <color theme="1"/>
        <rFont val="Calibri"/>
        <family val="2"/>
        <scheme val="minor"/>
      </rPr>
      <t>LED</t>
    </r>
    <r>
      <rPr>
        <b/>
        <sz val="11"/>
        <color theme="1"/>
        <rFont val="Calibri"/>
        <family val="2"/>
        <scheme val="minor"/>
      </rPr>
      <t xml:space="preserve">) Selection </t>
    </r>
  </si>
  <si>
    <r>
      <t>Selected LED Resistor (R</t>
    </r>
    <r>
      <rPr>
        <vertAlign val="subscript"/>
        <sz val="11"/>
        <color theme="1"/>
        <rFont val="Calibri"/>
        <family val="2"/>
        <scheme val="minor"/>
      </rPr>
      <t>LED</t>
    </r>
    <r>
      <rPr>
        <sz val="11"/>
        <color theme="1"/>
        <rFont val="Calibri"/>
        <family val="2"/>
        <scheme val="minor"/>
      </rPr>
      <t>)</t>
    </r>
  </si>
  <si>
    <t>Selected LED resistor value</t>
  </si>
  <si>
    <t>RCOMP_iso_calc</t>
  </si>
  <si>
    <t>Rcomp_iso</t>
  </si>
  <si>
    <t>Selecte RCOMP value</t>
  </si>
  <si>
    <t>Ccomp_iso_calc</t>
  </si>
  <si>
    <t>Calcualted Compensation resistor value at the minimum input votlage. WzRHP is the lowest here</t>
  </si>
  <si>
    <t>Ccomp_iso</t>
  </si>
  <si>
    <t>wz_ea_1</t>
  </si>
  <si>
    <t>wz_ea_2</t>
  </si>
  <si>
    <t>wz2_ea</t>
  </si>
  <si>
    <t>wz1_ea</t>
  </si>
  <si>
    <t>Low frequency error complifier 0</t>
  </si>
  <si>
    <t>wpA_ea</t>
  </si>
  <si>
    <t>wpB_ea</t>
  </si>
  <si>
    <t>wpC_ea</t>
  </si>
  <si>
    <t>Pole Coefficients: A</t>
  </si>
  <si>
    <t>Pole Coefficients: C</t>
  </si>
  <si>
    <t>Pole Coefficients: B</t>
  </si>
  <si>
    <t>Suggested bandwidth maximum bandwidth</t>
  </si>
  <si>
    <r>
      <t>Desired Output  ripple voltage (</t>
    </r>
    <r>
      <rPr>
        <sz val="11"/>
        <color theme="1"/>
        <rFont val="Calibri"/>
        <family val="2"/>
      </rPr>
      <t>ΔV</t>
    </r>
    <r>
      <rPr>
        <vertAlign val="subscript"/>
        <sz val="11"/>
        <color theme="1"/>
        <rFont val="Calibri"/>
        <family val="2"/>
      </rPr>
      <t>OUT</t>
    </r>
    <r>
      <rPr>
        <sz val="11"/>
        <color theme="1"/>
        <rFont val="Calibri"/>
        <family val="2"/>
      </rPr>
      <t>)</t>
    </r>
  </si>
  <si>
    <r>
      <t>Maximum LED resistor (R</t>
    </r>
    <r>
      <rPr>
        <vertAlign val="subscript"/>
        <sz val="11"/>
        <color theme="1"/>
        <rFont val="Calibri"/>
        <family val="2"/>
        <scheme val="minor"/>
      </rPr>
      <t>LED_max</t>
    </r>
    <r>
      <rPr>
        <sz val="11"/>
        <color theme="1"/>
        <rFont val="Calibri"/>
        <family val="2"/>
        <scheme val="minor"/>
      </rPr>
      <t>)</t>
    </r>
  </si>
  <si>
    <t xml:space="preserve">POUT3 </t>
  </si>
  <si>
    <t>POUT1_step</t>
  </si>
  <si>
    <t>POUT2_step</t>
  </si>
  <si>
    <t>POUT3_step</t>
  </si>
  <si>
    <t>Primary Winding losses</t>
  </si>
  <si>
    <t>Ptotal</t>
  </si>
  <si>
    <t>ILAVG</t>
  </si>
  <si>
    <t>Primary Winding calculations</t>
  </si>
  <si>
    <t>Doff</t>
  </si>
  <si>
    <t>Ddead</t>
  </si>
  <si>
    <t>Ls1</t>
  </si>
  <si>
    <t>Secondary DCR</t>
  </si>
  <si>
    <t>Rdcr1</t>
  </si>
  <si>
    <t>LOAD1 secondary winding resistance</t>
  </si>
  <si>
    <t>Rdcr2</t>
  </si>
  <si>
    <t>Rdcr3</t>
  </si>
  <si>
    <t>ILAVG2</t>
  </si>
  <si>
    <t>ILAVG1</t>
  </si>
  <si>
    <t>(1-D)sec</t>
  </si>
  <si>
    <t xml:space="preserve">Iripple </t>
  </si>
  <si>
    <t>Ipeak</t>
  </si>
  <si>
    <t>ILRMS1</t>
  </si>
  <si>
    <t>VLOAD1 Power Losses</t>
  </si>
  <si>
    <t>Transformer Losses</t>
  </si>
  <si>
    <t>Diode Losses</t>
  </si>
  <si>
    <r>
      <t>P</t>
    </r>
    <r>
      <rPr>
        <vertAlign val="subscript"/>
        <sz val="11"/>
        <color theme="1"/>
        <rFont val="Calibri"/>
        <family val="2"/>
        <scheme val="minor"/>
      </rPr>
      <t>Qrr</t>
    </r>
    <r>
      <rPr>
        <sz val="11"/>
        <color theme="1"/>
        <rFont val="Calibri"/>
        <family val="2"/>
        <scheme val="minor"/>
      </rPr>
      <t xml:space="preserve"> (W)</t>
    </r>
  </si>
  <si>
    <r>
      <t>P</t>
    </r>
    <r>
      <rPr>
        <vertAlign val="subscript"/>
        <sz val="11"/>
        <color theme="1"/>
        <rFont val="Calibri"/>
        <family val="2"/>
        <scheme val="minor"/>
      </rPr>
      <t>CON</t>
    </r>
    <r>
      <rPr>
        <sz val="11"/>
        <color theme="1"/>
        <rFont val="Calibri"/>
        <family val="2"/>
        <scheme val="minor"/>
      </rPr>
      <t xml:space="preserve"> (W)</t>
    </r>
  </si>
  <si>
    <r>
      <t>PD1</t>
    </r>
    <r>
      <rPr>
        <vertAlign val="subscript"/>
        <sz val="11"/>
        <color theme="1"/>
        <rFont val="Calibri"/>
        <family val="2"/>
        <scheme val="minor"/>
      </rPr>
      <t>_tot</t>
    </r>
    <r>
      <rPr>
        <sz val="11"/>
        <color theme="1"/>
        <rFont val="Calibri"/>
        <family val="2"/>
        <scheme val="minor"/>
      </rPr>
      <t xml:space="preserve"> (W)</t>
    </r>
  </si>
  <si>
    <t>Vd1</t>
  </si>
  <si>
    <t>Qrr1</t>
  </si>
  <si>
    <t>Vd3</t>
  </si>
  <si>
    <t>Qrr3</t>
  </si>
  <si>
    <t>Vd2</t>
  </si>
  <si>
    <t>Qrr2</t>
  </si>
  <si>
    <t>ILAVG3</t>
  </si>
  <si>
    <t>LOAD3</t>
  </si>
  <si>
    <t>MOSFET Losses</t>
  </si>
  <si>
    <t>Leakage and Snubber</t>
  </si>
  <si>
    <t>Psnub</t>
  </si>
  <si>
    <t>Pleak</t>
  </si>
  <si>
    <t>Total Losses</t>
  </si>
  <si>
    <t>Transformer</t>
  </si>
  <si>
    <t>Number of output</t>
  </si>
  <si>
    <t xml:space="preserve">Single </t>
  </si>
  <si>
    <t xml:space="preserve">Double </t>
  </si>
  <si>
    <t>Triple</t>
  </si>
  <si>
    <r>
      <t>Calculated Secondary Side turns (N</t>
    </r>
    <r>
      <rPr>
        <vertAlign val="subscript"/>
        <sz val="11"/>
        <color theme="1"/>
        <rFont val="Calibri"/>
        <family val="2"/>
        <scheme val="minor"/>
      </rPr>
      <t>S2_calc</t>
    </r>
    <r>
      <rPr>
        <sz val="11"/>
        <color theme="1"/>
        <rFont val="Calibri"/>
        <family val="2"/>
        <scheme val="minor"/>
      </rPr>
      <t>)</t>
    </r>
  </si>
  <si>
    <r>
      <t>Maximum Output Current , I</t>
    </r>
    <r>
      <rPr>
        <vertAlign val="subscript"/>
        <sz val="10"/>
        <color theme="1"/>
        <rFont val="Calibri"/>
        <family val="2"/>
        <scheme val="minor"/>
      </rPr>
      <t>LOAD2</t>
    </r>
    <r>
      <rPr>
        <sz val="10"/>
        <color theme="1"/>
        <rFont val="Calibri"/>
        <family val="2"/>
        <scheme val="minor"/>
      </rPr>
      <t xml:space="preserve"> </t>
    </r>
  </si>
  <si>
    <r>
      <t>Output Target Voltage, V</t>
    </r>
    <r>
      <rPr>
        <vertAlign val="subscript"/>
        <sz val="10"/>
        <color theme="1"/>
        <rFont val="Calibri"/>
        <family val="2"/>
        <scheme val="minor"/>
      </rPr>
      <t>LOAD2</t>
    </r>
    <r>
      <rPr>
        <sz val="10"/>
        <color theme="1"/>
        <rFont val="Calibri"/>
        <family val="2"/>
        <scheme val="minor"/>
      </rPr>
      <t xml:space="preserve"> </t>
    </r>
  </si>
  <si>
    <r>
      <t>Selected Secondary Side turns (N</t>
    </r>
    <r>
      <rPr>
        <vertAlign val="subscript"/>
        <sz val="11"/>
        <color theme="1"/>
        <rFont val="Calibri"/>
        <family val="2"/>
        <scheme val="minor"/>
      </rPr>
      <t>S2_</t>
    </r>
    <r>
      <rPr>
        <sz val="11"/>
        <color theme="1"/>
        <rFont val="Calibri"/>
        <family val="2"/>
        <scheme val="minor"/>
      </rPr>
      <t>)</t>
    </r>
  </si>
  <si>
    <t>Number of output rails</t>
  </si>
  <si>
    <t>Load 2 Specificaitons</t>
  </si>
  <si>
    <t>Load 1 Specifications</t>
  </si>
  <si>
    <t>Load 3 Specifications</t>
  </si>
  <si>
    <t>fcross_est</t>
  </si>
  <si>
    <t>Estimated cross over frequency based on the primary winding. 1/5 the cross over frequency. Follows app note</t>
  </si>
  <si>
    <t>Iout1_step</t>
  </si>
  <si>
    <t>50% load step to calculate the output voltage transient.</t>
  </si>
  <si>
    <t>Variable input voltage to model the loop and efficiency calculations</t>
  </si>
  <si>
    <t>LOOP_ISO</t>
  </si>
  <si>
    <t>LOOP_nISO</t>
  </si>
  <si>
    <t xml:space="preserve">Will add this later. </t>
  </si>
  <si>
    <t>Updated</t>
  </si>
  <si>
    <t xml:space="preserve">Mode of operation: </t>
  </si>
  <si>
    <t>CCM</t>
  </si>
  <si>
    <t>Base Calculations of :</t>
  </si>
  <si>
    <t>Can base this value on the capacitve ripple of the output</t>
  </si>
  <si>
    <t xml:space="preserve">Can base this value on the capacitve output </t>
  </si>
  <si>
    <t>should inclued the total capacitance of this calculation</t>
  </si>
  <si>
    <t>50% load step</t>
  </si>
  <si>
    <t>Not Correct. Can just leave this one out for now.</t>
  </si>
  <si>
    <t>Assuming that the voltage drop of the diode is ideal</t>
  </si>
  <si>
    <t>External Compensation? (0-no, 1-yes) If DCM operation always no</t>
  </si>
  <si>
    <t>"Need to update this for isolated. A secondary soft-start should be used</t>
  </si>
  <si>
    <t>"Need to update this for being pulled up on the AUX winding</t>
  </si>
  <si>
    <t>*Need to find a good reference for this</t>
  </si>
  <si>
    <t>Conduction losses are just the average current</t>
  </si>
  <si>
    <r>
      <t>50 S to simplify equations Transconductance, g</t>
    </r>
    <r>
      <rPr>
        <vertAlign val="subscript"/>
        <sz val="10"/>
        <rFont val="Arial"/>
        <family val="2"/>
      </rPr>
      <t>FS,</t>
    </r>
  </si>
  <si>
    <t>LM5155/56  CCM Flyback Controller Design Tool</t>
  </si>
  <si>
    <t>Load 2 Capacitance</t>
  </si>
  <si>
    <r>
      <t>Peak Primary Winding current, IL</t>
    </r>
    <r>
      <rPr>
        <vertAlign val="subscript"/>
        <sz val="10"/>
        <color theme="1"/>
        <rFont val="Calibri"/>
        <family val="2"/>
        <scheme val="minor"/>
      </rPr>
      <t>PK</t>
    </r>
  </si>
  <si>
    <t>Load 1 Diode Specifications</t>
  </si>
  <si>
    <t>Load 2 Diode Specifications</t>
  </si>
  <si>
    <t>Load 3 Diode Specifications</t>
  </si>
  <si>
    <r>
      <t>Secondary (N</t>
    </r>
    <r>
      <rPr>
        <vertAlign val="subscript"/>
        <sz val="11"/>
        <color theme="1"/>
        <rFont val="Calibri"/>
        <family val="2"/>
        <scheme val="minor"/>
      </rPr>
      <t>S1</t>
    </r>
    <r>
      <rPr>
        <sz val="11"/>
        <color theme="1"/>
        <rFont val="Calibri"/>
        <family val="2"/>
        <scheme val="minor"/>
      </rPr>
      <t>) DCR</t>
    </r>
  </si>
  <si>
    <r>
      <t>Selected Secondary Side turns (N</t>
    </r>
    <r>
      <rPr>
        <vertAlign val="subscript"/>
        <sz val="11"/>
        <color theme="1"/>
        <rFont val="Calibri"/>
        <family val="2"/>
        <scheme val="minor"/>
      </rPr>
      <t>S1</t>
    </r>
    <r>
      <rPr>
        <sz val="11"/>
        <color theme="1"/>
        <rFont val="Calibri"/>
        <family val="2"/>
        <scheme val="minor"/>
      </rPr>
      <t>)</t>
    </r>
  </si>
  <si>
    <r>
      <t>Calculated Secondary Side turns (N</t>
    </r>
    <r>
      <rPr>
        <vertAlign val="subscript"/>
        <sz val="11"/>
        <color theme="1"/>
        <rFont val="Calibri"/>
        <family val="2"/>
        <scheme val="minor"/>
      </rPr>
      <t>S1_calc</t>
    </r>
    <r>
      <rPr>
        <sz val="11"/>
        <color theme="1"/>
        <rFont val="Calibri"/>
        <family val="2"/>
        <scheme val="minor"/>
      </rPr>
      <t>)</t>
    </r>
  </si>
  <si>
    <t>Load 3 Capacitance</t>
  </si>
  <si>
    <t xml:space="preserve">Minimum Load 1 output capacitance </t>
  </si>
  <si>
    <t xml:space="preserve">Minimum Load 2 output capacitance </t>
  </si>
  <si>
    <t xml:space="preserve">Minimum Load 3 output capacitance </t>
  </si>
  <si>
    <t>DCM_VIN_min</t>
  </si>
  <si>
    <t>Discontinous conduction mode at minimum input voltage</t>
  </si>
  <si>
    <t>DCM_VIN_nom</t>
  </si>
  <si>
    <t>DCM_VIN_max</t>
  </si>
  <si>
    <t>Discontinous conduction mode at nominal input voltage</t>
  </si>
  <si>
    <t>Discontinous conduction mode at maximum input voltage</t>
  </si>
  <si>
    <r>
      <t>Phototransistor output capacitance Capacitance (C</t>
    </r>
    <r>
      <rPr>
        <vertAlign val="subscript"/>
        <sz val="11"/>
        <color theme="1"/>
        <rFont val="Calibri"/>
        <family val="2"/>
        <scheme val="minor"/>
      </rPr>
      <t>OPTO</t>
    </r>
    <r>
      <rPr>
        <sz val="11"/>
        <color theme="1"/>
        <rFont val="Calibri"/>
        <family val="2"/>
        <scheme val="minor"/>
      </rPr>
      <t>)</t>
    </r>
  </si>
  <si>
    <r>
      <t>Phototransistor collector to emitter saturation votltage (V</t>
    </r>
    <r>
      <rPr>
        <vertAlign val="subscript"/>
        <sz val="11"/>
        <color theme="1"/>
        <rFont val="Calibri"/>
        <family val="2"/>
        <scheme val="minor"/>
      </rPr>
      <t>CE_sat</t>
    </r>
    <r>
      <rPr>
        <sz val="11"/>
        <color theme="1"/>
        <rFont val="Calibri"/>
        <family val="2"/>
        <scheme val="minor"/>
      </rPr>
      <t>)</t>
    </r>
  </si>
  <si>
    <r>
      <t>Reverse Recovery Charge (Q</t>
    </r>
    <r>
      <rPr>
        <vertAlign val="subscript"/>
        <sz val="11"/>
        <color theme="1"/>
        <rFont val="Calibri"/>
        <family val="2"/>
        <scheme val="minor"/>
      </rPr>
      <t>RR_3</t>
    </r>
    <r>
      <rPr>
        <sz val="11"/>
        <color theme="1"/>
        <rFont val="Calibri"/>
        <family val="2"/>
        <scheme val="minor"/>
      </rPr>
      <t>)</t>
    </r>
  </si>
  <si>
    <r>
      <t>Reverse Recovery Charge (Q</t>
    </r>
    <r>
      <rPr>
        <vertAlign val="subscript"/>
        <sz val="11"/>
        <color theme="1"/>
        <rFont val="Calibri"/>
        <family val="2"/>
        <scheme val="minor"/>
      </rPr>
      <t>RR_1</t>
    </r>
    <r>
      <rPr>
        <sz val="11"/>
        <color theme="1"/>
        <rFont val="Calibri"/>
        <family val="2"/>
        <scheme val="minor"/>
      </rPr>
      <t>)</t>
    </r>
  </si>
  <si>
    <r>
      <t>Reverse Recovery Charge (Q</t>
    </r>
    <r>
      <rPr>
        <vertAlign val="subscript"/>
        <sz val="11"/>
        <color theme="1"/>
        <rFont val="Calibri"/>
        <family val="2"/>
        <scheme val="minor"/>
      </rPr>
      <t>RR_2</t>
    </r>
    <r>
      <rPr>
        <sz val="11"/>
        <color theme="1"/>
        <rFont val="Calibri"/>
        <family val="2"/>
        <scheme val="minor"/>
      </rPr>
      <t>)</t>
    </r>
  </si>
  <si>
    <r>
      <t>Diode Forward Voltage drop (V</t>
    </r>
    <r>
      <rPr>
        <vertAlign val="subscript"/>
        <sz val="11"/>
        <color theme="1"/>
        <rFont val="Calibri"/>
        <family val="2"/>
        <scheme val="minor"/>
      </rPr>
      <t>D1</t>
    </r>
    <r>
      <rPr>
        <sz val="11"/>
        <color theme="1"/>
        <rFont val="Calibri"/>
        <family val="2"/>
        <scheme val="minor"/>
      </rPr>
      <t>)</t>
    </r>
  </si>
  <si>
    <r>
      <t>Diode Forward Voltage drop (V</t>
    </r>
    <r>
      <rPr>
        <vertAlign val="subscript"/>
        <sz val="11"/>
        <color theme="1"/>
        <rFont val="Calibri"/>
        <family val="2"/>
        <scheme val="minor"/>
      </rPr>
      <t>D2</t>
    </r>
    <r>
      <rPr>
        <sz val="11"/>
        <color theme="1"/>
        <rFont val="Calibri"/>
        <family val="2"/>
        <scheme val="minor"/>
      </rPr>
      <t>)</t>
    </r>
  </si>
  <si>
    <r>
      <t>Diode Forward Voltage drop (V</t>
    </r>
    <r>
      <rPr>
        <vertAlign val="subscript"/>
        <sz val="11"/>
        <color theme="1"/>
        <rFont val="Calibri"/>
        <family val="2"/>
        <scheme val="minor"/>
      </rPr>
      <t>D3</t>
    </r>
    <r>
      <rPr>
        <sz val="11"/>
        <color theme="1"/>
        <rFont val="Calibri"/>
        <family val="2"/>
        <scheme val="minor"/>
      </rPr>
      <t>)</t>
    </r>
  </si>
  <si>
    <r>
      <t>Primary Winding Resistance (R</t>
    </r>
    <r>
      <rPr>
        <vertAlign val="subscript"/>
        <sz val="10"/>
        <color theme="1"/>
        <rFont val="Calibri"/>
        <family val="2"/>
        <scheme val="minor"/>
      </rPr>
      <t>DCR</t>
    </r>
    <r>
      <rPr>
        <sz val="10"/>
        <color theme="1"/>
        <rFont val="Calibri"/>
        <family val="2"/>
        <scheme val="minor"/>
      </rPr>
      <t>)</t>
    </r>
  </si>
  <si>
    <t>Mar-2020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</si>
</sst>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_(* \(#,##0.00\);_(* &quot;-&quot;??_);_(@_)"/>
    <numFmt numFmtId="164" formatCode="0.000"/>
    <numFmt numFmtId="165" formatCode="0.000E+00"/>
    <numFmt numFmtId="166" formatCode="0.0000"/>
    <numFmt numFmtId="167" formatCode="0.0000E+00"/>
    <numFmt numFmtId="168" formatCode="0.0"/>
    <numFmt numFmtId="169" formatCode="0.0000000E+00"/>
    <numFmt numFmtId="170" formatCode="0.00000000"/>
    <numFmt numFmtId="171" formatCode="0.0000000"/>
  </numFmts>
  <fonts count="54" x14ac:knownFonts="1">
    <font>
      <sz val="11"/>
      <color theme="1"/>
      <name val="Calibri"/>
      <family val="2"/>
      <scheme val="minor"/>
    </font>
    <font>
      <sz val="11"/>
      <color theme="1"/>
      <name val="Calibri"/>
      <family val="2"/>
      <scheme val="minor"/>
    </font>
    <font>
      <b/>
      <sz val="11"/>
      <color theme="0"/>
      <name val="Calibri"/>
      <family val="2"/>
      <scheme val="minor"/>
    </font>
    <font>
      <sz val="10"/>
      <name val="Arial"/>
      <family val="2"/>
    </font>
    <font>
      <sz val="10"/>
      <name val="Arial"/>
      <family val="2"/>
    </font>
    <font>
      <b/>
      <sz val="10"/>
      <name val="Arial"/>
      <family val="2"/>
    </font>
    <font>
      <b/>
      <sz val="22"/>
      <color indexed="44"/>
      <name val="Arial"/>
      <family val="2"/>
    </font>
    <font>
      <b/>
      <sz val="9"/>
      <color indexed="81"/>
      <name val="Tahoma"/>
      <family val="2"/>
    </font>
    <font>
      <sz val="9"/>
      <color indexed="81"/>
      <name val="Tahoma"/>
      <family val="2"/>
    </font>
    <font>
      <b/>
      <sz val="12"/>
      <color rgb="FF0000FF"/>
      <name val="Arial"/>
      <family val="2"/>
    </font>
    <font>
      <sz val="28"/>
      <color theme="0"/>
      <name val="Calibri"/>
      <family val="2"/>
      <scheme val="minor"/>
    </font>
    <font>
      <b/>
      <sz val="11"/>
      <color indexed="10"/>
      <name val="Tahoma"/>
      <family val="2"/>
    </font>
    <font>
      <sz val="12"/>
      <color indexed="10"/>
      <name val="Tahoma"/>
      <family val="2"/>
    </font>
    <font>
      <sz val="10"/>
      <color theme="1"/>
      <name val="Calibri"/>
      <family val="2"/>
      <scheme val="minor"/>
    </font>
    <font>
      <vertAlign val="subscript"/>
      <sz val="10"/>
      <color theme="1"/>
      <name val="Calibri"/>
      <family val="2"/>
      <scheme val="minor"/>
    </font>
    <font>
      <sz val="11"/>
      <name val="Calibri"/>
      <family val="2"/>
      <scheme val="minor"/>
    </font>
    <font>
      <b/>
      <sz val="11"/>
      <color rgb="FF0070C0"/>
      <name val="Calibri"/>
      <family val="2"/>
      <scheme val="minor"/>
    </font>
    <font>
      <sz val="11"/>
      <color theme="1"/>
      <name val="Calibri"/>
      <family val="2"/>
    </font>
    <font>
      <u/>
      <sz val="11"/>
      <color theme="1"/>
      <name val="Calibri"/>
      <family val="2"/>
      <scheme val="minor"/>
    </font>
    <font>
      <vertAlign val="subscript"/>
      <sz val="11"/>
      <color theme="1"/>
      <name val="Calibri"/>
      <family val="2"/>
      <scheme val="minor"/>
    </font>
    <font>
      <b/>
      <sz val="12"/>
      <color theme="1"/>
      <name val="Calibri"/>
      <family val="2"/>
      <scheme val="minor"/>
    </font>
    <font>
      <vertAlign val="subscript"/>
      <sz val="11"/>
      <color theme="1"/>
      <name val="Calibri"/>
      <family val="2"/>
    </font>
    <font>
      <b/>
      <sz val="11"/>
      <color theme="3" tint="0.39997558519241921"/>
      <name val="Calibri"/>
      <family val="2"/>
      <scheme val="minor"/>
    </font>
    <font>
      <b/>
      <sz val="11"/>
      <color theme="1"/>
      <name val="Calibri"/>
      <family val="2"/>
      <scheme val="minor"/>
    </font>
    <font>
      <sz val="10"/>
      <name val="Calibri"/>
      <family val="2"/>
      <scheme val="minor"/>
    </font>
    <font>
      <b/>
      <sz val="12"/>
      <color rgb="FF00B0F0"/>
      <name val="Calibri"/>
      <family val="2"/>
      <scheme val="minor"/>
    </font>
    <font>
      <b/>
      <sz val="11"/>
      <color rgb="FF00B0F0"/>
      <name val="Calibri"/>
      <family val="2"/>
      <scheme val="minor"/>
    </font>
    <font>
      <b/>
      <sz val="10"/>
      <color rgb="FF00B0F0"/>
      <name val="Arial"/>
      <family val="2"/>
    </font>
    <font>
      <sz val="18"/>
      <color theme="0"/>
      <name val="Calibri"/>
      <family val="2"/>
      <scheme val="minor"/>
    </font>
    <font>
      <vertAlign val="subscript"/>
      <sz val="10"/>
      <name val="Arial"/>
      <family val="2"/>
    </font>
    <font>
      <vertAlign val="subscript"/>
      <sz val="11"/>
      <name val="Calibri"/>
      <family val="2"/>
      <scheme val="minor"/>
    </font>
    <font>
      <sz val="11"/>
      <color rgb="FFFF0000"/>
      <name val="Calibri"/>
      <family val="2"/>
      <scheme val="minor"/>
    </font>
    <font>
      <b/>
      <vertAlign val="subscript"/>
      <sz val="11"/>
      <color theme="1"/>
      <name val="Calibri"/>
      <family val="2"/>
      <scheme val="minor"/>
    </font>
    <font>
      <b/>
      <sz val="11"/>
      <name val="Calibri"/>
      <family val="2"/>
      <scheme val="minor"/>
    </font>
    <font>
      <u/>
      <sz val="10"/>
      <name val="Calibri"/>
      <family val="2"/>
      <scheme val="minor"/>
    </font>
    <font>
      <b/>
      <sz val="12"/>
      <color rgb="FF0070C0"/>
      <name val="Calibri"/>
      <family val="2"/>
      <scheme val="minor"/>
    </font>
    <font>
      <sz val="11"/>
      <color rgb="FF0070C0"/>
      <name val="Calibri"/>
      <family val="2"/>
      <scheme val="minor"/>
    </font>
    <font>
      <sz val="14"/>
      <color theme="1"/>
      <name val="Calibri"/>
      <family val="2"/>
      <scheme val="minor"/>
    </font>
    <font>
      <b/>
      <sz val="14"/>
      <color rgb="FF0070C0"/>
      <name val="Calibri"/>
      <family val="2"/>
      <scheme val="minor"/>
    </font>
    <font>
      <b/>
      <sz val="14"/>
      <color theme="4"/>
      <name val="Calibri"/>
      <family val="2"/>
      <scheme val="minor"/>
    </font>
    <font>
      <b/>
      <u/>
      <sz val="9"/>
      <color indexed="81"/>
      <name val="Tahoma"/>
      <family val="2"/>
    </font>
    <font>
      <sz val="9"/>
      <color indexed="10"/>
      <name val="Tahoma"/>
      <family val="2"/>
    </font>
    <font>
      <sz val="11"/>
      <color indexed="10"/>
      <name val="Tahoma"/>
      <family val="2"/>
    </font>
    <font>
      <sz val="11"/>
      <color indexed="81"/>
      <name val="Tahoma"/>
      <family val="2"/>
    </font>
    <font>
      <b/>
      <u/>
      <sz val="11"/>
      <color indexed="81"/>
      <name val="Tahoma"/>
      <family val="2"/>
    </font>
    <font>
      <sz val="10"/>
      <color indexed="81"/>
      <name val="Tahoma"/>
      <family val="2"/>
    </font>
    <font>
      <b/>
      <sz val="11"/>
      <color indexed="81"/>
      <name val="Tahoma"/>
      <family val="2"/>
    </font>
    <font>
      <sz val="10"/>
      <color indexed="10"/>
      <name val="Tahoma"/>
      <family val="2"/>
    </font>
    <font>
      <b/>
      <sz val="10"/>
      <color indexed="10"/>
      <name val="Tahoma"/>
      <family val="2"/>
    </font>
    <font>
      <b/>
      <sz val="9"/>
      <color indexed="10"/>
      <name val="Tahoma"/>
      <family val="2"/>
    </font>
    <font>
      <b/>
      <u/>
      <vertAlign val="subscript"/>
      <sz val="9"/>
      <color indexed="81"/>
      <name val="Tahoma"/>
      <family val="2"/>
    </font>
    <font>
      <vertAlign val="subscript"/>
      <sz val="9"/>
      <color indexed="81"/>
      <name val="Tahoma"/>
      <family val="2"/>
    </font>
    <font>
      <b/>
      <u/>
      <sz val="10"/>
      <color indexed="81"/>
      <name val="Tahoma"/>
      <family val="2"/>
    </font>
    <font>
      <sz val="9"/>
      <color indexed="81"/>
      <name val="Calibri"/>
      <family val="2"/>
    </font>
  </fonts>
  <fills count="18">
    <fill>
      <patternFill patternType="none"/>
    </fill>
    <fill>
      <patternFill patternType="gray125"/>
    </fill>
    <fill>
      <patternFill patternType="solid">
        <fgColor indexed="8"/>
        <bgColor indexed="64"/>
      </patternFill>
    </fill>
    <fill>
      <patternFill patternType="solid">
        <fgColor indexed="22"/>
        <bgColor indexed="64"/>
      </patternFill>
    </fill>
    <fill>
      <patternFill patternType="solid">
        <fgColor indexed="52"/>
        <bgColor indexed="64"/>
      </patternFill>
    </fill>
    <fill>
      <patternFill patternType="solid">
        <fgColor indexed="50"/>
        <bgColor indexed="64"/>
      </patternFill>
    </fill>
    <fill>
      <patternFill patternType="solid">
        <fgColor rgb="FFFF0000"/>
        <bgColor indexed="64"/>
      </patternFill>
    </fill>
    <fill>
      <patternFill patternType="solid">
        <fgColor rgb="FFFFFF00"/>
        <bgColor indexed="64"/>
      </patternFill>
    </fill>
    <fill>
      <patternFill patternType="solid">
        <fgColor theme="0" tint="-0.499984740745262"/>
        <bgColor indexed="64"/>
      </patternFill>
    </fill>
    <fill>
      <patternFill patternType="solid">
        <fgColor rgb="FFFFC000"/>
        <bgColor indexed="64"/>
      </patternFill>
    </fill>
    <fill>
      <patternFill patternType="solid">
        <fgColor theme="0" tint="-0.249977111117893"/>
        <bgColor indexed="64"/>
      </patternFill>
    </fill>
    <fill>
      <patternFill patternType="solid">
        <fgColor rgb="FF92D050"/>
        <bgColor indexed="64"/>
      </patternFill>
    </fill>
    <fill>
      <patternFill patternType="solid">
        <fgColor theme="0" tint="-0.34998626667073579"/>
        <bgColor indexed="64"/>
      </patternFill>
    </fill>
    <fill>
      <patternFill patternType="solid">
        <fgColor theme="1" tint="4.9989318521683403E-2"/>
        <bgColor indexed="64"/>
      </patternFill>
    </fill>
    <fill>
      <patternFill patternType="solid">
        <fgColor theme="5" tint="0.79998168889431442"/>
        <bgColor indexed="64"/>
      </patternFill>
    </fill>
    <fill>
      <patternFill patternType="solid">
        <fgColor theme="2" tint="-0.89999084444715716"/>
        <bgColor indexed="64"/>
      </patternFill>
    </fill>
    <fill>
      <patternFill patternType="solid">
        <fgColor theme="0"/>
        <bgColor indexed="64"/>
      </patternFill>
    </fill>
    <fill>
      <patternFill patternType="solid">
        <fgColor theme="1"/>
        <bgColor indexed="64"/>
      </patternFill>
    </fill>
  </fills>
  <borders count="22">
    <border>
      <left/>
      <right/>
      <top/>
      <bottom/>
      <diagonal/>
    </border>
    <border>
      <left/>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thin">
        <color theme="0"/>
      </left>
      <right style="thin">
        <color theme="0"/>
      </right>
      <top style="thin">
        <color theme="0"/>
      </top>
      <bottom style="thin">
        <color theme="0"/>
      </bottom>
      <diagonal/>
    </border>
    <border>
      <left/>
      <right/>
      <top/>
      <bottom style="thin">
        <color theme="0"/>
      </bottom>
      <diagonal/>
    </border>
    <border>
      <left/>
      <right style="thin">
        <color theme="0"/>
      </right>
      <top style="thin">
        <color theme="0"/>
      </top>
      <bottom style="thin">
        <color theme="0"/>
      </bottom>
      <diagonal/>
    </border>
    <border>
      <left style="thin">
        <color theme="0"/>
      </left>
      <right style="thin">
        <color theme="0"/>
      </right>
      <top/>
      <bottom style="thin">
        <color theme="0"/>
      </bottom>
      <diagonal/>
    </border>
    <border>
      <left style="thin">
        <color indexed="64"/>
      </left>
      <right style="thin">
        <color indexed="64"/>
      </right>
      <top style="thin">
        <color indexed="64"/>
      </top>
      <bottom/>
      <diagonal/>
    </border>
  </borders>
  <cellStyleXfs count="8">
    <xf numFmtId="0" fontId="0" fillId="0" borderId="0"/>
    <xf numFmtId="0" fontId="3" fillId="0" borderId="0"/>
    <xf numFmtId="43" fontId="4" fillId="0" borderId="0" applyFont="0" applyFill="0" applyBorder="0" applyAlignment="0" applyProtection="0"/>
    <xf numFmtId="0" fontId="4" fillId="0" borderId="0"/>
    <xf numFmtId="0" fontId="1" fillId="0" borderId="0"/>
    <xf numFmtId="43" fontId="1" fillId="0" borderId="0" applyFont="0" applyFill="0" applyBorder="0" applyAlignment="0" applyProtection="0"/>
    <xf numFmtId="0" fontId="4" fillId="0" borderId="0"/>
    <xf numFmtId="0" fontId="4" fillId="0" borderId="0"/>
  </cellStyleXfs>
  <cellXfs count="280">
    <xf numFmtId="0" fontId="0" fillId="0" borderId="0" xfId="0"/>
    <xf numFmtId="0" fontId="0" fillId="9" borderId="0" xfId="0" applyFill="1"/>
    <xf numFmtId="0" fontId="17" fillId="0" borderId="0" xfId="0" applyFont="1"/>
    <xf numFmtId="0" fontId="0" fillId="10" borderId="0" xfId="0" applyFill="1"/>
    <xf numFmtId="0" fontId="0" fillId="0" borderId="0" xfId="0"/>
    <xf numFmtId="0" fontId="4" fillId="0" borderId="0" xfId="3"/>
    <xf numFmtId="0" fontId="5" fillId="0" borderId="0" xfId="3" applyFont="1" applyFill="1" applyAlignment="1">
      <alignment horizontal="center"/>
    </xf>
    <xf numFmtId="0" fontId="5" fillId="3" borderId="0" xfId="3" applyFont="1" applyFill="1" applyAlignment="1">
      <alignment horizontal="center"/>
    </xf>
    <xf numFmtId="0" fontId="5" fillId="5" borderId="0" xfId="3" applyFont="1" applyFill="1" applyAlignment="1">
      <alignment horizontal="center"/>
    </xf>
    <xf numFmtId="0" fontId="4" fillId="0" borderId="0" xfId="3"/>
    <xf numFmtId="0" fontId="5" fillId="0" borderId="0" xfId="3" applyFont="1"/>
    <xf numFmtId="0" fontId="5" fillId="0" borderId="0" xfId="3" applyFont="1" applyFill="1" applyAlignment="1">
      <alignment horizontal="center"/>
    </xf>
    <xf numFmtId="0" fontId="5" fillId="3" borderId="0" xfId="3" applyFont="1" applyFill="1" applyAlignment="1">
      <alignment horizontal="center"/>
    </xf>
    <xf numFmtId="0" fontId="5" fillId="4" borderId="0" xfId="3" applyFont="1" applyFill="1" applyAlignment="1">
      <alignment horizontal="center"/>
    </xf>
    <xf numFmtId="0" fontId="5" fillId="5" borderId="0" xfId="3" applyFont="1" applyFill="1" applyAlignment="1">
      <alignment horizontal="center"/>
    </xf>
    <xf numFmtId="0" fontId="5" fillId="0" borderId="0" xfId="3" applyFont="1" applyBorder="1"/>
    <xf numFmtId="0" fontId="5" fillId="0" borderId="0" xfId="3" applyFont="1" applyBorder="1" applyAlignment="1">
      <alignment horizontal="center"/>
    </xf>
    <xf numFmtId="0" fontId="4" fillId="0" borderId="0" xfId="3"/>
    <xf numFmtId="0" fontId="9" fillId="0" borderId="0" xfId="3" applyFont="1" applyBorder="1"/>
    <xf numFmtId="0" fontId="5" fillId="0" borderId="0" xfId="3" applyFont="1" applyAlignment="1">
      <alignment horizontal="center"/>
    </xf>
    <xf numFmtId="2" fontId="0" fillId="10" borderId="0" xfId="0" applyNumberFormat="1" applyFill="1"/>
    <xf numFmtId="0" fontId="0" fillId="11" borderId="0" xfId="0" applyFill="1"/>
    <xf numFmtId="165" fontId="0" fillId="9" borderId="0" xfId="0" applyNumberFormat="1" applyFill="1"/>
    <xf numFmtId="0" fontId="5" fillId="0" borderId="0" xfId="3" applyFont="1" applyFill="1" applyAlignment="1">
      <alignment horizontal="right"/>
    </xf>
    <xf numFmtId="0" fontId="4" fillId="0" borderId="0" xfId="3" applyFont="1" applyFill="1" applyAlignment="1">
      <alignment horizontal="center"/>
    </xf>
    <xf numFmtId="0" fontId="5" fillId="0" borderId="0" xfId="3" applyFont="1" applyFill="1"/>
    <xf numFmtId="0" fontId="0" fillId="0" borderId="0" xfId="0" applyFill="1"/>
    <xf numFmtId="164" fontId="0" fillId="9" borderId="0" xfId="0" applyNumberFormat="1" applyFill="1"/>
    <xf numFmtId="2" fontId="0" fillId="9" borderId="0" xfId="0" applyNumberFormat="1" applyFill="1"/>
    <xf numFmtId="1" fontId="0" fillId="9" borderId="0" xfId="0" applyNumberFormat="1" applyFill="1"/>
    <xf numFmtId="0" fontId="16" fillId="0" borderId="0" xfId="0" applyFont="1" applyFill="1" applyBorder="1"/>
    <xf numFmtId="0" fontId="0" fillId="0" borderId="0" xfId="0"/>
    <xf numFmtId="164" fontId="0" fillId="0" borderId="0" xfId="0" applyNumberFormat="1"/>
    <xf numFmtId="11" fontId="15" fillId="10" borderId="0" xfId="0" applyNumberFormat="1" applyFont="1" applyFill="1"/>
    <xf numFmtId="0" fontId="18" fillId="0" borderId="0" xfId="0" applyFont="1"/>
    <xf numFmtId="0" fontId="5" fillId="0" borderId="0" xfId="3" applyFont="1" applyAlignment="1">
      <alignment horizontal="center"/>
    </xf>
    <xf numFmtId="167" fontId="0" fillId="9" borderId="0" xfId="0" applyNumberFormat="1" applyFill="1"/>
    <xf numFmtId="11" fontId="0" fillId="9" borderId="0" xfId="0" applyNumberFormat="1" applyFill="1"/>
    <xf numFmtId="0" fontId="5" fillId="0" borderId="0" xfId="3" applyFont="1" applyFill="1" applyAlignment="1">
      <alignment horizontal="left"/>
    </xf>
    <xf numFmtId="166" fontId="0" fillId="9" borderId="0" xfId="0" applyNumberFormat="1" applyFill="1"/>
    <xf numFmtId="0" fontId="15" fillId="10" borderId="0" xfId="0" applyFont="1" applyFill="1"/>
    <xf numFmtId="0" fontId="20" fillId="0" borderId="0" xfId="0" applyFont="1"/>
    <xf numFmtId="0" fontId="22" fillId="0" borderId="0" xfId="0" applyFont="1"/>
    <xf numFmtId="0" fontId="0" fillId="12" borderId="0" xfId="0" applyFill="1"/>
    <xf numFmtId="1" fontId="0" fillId="0" borderId="0" xfId="0" applyNumberFormat="1"/>
    <xf numFmtId="0" fontId="5" fillId="0" borderId="0" xfId="3" applyFont="1" applyAlignment="1">
      <alignment horizontal="center"/>
    </xf>
    <xf numFmtId="0" fontId="23" fillId="0" borderId="0" xfId="0" applyFont="1"/>
    <xf numFmtId="0" fontId="24" fillId="0" borderId="0" xfId="0" applyFont="1"/>
    <xf numFmtId="164" fontId="4" fillId="0" borderId="0" xfId="3" applyNumberFormat="1"/>
    <xf numFmtId="0" fontId="0" fillId="0" borderId="0" xfId="0" applyBorder="1"/>
    <xf numFmtId="2" fontId="0" fillId="0" borderId="0" xfId="0" applyNumberFormat="1" applyBorder="1"/>
    <xf numFmtId="0" fontId="25" fillId="0" borderId="0" xfId="0" applyFont="1"/>
    <xf numFmtId="2" fontId="0" fillId="0" borderId="5" xfId="0" applyNumberFormat="1" applyBorder="1"/>
    <xf numFmtId="2" fontId="0" fillId="0" borderId="7" xfId="0" applyNumberFormat="1" applyBorder="1"/>
    <xf numFmtId="0" fontId="4" fillId="0" borderId="8" xfId="3" applyBorder="1"/>
    <xf numFmtId="0" fontId="0" fillId="0" borderId="8" xfId="0" applyBorder="1"/>
    <xf numFmtId="0" fontId="4" fillId="0" borderId="8" xfId="3" applyFill="1" applyBorder="1"/>
    <xf numFmtId="0" fontId="4" fillId="0" borderId="9" xfId="3" applyFill="1" applyBorder="1"/>
    <xf numFmtId="0" fontId="0" fillId="0" borderId="5" xfId="0" applyBorder="1"/>
    <xf numFmtId="0" fontId="4" fillId="0" borderId="7" xfId="3" applyBorder="1"/>
    <xf numFmtId="0" fontId="4" fillId="0" borderId="7" xfId="3" applyFill="1" applyBorder="1"/>
    <xf numFmtId="0" fontId="0" fillId="0" borderId="6" xfId="0" applyBorder="1"/>
    <xf numFmtId="0" fontId="0" fillId="0" borderId="7" xfId="0" applyBorder="1"/>
    <xf numFmtId="0" fontId="0" fillId="0" borderId="9" xfId="0" applyBorder="1"/>
    <xf numFmtId="164" fontId="0" fillId="0" borderId="0" xfId="0" applyNumberFormat="1" applyBorder="1"/>
    <xf numFmtId="164" fontId="0" fillId="0" borderId="8" xfId="0" applyNumberFormat="1" applyBorder="1"/>
    <xf numFmtId="0" fontId="4" fillId="0" borderId="5" xfId="3" applyBorder="1"/>
    <xf numFmtId="2" fontId="0" fillId="0" borderId="10" xfId="0" applyNumberFormat="1" applyBorder="1"/>
    <xf numFmtId="0" fontId="26" fillId="0" borderId="0" xfId="0" applyFont="1"/>
    <xf numFmtId="0" fontId="27" fillId="0" borderId="0" xfId="3" applyFont="1"/>
    <xf numFmtId="168" fontId="0" fillId="0" borderId="0" xfId="0" applyNumberFormat="1"/>
    <xf numFmtId="0" fontId="0" fillId="0" borderId="2" xfId="0" applyBorder="1"/>
    <xf numFmtId="164" fontId="4" fillId="0" borderId="3" xfId="3" applyNumberFormat="1" applyBorder="1"/>
    <xf numFmtId="0" fontId="4" fillId="0" borderId="3" xfId="3" applyBorder="1"/>
    <xf numFmtId="0" fontId="0" fillId="0" borderId="3" xfId="0" applyBorder="1"/>
    <xf numFmtId="0" fontId="4" fillId="0" borderId="2" xfId="3" applyBorder="1"/>
    <xf numFmtId="164" fontId="0" fillId="0" borderId="3" xfId="0" applyNumberFormat="1" applyBorder="1"/>
    <xf numFmtId="0" fontId="0" fillId="0" borderId="4" xfId="0" applyBorder="1"/>
    <xf numFmtId="164" fontId="4" fillId="0" borderId="0" xfId="3" applyNumberFormat="1" applyBorder="1"/>
    <xf numFmtId="0" fontId="4" fillId="0" borderId="0" xfId="3" applyBorder="1"/>
    <xf numFmtId="164" fontId="4" fillId="0" borderId="8" xfId="3" applyNumberFormat="1" applyBorder="1"/>
    <xf numFmtId="0" fontId="4" fillId="0" borderId="0" xfId="3" applyFill="1" applyBorder="1"/>
    <xf numFmtId="0" fontId="4" fillId="0" borderId="5" xfId="3" applyFill="1" applyBorder="1"/>
    <xf numFmtId="0" fontId="4" fillId="0" borderId="6" xfId="3" applyFill="1" applyBorder="1"/>
    <xf numFmtId="0" fontId="0" fillId="0" borderId="10" xfId="0" applyBorder="1"/>
    <xf numFmtId="0" fontId="0" fillId="0" borderId="11" xfId="0" applyBorder="1"/>
    <xf numFmtId="164" fontId="4" fillId="0" borderId="11" xfId="3" applyNumberFormat="1" applyBorder="1"/>
    <xf numFmtId="0" fontId="4" fillId="0" borderId="11" xfId="3" applyBorder="1"/>
    <xf numFmtId="0" fontId="4" fillId="0" borderId="10" xfId="3" applyBorder="1"/>
    <xf numFmtId="164" fontId="0" fillId="0" borderId="11" xfId="0" applyNumberFormat="1" applyBorder="1"/>
    <xf numFmtId="0" fontId="0" fillId="0" borderId="12" xfId="0" applyBorder="1"/>
    <xf numFmtId="1" fontId="0" fillId="0" borderId="4" xfId="0" applyNumberFormat="1" applyBorder="1"/>
    <xf numFmtId="1" fontId="0" fillId="0" borderId="6" xfId="0" applyNumberFormat="1" applyBorder="1"/>
    <xf numFmtId="1" fontId="0" fillId="0" borderId="9" xfId="0" applyNumberFormat="1" applyBorder="1"/>
    <xf numFmtId="0" fontId="0" fillId="14" borderId="0" xfId="0" applyFill="1"/>
    <xf numFmtId="0" fontId="4" fillId="0" borderId="0" xfId="3" applyFont="1" applyFill="1" applyBorder="1" applyAlignment="1" applyProtection="1">
      <alignment horizontal="left"/>
    </xf>
    <xf numFmtId="0" fontId="4" fillId="0" borderId="8" xfId="3" applyFont="1" applyFill="1" applyBorder="1" applyAlignment="1" applyProtection="1">
      <alignment horizontal="left"/>
    </xf>
    <xf numFmtId="0" fontId="5" fillId="0" borderId="0" xfId="3" applyFont="1" applyAlignment="1">
      <alignment horizontal="center"/>
    </xf>
    <xf numFmtId="0" fontId="0" fillId="6" borderId="0" xfId="0" applyFill="1" applyProtection="1">
      <protection hidden="1"/>
    </xf>
    <xf numFmtId="0" fontId="10" fillId="6" borderId="0" xfId="0" applyFont="1" applyFill="1" applyAlignment="1" applyProtection="1">
      <alignment horizontal="left" vertical="center"/>
      <protection hidden="1"/>
    </xf>
    <xf numFmtId="0" fontId="0" fillId="6" borderId="0" xfId="0" applyFill="1" applyAlignment="1" applyProtection="1">
      <alignment horizontal="right"/>
      <protection hidden="1"/>
    </xf>
    <xf numFmtId="0" fontId="0" fillId="6" borderId="0" xfId="0" applyFill="1" applyBorder="1" applyProtection="1">
      <protection hidden="1"/>
    </xf>
    <xf numFmtId="0" fontId="15" fillId="8" borderId="0" xfId="0" applyFont="1" applyFill="1" applyProtection="1">
      <protection hidden="1"/>
    </xf>
    <xf numFmtId="0" fontId="0" fillId="15" borderId="0" xfId="0" applyFill="1" applyProtection="1">
      <protection hidden="1"/>
    </xf>
    <xf numFmtId="0" fontId="0" fillId="8" borderId="0" xfId="0" applyFill="1" applyBorder="1" applyProtection="1">
      <protection hidden="1"/>
    </xf>
    <xf numFmtId="0" fontId="0" fillId="8" borderId="0" xfId="0" applyFill="1" applyBorder="1" applyAlignment="1" applyProtection="1">
      <alignment horizontal="right"/>
      <protection hidden="1"/>
    </xf>
    <xf numFmtId="0" fontId="15" fillId="8" borderId="0" xfId="0" applyFont="1" applyFill="1" applyBorder="1" applyProtection="1">
      <protection hidden="1"/>
    </xf>
    <xf numFmtId="0" fontId="0" fillId="15" borderId="0" xfId="0" applyFill="1" applyBorder="1" applyProtection="1">
      <protection hidden="1"/>
    </xf>
    <xf numFmtId="0" fontId="2" fillId="8" borderId="0" xfId="0" applyFont="1" applyFill="1" applyBorder="1" applyProtection="1">
      <protection hidden="1"/>
    </xf>
    <xf numFmtId="0" fontId="0" fillId="7" borderId="0" xfId="0" applyFill="1" applyBorder="1" applyProtection="1">
      <protection hidden="1"/>
    </xf>
    <xf numFmtId="0" fontId="2" fillId="8" borderId="0" xfId="0" quotePrefix="1" applyFont="1" applyFill="1" applyBorder="1" applyProtection="1">
      <protection hidden="1"/>
    </xf>
    <xf numFmtId="0" fontId="2" fillId="8" borderId="0" xfId="0" applyFont="1" applyFill="1" applyBorder="1" applyAlignment="1" applyProtection="1">
      <alignment horizontal="right"/>
      <protection hidden="1"/>
    </xf>
    <xf numFmtId="0" fontId="0" fillId="8" borderId="1" xfId="0" applyFill="1" applyBorder="1" applyProtection="1">
      <protection hidden="1"/>
    </xf>
    <xf numFmtId="0" fontId="0" fillId="8" borderId="1" xfId="0" applyFill="1" applyBorder="1" applyAlignment="1" applyProtection="1">
      <alignment horizontal="right"/>
      <protection hidden="1"/>
    </xf>
    <xf numFmtId="0" fontId="15" fillId="8" borderId="1" xfId="0" applyFont="1" applyFill="1" applyBorder="1" applyProtection="1">
      <protection hidden="1"/>
    </xf>
    <xf numFmtId="0" fontId="0" fillId="15" borderId="1" xfId="0" applyFill="1" applyBorder="1" applyProtection="1">
      <protection hidden="1"/>
    </xf>
    <xf numFmtId="0" fontId="0" fillId="16" borderId="0" xfId="0" applyFill="1" applyProtection="1">
      <protection hidden="1"/>
    </xf>
    <xf numFmtId="0" fontId="0" fillId="16" borderId="0" xfId="0" applyFill="1" applyAlignment="1" applyProtection="1">
      <alignment horizontal="right"/>
      <protection hidden="1"/>
    </xf>
    <xf numFmtId="49" fontId="0" fillId="16" borderId="0" xfId="0" applyNumberFormat="1" applyFill="1" applyProtection="1">
      <protection hidden="1"/>
    </xf>
    <xf numFmtId="0" fontId="0" fillId="16" borderId="0" xfId="0" applyFill="1" applyBorder="1" applyProtection="1">
      <protection hidden="1"/>
    </xf>
    <xf numFmtId="0" fontId="0" fillId="16" borderId="2" xfId="0" applyFill="1" applyBorder="1" applyProtection="1">
      <protection hidden="1"/>
    </xf>
    <xf numFmtId="0" fontId="0" fillId="16" borderId="3" xfId="0" applyFill="1" applyBorder="1" applyProtection="1">
      <protection hidden="1"/>
    </xf>
    <xf numFmtId="0" fontId="13" fillId="16" borderId="3" xfId="3" applyFont="1" applyFill="1" applyBorder="1" applyAlignment="1" applyProtection="1">
      <alignment horizontal="right"/>
      <protection hidden="1"/>
    </xf>
    <xf numFmtId="0" fontId="0" fillId="16" borderId="4" xfId="0" applyFill="1" applyBorder="1" applyProtection="1">
      <protection hidden="1"/>
    </xf>
    <xf numFmtId="0" fontId="0" fillId="16" borderId="5" xfId="0" applyFill="1" applyBorder="1" applyProtection="1">
      <protection hidden="1"/>
    </xf>
    <xf numFmtId="0" fontId="13" fillId="16" borderId="0" xfId="3" applyFont="1" applyFill="1" applyBorder="1" applyAlignment="1" applyProtection="1">
      <alignment horizontal="right"/>
      <protection hidden="1"/>
    </xf>
    <xf numFmtId="0" fontId="0" fillId="16" borderId="6" xfId="0" applyFill="1" applyBorder="1" applyProtection="1">
      <protection hidden="1"/>
    </xf>
    <xf numFmtId="0" fontId="13" fillId="16" borderId="0" xfId="0" applyFont="1" applyFill="1" applyBorder="1" applyProtection="1">
      <protection hidden="1"/>
    </xf>
    <xf numFmtId="0" fontId="0" fillId="16" borderId="8" xfId="0" applyFill="1" applyBorder="1" applyProtection="1">
      <protection hidden="1"/>
    </xf>
    <xf numFmtId="0" fontId="0" fillId="16" borderId="9" xfId="0" applyFill="1" applyBorder="1" applyProtection="1">
      <protection hidden="1"/>
    </xf>
    <xf numFmtId="0" fontId="13" fillId="16" borderId="0" xfId="0" applyFont="1" applyFill="1" applyProtection="1">
      <protection hidden="1"/>
    </xf>
    <xf numFmtId="0" fontId="0" fillId="16" borderId="7" xfId="0" applyFill="1" applyBorder="1" applyProtection="1">
      <protection hidden="1"/>
    </xf>
    <xf numFmtId="0" fontId="13" fillId="16" borderId="8" xfId="3" applyFont="1" applyFill="1" applyBorder="1" applyAlignment="1" applyProtection="1">
      <alignment horizontal="right"/>
      <protection hidden="1"/>
    </xf>
    <xf numFmtId="0" fontId="0" fillId="16" borderId="0" xfId="0" applyFill="1" applyBorder="1" applyAlignment="1" applyProtection="1">
      <alignment horizontal="right"/>
      <protection hidden="1"/>
    </xf>
    <xf numFmtId="0" fontId="17" fillId="16" borderId="6" xfId="0" applyFont="1" applyFill="1" applyBorder="1" applyProtection="1">
      <protection hidden="1"/>
    </xf>
    <xf numFmtId="0" fontId="0" fillId="16" borderId="8" xfId="0" applyFill="1" applyBorder="1" applyAlignment="1" applyProtection="1">
      <alignment horizontal="right"/>
      <protection hidden="1"/>
    </xf>
    <xf numFmtId="0" fontId="17" fillId="16" borderId="9" xfId="0" applyFont="1" applyFill="1" applyBorder="1" applyProtection="1">
      <protection hidden="1"/>
    </xf>
    <xf numFmtId="0" fontId="0" fillId="16" borderId="3" xfId="0" applyFill="1" applyBorder="1" applyAlignment="1" applyProtection="1">
      <alignment horizontal="right"/>
      <protection hidden="1"/>
    </xf>
    <xf numFmtId="0" fontId="16" fillId="16" borderId="2" xfId="0" applyFont="1" applyFill="1" applyBorder="1" applyProtection="1">
      <protection hidden="1"/>
    </xf>
    <xf numFmtId="0" fontId="15" fillId="16" borderId="3" xfId="0" applyFont="1" applyFill="1" applyBorder="1" applyAlignment="1" applyProtection="1">
      <alignment horizontal="right"/>
      <protection hidden="1"/>
    </xf>
    <xf numFmtId="0" fontId="16" fillId="16" borderId="5" xfId="0" applyFont="1" applyFill="1" applyBorder="1" applyProtection="1">
      <protection hidden="1"/>
    </xf>
    <xf numFmtId="0" fontId="23" fillId="16" borderId="0" xfId="0" applyFont="1" applyFill="1" applyBorder="1" applyAlignment="1" applyProtection="1">
      <alignment horizontal="right"/>
      <protection hidden="1"/>
    </xf>
    <xf numFmtId="0" fontId="0" fillId="16" borderId="0" xfId="0" applyFill="1" applyBorder="1" applyAlignment="1" applyProtection="1">
      <alignment horizontal="center"/>
      <protection hidden="1"/>
    </xf>
    <xf numFmtId="1" fontId="0" fillId="16" borderId="0" xfId="0" applyNumberFormat="1" applyFill="1" applyProtection="1">
      <protection hidden="1"/>
    </xf>
    <xf numFmtId="0" fontId="0" fillId="0" borderId="0" xfId="0" applyFill="1" applyProtection="1">
      <protection hidden="1"/>
    </xf>
    <xf numFmtId="0" fontId="28" fillId="13" borderId="0" xfId="0" applyFont="1" applyFill="1" applyProtection="1">
      <protection hidden="1"/>
    </xf>
    <xf numFmtId="0" fontId="0" fillId="13" borderId="0" xfId="0" applyFill="1" applyProtection="1">
      <protection hidden="1"/>
    </xf>
    <xf numFmtId="0" fontId="0" fillId="13" borderId="0" xfId="0" applyFill="1" applyAlignment="1" applyProtection="1">
      <alignment horizontal="right"/>
      <protection hidden="1"/>
    </xf>
    <xf numFmtId="0" fontId="0" fillId="17" borderId="0" xfId="0" applyFill="1" applyProtection="1">
      <protection hidden="1"/>
    </xf>
    <xf numFmtId="0" fontId="0" fillId="17" borderId="0" xfId="0" applyFill="1" applyBorder="1" applyProtection="1">
      <protection hidden="1"/>
    </xf>
    <xf numFmtId="0" fontId="4" fillId="16" borderId="3" xfId="3" applyFont="1" applyFill="1" applyBorder="1" applyAlignment="1" applyProtection="1">
      <alignment horizontal="right"/>
      <protection hidden="1"/>
    </xf>
    <xf numFmtId="0" fontId="4" fillId="16" borderId="4" xfId="3" applyFont="1" applyFill="1" applyBorder="1" applyProtection="1">
      <protection hidden="1"/>
    </xf>
    <xf numFmtId="0" fontId="4" fillId="16" borderId="0" xfId="3" applyFont="1" applyFill="1" applyBorder="1" applyAlignment="1" applyProtection="1">
      <alignment horizontal="right"/>
      <protection hidden="1"/>
    </xf>
    <xf numFmtId="0" fontId="4" fillId="16" borderId="6" xfId="3" applyFont="1" applyFill="1" applyBorder="1" applyProtection="1">
      <protection hidden="1"/>
    </xf>
    <xf numFmtId="0" fontId="4" fillId="16" borderId="8" xfId="3" applyFont="1" applyFill="1" applyBorder="1" applyAlignment="1" applyProtection="1">
      <alignment horizontal="right"/>
      <protection hidden="1"/>
    </xf>
    <xf numFmtId="0" fontId="4" fillId="16" borderId="9" xfId="3" applyFont="1" applyFill="1" applyBorder="1" applyProtection="1">
      <protection hidden="1"/>
    </xf>
    <xf numFmtId="0" fontId="0" fillId="8" borderId="0" xfId="0" applyFill="1" applyProtection="1">
      <protection hidden="1"/>
    </xf>
    <xf numFmtId="0" fontId="0" fillId="8" borderId="0" xfId="0" applyFill="1" applyAlignment="1" applyProtection="1">
      <alignment horizontal="right"/>
      <protection hidden="1"/>
    </xf>
    <xf numFmtId="0" fontId="0" fillId="15" borderId="0" xfId="0" applyFill="1" applyAlignment="1" applyProtection="1">
      <alignment horizontal="right"/>
      <protection hidden="1"/>
    </xf>
    <xf numFmtId="0" fontId="15" fillId="15" borderId="0" xfId="0" applyFont="1" applyFill="1" applyProtection="1">
      <protection hidden="1"/>
    </xf>
    <xf numFmtId="0" fontId="31" fillId="16" borderId="0" xfId="0" applyFont="1" applyFill="1" applyProtection="1">
      <protection hidden="1"/>
    </xf>
    <xf numFmtId="0" fontId="0" fillId="7" borderId="14" xfId="0" applyFill="1" applyBorder="1" applyProtection="1">
      <protection locked="0" hidden="1"/>
    </xf>
    <xf numFmtId="0" fontId="0" fillId="7" borderId="15" xfId="0" applyFill="1" applyBorder="1" applyProtection="1">
      <protection locked="0" hidden="1"/>
    </xf>
    <xf numFmtId="2" fontId="0" fillId="16" borderId="15" xfId="0" applyNumberFormat="1" applyFill="1" applyBorder="1" applyProtection="1">
      <protection hidden="1"/>
    </xf>
    <xf numFmtId="0" fontId="0" fillId="16" borderId="15" xfId="0" applyFill="1" applyBorder="1" applyProtection="1">
      <protection hidden="1"/>
    </xf>
    <xf numFmtId="1" fontId="0" fillId="16" borderId="15" xfId="0" applyNumberFormat="1" applyFill="1" applyBorder="1" applyProtection="1">
      <protection hidden="1"/>
    </xf>
    <xf numFmtId="2" fontId="0" fillId="16" borderId="16" xfId="0" applyNumberFormat="1" applyFill="1" applyBorder="1" applyProtection="1">
      <protection hidden="1"/>
    </xf>
    <xf numFmtId="0" fontId="0" fillId="7" borderId="16" xfId="0" applyFill="1" applyBorder="1" applyProtection="1">
      <protection locked="0" hidden="1"/>
    </xf>
    <xf numFmtId="2" fontId="0" fillId="0" borderId="15" xfId="0" applyNumberFormat="1" applyBorder="1" applyProtection="1">
      <protection hidden="1"/>
    </xf>
    <xf numFmtId="164" fontId="0" fillId="0" borderId="16" xfId="0" applyNumberFormat="1" applyBorder="1" applyProtection="1">
      <protection hidden="1"/>
    </xf>
    <xf numFmtId="2" fontId="0" fillId="0" borderId="14" xfId="0" applyNumberFormat="1" applyBorder="1" applyProtection="1">
      <protection hidden="1"/>
    </xf>
    <xf numFmtId="1" fontId="0" fillId="0" borderId="16" xfId="0" applyNumberFormat="1" applyBorder="1" applyProtection="1">
      <protection hidden="1"/>
    </xf>
    <xf numFmtId="0" fontId="0" fillId="16" borderId="15" xfId="0" applyFill="1" applyBorder="1" applyAlignment="1" applyProtection="1">
      <alignment horizontal="center"/>
      <protection hidden="1"/>
    </xf>
    <xf numFmtId="1" fontId="0" fillId="16" borderId="7" xfId="0" applyNumberFormat="1" applyFill="1" applyBorder="1" applyProtection="1">
      <protection hidden="1"/>
    </xf>
    <xf numFmtId="0" fontId="0" fillId="7" borderId="13" xfId="0" applyFill="1" applyBorder="1" applyProtection="1">
      <protection locked="0" hidden="1"/>
    </xf>
    <xf numFmtId="2" fontId="0" fillId="16" borderId="10" xfId="0" applyNumberFormat="1" applyFill="1" applyBorder="1" applyProtection="1">
      <protection hidden="1"/>
    </xf>
    <xf numFmtId="2" fontId="0" fillId="0" borderId="0" xfId="0" applyNumberFormat="1" applyFill="1"/>
    <xf numFmtId="0" fontId="5" fillId="0" borderId="0" xfId="3" applyFont="1" applyAlignment="1">
      <alignment horizontal="center"/>
    </xf>
    <xf numFmtId="0" fontId="0" fillId="0" borderId="0" xfId="0" applyNumberFormat="1" applyFill="1"/>
    <xf numFmtId="0" fontId="0" fillId="16" borderId="16" xfId="0" applyFill="1" applyBorder="1" applyProtection="1">
      <protection hidden="1"/>
    </xf>
    <xf numFmtId="2" fontId="0" fillId="11" borderId="0" xfId="0" applyNumberFormat="1" applyFill="1"/>
    <xf numFmtId="0" fontId="3" fillId="0" borderId="0" xfId="3" applyFont="1"/>
    <xf numFmtId="0" fontId="3" fillId="11" borderId="0" xfId="3" applyFont="1" applyFill="1"/>
    <xf numFmtId="0" fontId="5" fillId="9" borderId="0" xfId="3" applyFont="1" applyFill="1" applyAlignment="1">
      <alignment horizontal="center"/>
    </xf>
    <xf numFmtId="2" fontId="0" fillId="16" borderId="0" xfId="0" applyNumberFormat="1" applyFill="1" applyBorder="1" applyProtection="1">
      <protection hidden="1"/>
    </xf>
    <xf numFmtId="0" fontId="0" fillId="16" borderId="14" xfId="0" applyFill="1" applyBorder="1" applyProtection="1">
      <protection hidden="1"/>
    </xf>
    <xf numFmtId="2" fontId="31" fillId="0" borderId="0" xfId="0" applyNumberFormat="1" applyFont="1" applyFill="1"/>
    <xf numFmtId="169" fontId="0" fillId="9" borderId="0" xfId="0" applyNumberFormat="1" applyFill="1"/>
    <xf numFmtId="0" fontId="0" fillId="6" borderId="0" xfId="0" applyFill="1"/>
    <xf numFmtId="0" fontId="31" fillId="0" borderId="0" xfId="0" applyFont="1" applyFill="1"/>
    <xf numFmtId="0" fontId="5" fillId="0" borderId="0" xfId="3" applyFont="1" applyAlignment="1">
      <alignment horizontal="center"/>
    </xf>
    <xf numFmtId="0" fontId="0" fillId="16" borderId="15" xfId="0" applyFont="1" applyFill="1" applyBorder="1" applyAlignment="1" applyProtection="1">
      <alignment vertical="top"/>
      <protection hidden="1"/>
    </xf>
    <xf numFmtId="0" fontId="0" fillId="0" borderId="15" xfId="0" applyFill="1" applyBorder="1" applyProtection="1">
      <protection hidden="1"/>
    </xf>
    <xf numFmtId="0" fontId="17" fillId="16" borderId="10" xfId="0" applyFont="1" applyFill="1" applyBorder="1" applyAlignment="1" applyProtection="1">
      <alignment horizontal="left"/>
      <protection hidden="1"/>
    </xf>
    <xf numFmtId="0" fontId="0" fillId="16" borderId="7" xfId="0" applyFill="1" applyBorder="1" applyAlignment="1" applyProtection="1">
      <alignment horizontal="left"/>
      <protection hidden="1"/>
    </xf>
    <xf numFmtId="0" fontId="33" fillId="0" borderId="0" xfId="0" applyFont="1"/>
    <xf numFmtId="0" fontId="0" fillId="0" borderId="0" xfId="0" applyFont="1"/>
    <xf numFmtId="0" fontId="34" fillId="0" borderId="0" xfId="0" applyFont="1"/>
    <xf numFmtId="0" fontId="0" fillId="0" borderId="0" xfId="0" applyFill="1" applyAlignment="1" applyProtection="1">
      <alignment horizontal="right"/>
      <protection hidden="1"/>
    </xf>
    <xf numFmtId="0" fontId="17" fillId="16" borderId="15" xfId="0" applyFont="1" applyFill="1" applyBorder="1" applyProtection="1">
      <protection hidden="1"/>
    </xf>
    <xf numFmtId="0" fontId="15" fillId="16" borderId="0" xfId="0" applyFont="1" applyFill="1" applyBorder="1" applyAlignment="1" applyProtection="1">
      <alignment horizontal="right"/>
      <protection hidden="1"/>
    </xf>
    <xf numFmtId="0" fontId="0" fillId="7" borderId="14" xfId="0" applyFont="1" applyFill="1" applyBorder="1" applyAlignment="1" applyProtection="1">
      <alignment horizontal="right" vertical="top"/>
      <protection hidden="1"/>
    </xf>
    <xf numFmtId="170" fontId="0" fillId="10" borderId="0" xfId="0" applyNumberFormat="1" applyFill="1"/>
    <xf numFmtId="0" fontId="0" fillId="0" borderId="0" xfId="0" applyAlignment="1">
      <alignment horizontal="right"/>
    </xf>
    <xf numFmtId="0" fontId="13" fillId="16" borderId="3" xfId="0" applyFont="1" applyFill="1" applyBorder="1" applyProtection="1">
      <protection hidden="1"/>
    </xf>
    <xf numFmtId="168" fontId="0" fillId="0" borderId="15" xfId="0" applyNumberFormat="1" applyFill="1" applyBorder="1" applyProtection="1">
      <protection hidden="1"/>
    </xf>
    <xf numFmtId="168" fontId="0" fillId="0" borderId="15" xfId="0" applyNumberFormat="1" applyBorder="1" applyProtection="1">
      <protection hidden="1"/>
    </xf>
    <xf numFmtId="2" fontId="0" fillId="0" borderId="16" xfId="0" applyNumberFormat="1" applyBorder="1" applyProtection="1">
      <protection hidden="1"/>
    </xf>
    <xf numFmtId="0" fontId="0" fillId="16" borderId="0" xfId="0" applyFill="1" applyBorder="1"/>
    <xf numFmtId="0" fontId="0" fillId="0" borderId="0" xfId="0" applyBorder="1" applyAlignment="1">
      <alignment horizontal="center"/>
    </xf>
    <xf numFmtId="0" fontId="0" fillId="0" borderId="3" xfId="0" applyBorder="1" applyAlignment="1">
      <alignment horizontal="center"/>
    </xf>
    <xf numFmtId="0" fontId="0" fillId="0" borderId="0" xfId="0" applyBorder="1" applyAlignment="1"/>
    <xf numFmtId="0" fontId="0" fillId="0" borderId="6" xfId="0" applyBorder="1" applyAlignment="1"/>
    <xf numFmtId="171" fontId="0" fillId="10" borderId="0" xfId="0" applyNumberFormat="1" applyFill="1"/>
    <xf numFmtId="0" fontId="0" fillId="0" borderId="0" xfId="0" applyBorder="1" applyAlignment="1">
      <alignment horizontal="center" wrapText="1"/>
    </xf>
    <xf numFmtId="0" fontId="0" fillId="0" borderId="0" xfId="0" applyFill="1" applyBorder="1"/>
    <xf numFmtId="0" fontId="0" fillId="14" borderId="0" xfId="0" applyFill="1" applyBorder="1"/>
    <xf numFmtId="0" fontId="0" fillId="7" borderId="0" xfId="0" applyFill="1" applyBorder="1"/>
    <xf numFmtId="0" fontId="0" fillId="14" borderId="6" xfId="0" applyFill="1" applyBorder="1"/>
    <xf numFmtId="0" fontId="0" fillId="0" borderId="5" xfId="0" applyFill="1" applyBorder="1"/>
    <xf numFmtId="0" fontId="0" fillId="0" borderId="6" xfId="0" applyFill="1" applyBorder="1"/>
    <xf numFmtId="0" fontId="0" fillId="0" borderId="7" xfId="0" applyFill="1" applyBorder="1"/>
    <xf numFmtId="0" fontId="0" fillId="0" borderId="8" xfId="0" applyFill="1" applyBorder="1"/>
    <xf numFmtId="0" fontId="0" fillId="0" borderId="9" xfId="0" applyFill="1" applyBorder="1"/>
    <xf numFmtId="0" fontId="0" fillId="14" borderId="5" xfId="0" applyFill="1" applyBorder="1"/>
    <xf numFmtId="0" fontId="0" fillId="7" borderId="6" xfId="0" applyFill="1" applyBorder="1"/>
    <xf numFmtId="0" fontId="0" fillId="0" borderId="5" xfId="0" applyBorder="1" applyAlignment="1"/>
    <xf numFmtId="168" fontId="0" fillId="16" borderId="0" xfId="0" applyNumberFormat="1" applyFill="1" applyBorder="1" applyProtection="1">
      <protection hidden="1"/>
    </xf>
    <xf numFmtId="0" fontId="17" fillId="16" borderId="0" xfId="0" applyFont="1" applyFill="1" applyBorder="1" applyProtection="1">
      <protection hidden="1"/>
    </xf>
    <xf numFmtId="0" fontId="0" fillId="0" borderId="0" xfId="0" applyFill="1" applyBorder="1" applyProtection="1">
      <protection hidden="1"/>
    </xf>
    <xf numFmtId="0" fontId="4" fillId="16" borderId="0" xfId="3" applyFont="1" applyFill="1" applyBorder="1" applyProtection="1">
      <protection hidden="1"/>
    </xf>
    <xf numFmtId="0" fontId="13" fillId="16" borderId="0" xfId="0" applyFont="1" applyFill="1" applyBorder="1" applyAlignment="1" applyProtection="1">
      <alignment horizontal="right"/>
      <protection hidden="1"/>
    </xf>
    <xf numFmtId="0" fontId="36" fillId="16" borderId="0" xfId="0" applyFont="1" applyFill="1" applyBorder="1" applyProtection="1">
      <protection hidden="1"/>
    </xf>
    <xf numFmtId="0" fontId="36" fillId="16" borderId="0" xfId="0" applyFont="1" applyFill="1" applyBorder="1" applyAlignment="1" applyProtection="1">
      <alignment horizontal="center"/>
      <protection hidden="1"/>
    </xf>
    <xf numFmtId="0" fontId="36" fillId="16" borderId="0" xfId="0" applyFont="1" applyFill="1" applyProtection="1">
      <protection hidden="1"/>
    </xf>
    <xf numFmtId="0" fontId="13" fillId="16" borderId="2" xfId="0" applyFont="1" applyFill="1" applyBorder="1" applyProtection="1">
      <protection hidden="1"/>
    </xf>
    <xf numFmtId="0" fontId="35" fillId="16" borderId="0" xfId="0" applyFont="1" applyFill="1" applyBorder="1" applyAlignment="1" applyProtection="1">
      <alignment horizontal="right"/>
      <protection hidden="1"/>
    </xf>
    <xf numFmtId="0" fontId="0" fillId="0" borderId="17" xfId="0" applyBorder="1"/>
    <xf numFmtId="0" fontId="0" fillId="0" borderId="17" xfId="0" applyFill="1" applyBorder="1"/>
    <xf numFmtId="0" fontId="0" fillId="16" borderId="18" xfId="0" applyFill="1" applyBorder="1" applyProtection="1">
      <protection hidden="1"/>
    </xf>
    <xf numFmtId="0" fontId="16" fillId="16" borderId="0" xfId="0" applyFont="1" applyFill="1" applyBorder="1" applyAlignment="1" applyProtection="1">
      <alignment horizontal="right"/>
      <protection hidden="1"/>
    </xf>
    <xf numFmtId="0" fontId="37" fillId="0" borderId="0" xfId="0" applyFont="1"/>
    <xf numFmtId="0" fontId="0" fillId="0" borderId="19" xfId="0" applyBorder="1"/>
    <xf numFmtId="0" fontId="0" fillId="0" borderId="20" xfId="0" applyBorder="1"/>
    <xf numFmtId="0" fontId="0" fillId="0" borderId="20" xfId="0" applyFill="1" applyBorder="1"/>
    <xf numFmtId="0" fontId="0" fillId="0" borderId="21" xfId="0" applyBorder="1"/>
    <xf numFmtId="0" fontId="0" fillId="0" borderId="21" xfId="0" applyFill="1" applyBorder="1"/>
    <xf numFmtId="0" fontId="36" fillId="16" borderId="2" xfId="0" applyFont="1" applyFill="1" applyBorder="1" applyProtection="1">
      <protection hidden="1"/>
    </xf>
    <xf numFmtId="0" fontId="3" fillId="0" borderId="0" xfId="3" applyFont="1" applyFill="1" applyBorder="1" applyAlignment="1" applyProtection="1">
      <alignment horizontal="left"/>
    </xf>
    <xf numFmtId="49" fontId="0" fillId="16" borderId="0" xfId="0" applyNumberFormat="1" applyFill="1" applyAlignment="1" applyProtection="1">
      <alignment horizontal="right"/>
      <protection hidden="1"/>
    </xf>
    <xf numFmtId="0" fontId="38" fillId="16" borderId="0" xfId="0" applyFont="1" applyFill="1" applyBorder="1" applyProtection="1">
      <protection hidden="1"/>
    </xf>
    <xf numFmtId="0" fontId="38" fillId="16" borderId="0" xfId="0" applyFont="1" applyFill="1" applyProtection="1">
      <protection hidden="1"/>
    </xf>
    <xf numFmtId="0" fontId="0" fillId="0" borderId="0" xfId="0" applyBorder="1" applyProtection="1">
      <protection hidden="1"/>
    </xf>
    <xf numFmtId="0" fontId="39" fillId="16" borderId="0" xfId="0" applyFont="1" applyFill="1" applyBorder="1" applyAlignment="1" applyProtection="1">
      <alignment horizontal="left"/>
      <protection hidden="1"/>
    </xf>
    <xf numFmtId="0" fontId="17" fillId="16" borderId="16" xfId="0" applyFont="1" applyFill="1" applyBorder="1" applyProtection="1">
      <protection hidden="1"/>
    </xf>
    <xf numFmtId="0" fontId="0" fillId="0" borderId="14" xfId="0" applyFill="1" applyBorder="1" applyProtection="1">
      <protection hidden="1"/>
    </xf>
    <xf numFmtId="2" fontId="0" fillId="16" borderId="14" xfId="0" applyNumberFormat="1" applyFill="1" applyBorder="1" applyProtection="1">
      <protection hidden="1"/>
    </xf>
    <xf numFmtId="0" fontId="1" fillId="16" borderId="3" xfId="3" applyFont="1" applyFill="1" applyBorder="1" applyAlignment="1" applyProtection="1">
      <alignment horizontal="right"/>
      <protection hidden="1"/>
    </xf>
    <xf numFmtId="0" fontId="17" fillId="16" borderId="14" xfId="0" applyFont="1" applyFill="1" applyBorder="1" applyProtection="1">
      <protection hidden="1"/>
    </xf>
    <xf numFmtId="11" fontId="0" fillId="7" borderId="15" xfId="0" applyNumberFormat="1" applyFill="1" applyBorder="1" applyProtection="1">
      <protection locked="0" hidden="1"/>
    </xf>
    <xf numFmtId="11" fontId="0" fillId="7" borderId="16" xfId="0" applyNumberFormat="1" applyFill="1" applyBorder="1" applyProtection="1">
      <protection locked="0" hidden="1"/>
    </xf>
    <xf numFmtId="0" fontId="6" fillId="2" borderId="0" xfId="3" applyFont="1" applyFill="1" applyAlignment="1">
      <alignment horizontal="center"/>
    </xf>
    <xf numFmtId="0" fontId="5" fillId="0" borderId="0" xfId="3" applyFont="1" applyAlignment="1">
      <alignment horizontal="center"/>
    </xf>
    <xf numFmtId="0" fontId="23" fillId="0" borderId="10" xfId="0" applyFont="1" applyBorder="1" applyAlignment="1">
      <alignment horizontal="center"/>
    </xf>
    <xf numFmtId="0" fontId="23" fillId="0" borderId="11" xfId="0" applyFont="1" applyBorder="1" applyAlignment="1">
      <alignment horizontal="center"/>
    </xf>
    <xf numFmtId="0" fontId="23" fillId="0" borderId="12" xfId="0" applyFont="1" applyBorder="1" applyAlignment="1">
      <alignment horizontal="center"/>
    </xf>
    <xf numFmtId="0" fontId="4" fillId="0" borderId="0" xfId="3" applyBorder="1" applyAlignment="1">
      <alignment horizontal="center"/>
    </xf>
    <xf numFmtId="0" fontId="0" fillId="0" borderId="0"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2" xfId="0" applyBorder="1" applyAlignment="1">
      <alignment horizontal="center"/>
    </xf>
    <xf numFmtId="0" fontId="0" fillId="0" borderId="5" xfId="0" applyBorder="1" applyAlignment="1">
      <alignment horizontal="center" wrapText="1"/>
    </xf>
    <xf numFmtId="0" fontId="0" fillId="0" borderId="0" xfId="0" applyBorder="1" applyAlignment="1">
      <alignment horizontal="center" wrapText="1"/>
    </xf>
    <xf numFmtId="0" fontId="0" fillId="0" borderId="6" xfId="0" applyBorder="1" applyAlignment="1">
      <alignment horizontal="center" wrapText="1"/>
    </xf>
    <xf numFmtId="0" fontId="6" fillId="2" borderId="0" xfId="3" applyFont="1" applyFill="1"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cellXfs>
  <cellStyles count="8">
    <cellStyle name="Comma 2" xfId="5" xr:uid="{00000000-0005-0000-0000-000000000000}"/>
    <cellStyle name="Comma 3" xfId="2" xr:uid="{00000000-0005-0000-0000-000001000000}"/>
    <cellStyle name="Normal" xfId="0" builtinId="0"/>
    <cellStyle name="Normal 2" xfId="3" xr:uid="{00000000-0005-0000-0000-000003000000}"/>
    <cellStyle name="Normal 3" xfId="4" xr:uid="{00000000-0005-0000-0000-000004000000}"/>
    <cellStyle name="Normal 4" xfId="1" xr:uid="{00000000-0005-0000-0000-000005000000}"/>
    <cellStyle name="Normal 4 2" xfId="7" xr:uid="{00000000-0005-0000-0000-000006000000}"/>
    <cellStyle name="Normal 4 3" xfId="6" xr:uid="{00000000-0005-0000-0000-000007000000}"/>
  </cellStyles>
  <dxfs count="18">
    <dxf>
      <font>
        <color theme="0"/>
      </font>
      <fill>
        <patternFill>
          <bgColor theme="0"/>
        </patternFill>
      </fill>
      <border>
        <left style="hair">
          <color theme="0"/>
        </left>
        <right style="hair">
          <color theme="0"/>
        </right>
        <top style="hair">
          <color theme="0"/>
        </top>
        <bottom style="hair">
          <color theme="0"/>
        </bottom>
        <vertical/>
        <horizontal/>
      </border>
    </dxf>
    <dxf>
      <font>
        <color theme="0"/>
      </font>
      <fill>
        <patternFill>
          <bgColor theme="0"/>
        </patternFill>
      </fill>
      <border>
        <left style="thin">
          <color theme="0"/>
        </left>
        <right style="thin">
          <color theme="0"/>
        </right>
        <top style="thin">
          <color theme="0"/>
        </top>
        <bottom style="thin">
          <color theme="0"/>
        </bottom>
        <vertical/>
        <horizontal/>
      </border>
    </dxf>
    <dxf>
      <border>
        <left/>
        <right/>
        <top/>
        <bottom/>
        <vertical/>
        <horizontal/>
      </border>
    </dxf>
    <dxf>
      <font>
        <strike/>
      </font>
      <fill>
        <patternFill>
          <bgColor theme="0" tint="-0.24994659260841701"/>
        </patternFill>
      </fill>
    </dxf>
    <dxf>
      <font>
        <strike val="0"/>
        <color theme="0"/>
      </font>
      <fill>
        <patternFill>
          <bgColor theme="0"/>
        </patternFill>
      </fill>
      <border>
        <left/>
        <right/>
        <top/>
        <bottom/>
        <vertical/>
        <horizontal/>
      </border>
    </dxf>
    <dxf>
      <font>
        <strike val="0"/>
        <color theme="0"/>
      </font>
      <fill>
        <patternFill>
          <bgColor theme="0"/>
        </patternFill>
      </fill>
      <border>
        <left/>
        <right/>
        <top/>
        <bottom/>
        <vertical/>
        <horizontal/>
      </border>
    </dxf>
    <dxf>
      <font>
        <strike val="0"/>
        <color theme="0"/>
      </font>
      <fill>
        <patternFill>
          <bgColor theme="0"/>
        </patternFill>
      </fill>
      <border>
        <left/>
        <right/>
        <top/>
        <bottom/>
        <vertical/>
        <horizontal/>
      </border>
    </dxf>
    <dxf>
      <font>
        <strike val="0"/>
        <color theme="0"/>
      </font>
      <fill>
        <patternFill>
          <bgColor theme="0"/>
        </patternFill>
      </fill>
      <border>
        <left/>
        <right/>
        <top/>
        <bottom/>
        <vertical/>
        <horizontal/>
      </border>
    </dxf>
    <dxf>
      <font>
        <strike val="0"/>
        <color theme="0"/>
      </font>
      <fill>
        <patternFill>
          <bgColor theme="0"/>
        </patternFill>
      </fill>
      <border>
        <left/>
        <right/>
        <top/>
        <bottom/>
        <vertical/>
        <horizontal/>
      </border>
    </dxf>
    <dxf>
      <font>
        <strike/>
      </font>
      <fill>
        <patternFill>
          <bgColor theme="0" tint="-0.24994659260841701"/>
        </patternFill>
      </fill>
    </dxf>
    <dxf>
      <font>
        <strike/>
      </font>
      <fill>
        <patternFill>
          <bgColor theme="0" tint="-0.24994659260841701"/>
        </patternFill>
      </fill>
    </dxf>
    <dxf>
      <font>
        <strike/>
      </font>
      <fill>
        <patternFill>
          <bgColor theme="0" tint="-0.24994659260841701"/>
        </patternFill>
      </fill>
    </dxf>
    <dxf>
      <font>
        <strike/>
      </font>
      <fill>
        <patternFill>
          <bgColor theme="0" tint="-0.24994659260841701"/>
        </patternFill>
      </fill>
    </dxf>
    <dxf>
      <font>
        <strike/>
      </font>
      <fill>
        <patternFill>
          <bgColor theme="0" tint="-0.24994659260841701"/>
        </patternFill>
      </fill>
    </dxf>
    <dxf>
      <font>
        <color rgb="FFFF0000"/>
      </font>
    </dxf>
    <dxf>
      <font>
        <color rgb="FFFF0000"/>
      </font>
    </dxf>
    <dxf>
      <fill>
        <patternFill>
          <bgColor rgb="FFFF0000"/>
        </patternFill>
      </fill>
    </dxf>
    <dxf>
      <fill>
        <patternFill>
          <bgColor rgb="FFFF0000"/>
        </patternFill>
      </fill>
    </dxf>
  </dxfs>
  <tableStyles count="0" defaultTableStyle="TableStyleMedium2" defaultPivotStyle="PivotStyleLight16"/>
  <colors>
    <mruColors>
      <color rgb="FFEAEAE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Plant Transfer</a:t>
            </a:r>
            <a:r>
              <a:rPr lang="en-US" baseline="0"/>
              <a:t> Function</a:t>
            </a:r>
            <a:endParaRPr lang="en-US"/>
          </a:p>
        </c:rich>
      </c:tx>
      <c:overlay val="0"/>
    </c:title>
    <c:autoTitleDeleted val="0"/>
    <c:plotArea>
      <c:layout/>
      <c:scatterChart>
        <c:scatterStyle val="smoothMarker"/>
        <c:varyColors val="0"/>
        <c:ser>
          <c:idx val="0"/>
          <c:order val="0"/>
          <c:tx>
            <c:v>Gain(dB)</c:v>
          </c:tx>
          <c:marker>
            <c:symbol val="none"/>
          </c:marker>
          <c:xVal>
            <c:numRef>
              <c:f>CCM_Loop_Modeling_Isolated!$O$19:$O$560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CCM_Loop_Modeling_Isolated!$AD$19:$AD$560</c:f>
              <c:numCache>
                <c:formatCode>0.000</c:formatCode>
                <c:ptCount val="542"/>
                <c:pt idx="0">
                  <c:v>38.798889498556328</c:v>
                </c:pt>
                <c:pt idx="1">
                  <c:v>38.614928508304359</c:v>
                </c:pt>
                <c:pt idx="2">
                  <c:v>38.430301074793853</c:v>
                </c:pt>
                <c:pt idx="3">
                  <c:v>38.245032666228894</c:v>
                </c:pt>
                <c:pt idx="4">
                  <c:v>38.05914795927071</c:v>
                </c:pt>
                <c:pt idx="5">
                  <c:v>37.872670848485491</c:v>
                </c:pt>
                <c:pt idx="6">
                  <c:v>37.685624457096452</c:v>
                </c:pt>
                <c:pt idx="7">
                  <c:v>37.498031148891243</c:v>
                </c:pt>
                <c:pt idx="8">
                  <c:v>37.309912541144207</c:v>
                </c:pt>
                <c:pt idx="9">
                  <c:v>37.121289518421101</c:v>
                </c:pt>
                <c:pt idx="10">
                  <c:v>36.932182247143068</c:v>
                </c:pt>
                <c:pt idx="11">
                  <c:v>36.742610190793485</c:v>
                </c:pt>
                <c:pt idx="12">
                  <c:v>36.552592125661349</c:v>
                </c:pt>
                <c:pt idx="13">
                  <c:v>36.362146157021009</c:v>
                </c:pt>
                <c:pt idx="14">
                  <c:v>36.171289735656657</c:v>
                </c:pt>
                <c:pt idx="15">
                  <c:v>35.980039674647344</c:v>
                </c:pt>
                <c:pt idx="16">
                  <c:v>35.788412166334851</c:v>
                </c:pt>
                <c:pt idx="17">
                  <c:v>35.596422799403896</c:v>
                </c:pt>
                <c:pt idx="18">
                  <c:v>35.40408657601057</c:v>
                </c:pt>
                <c:pt idx="19">
                  <c:v>35.211417928900474</c:v>
                </c:pt>
                <c:pt idx="20">
                  <c:v>35.018430738464929</c:v>
                </c:pt>
                <c:pt idx="21">
                  <c:v>34.825138349687208</c:v>
                </c:pt>
                <c:pt idx="22">
                  <c:v>34.631553588938097</c:v>
                </c:pt>
                <c:pt idx="23">
                  <c:v>34.43768878058183</c:v>
                </c:pt>
                <c:pt idx="24">
                  <c:v>34.243555763361996</c:v>
                </c:pt>
                <c:pt idx="25">
                  <c:v>34.049165906535947</c:v>
                </c:pt>
                <c:pt idx="26">
                  <c:v>33.854530125735216</c:v>
                </c:pt>
                <c:pt idx="27">
                  <c:v>33.659658898528974</c:v>
                </c:pt>
                <c:pt idx="28">
                  <c:v>33.46456227967284</c:v>
                </c:pt>
                <c:pt idx="29">
                  <c:v>33.269249916028059</c:v>
                </c:pt>
                <c:pt idx="30">
                  <c:v>33.073731061137998</c:v>
                </c:pt>
                <c:pt idx="31">
                  <c:v>32.878014589452114</c:v>
                </c:pt>
                <c:pt idx="32">
                  <c:v>32.682109010190224</c:v>
                </c:pt>
                <c:pt idx="33">
                  <c:v>32.486022480839793</c:v>
                </c:pt>
                <c:pt idx="34">
                  <c:v>32.289762820284352</c:v>
                </c:pt>
                <c:pt idx="35">
                  <c:v>32.093337521558944</c:v>
                </c:pt>
                <c:pt idx="36">
                  <c:v>31.896753764232901</c:v>
                </c:pt>
                <c:pt idx="37">
                  <c:v>31.700018426420531</c:v>
                </c:pt>
                <c:pt idx="38">
                  <c:v>31.503138096420614</c:v>
                </c:pt>
                <c:pt idx="39">
                  <c:v>31.306119083988957</c:v>
                </c:pt>
                <c:pt idx="40">
                  <c:v>31.108967431246199</c:v>
                </c:pt>
                <c:pt idx="41">
                  <c:v>30.911688923226489</c:v>
                </c:pt>
                <c:pt idx="42">
                  <c:v>30.714289098071937</c:v>
                </c:pt>
                <c:pt idx="43">
                  <c:v>30.516773256878626</c:v>
                </c:pt>
                <c:pt idx="44">
                  <c:v>30.319146473200838</c:v>
                </c:pt>
                <c:pt idx="45">
                  <c:v>30.12141360221985</c:v>
                </c:pt>
                <c:pt idx="46">
                  <c:v>29.923579289584925</c:v>
                </c:pt>
                <c:pt idx="47">
                  <c:v>29.725647979933896</c:v>
                </c:pt>
                <c:pt idx="48">
                  <c:v>29.527623925100649</c:v>
                </c:pt>
                <c:pt idx="49">
                  <c:v>29.329511192018252</c:v>
                </c:pt>
                <c:pt idx="50">
                  <c:v>29.131313670324296</c:v>
                </c:pt>
                <c:pt idx="51">
                  <c:v>28.933035079678639</c:v>
                </c:pt>
                <c:pt idx="52">
                  <c:v>28.734678976799316</c:v>
                </c:pt>
                <c:pt idx="53">
                  <c:v>28.53624876222705</c:v>
                </c:pt>
                <c:pt idx="54">
                  <c:v>28.337747686825111</c:v>
                </c:pt>
                <c:pt idx="55">
                  <c:v>28.139178858022266</c:v>
                </c:pt>
                <c:pt idx="56">
                  <c:v>27.940545245809002</c:v>
                </c:pt>
                <c:pt idx="57">
                  <c:v>27.741849688492177</c:v>
                </c:pt>
                <c:pt idx="58">
                  <c:v>27.543094898218069</c:v>
                </c:pt>
                <c:pt idx="59">
                  <c:v>27.344283466270799</c:v>
                </c:pt>
                <c:pt idx="60">
                  <c:v>27.145417868152979</c:v>
                </c:pt>
                <c:pt idx="61">
                  <c:v>26.94650046845743</c:v>
                </c:pt>
                <c:pt idx="62">
                  <c:v>26.747533525536266</c:v>
                </c:pt>
                <c:pt idx="63">
                  <c:v>26.548519195974194</c:v>
                </c:pt>
                <c:pt idx="64">
                  <c:v>26.349459538873955</c:v>
                </c:pt>
                <c:pt idx="65">
                  <c:v>26.150356519959971</c:v>
                </c:pt>
                <c:pt idx="66">
                  <c:v>25.951212015506471</c:v>
                </c:pt>
                <c:pt idx="67">
                  <c:v>25.752027816097272</c:v>
                </c:pt>
                <c:pt idx="68">
                  <c:v>25.552805630222664</c:v>
                </c:pt>
                <c:pt idx="69">
                  <c:v>25.353547087719832</c:v>
                </c:pt>
                <c:pt idx="70">
                  <c:v>25.154253743062213</c:v>
                </c:pt>
                <c:pt idx="71">
                  <c:v>24.954927078503829</c:v>
                </c:pt>
                <c:pt idx="72">
                  <c:v>24.75556850708368</c:v>
                </c:pt>
                <c:pt idx="73">
                  <c:v>24.556179375495141</c:v>
                </c:pt>
                <c:pt idx="74">
                  <c:v>24.356760966826705</c:v>
                </c:pt>
                <c:pt idx="75">
                  <c:v>24.157314503176828</c:v>
                </c:pt>
                <c:pt idx="76">
                  <c:v>23.95784114814948</c:v>
                </c:pt>
                <c:pt idx="77">
                  <c:v>23.758342009233754</c:v>
                </c:pt>
                <c:pt idx="78">
                  <c:v>23.55881814007234</c:v>
                </c:pt>
                <c:pt idx="79">
                  <c:v>23.359270542622845</c:v>
                </c:pt>
                <c:pt idx="80">
                  <c:v>23.159700169215974</c:v>
                </c:pt>
                <c:pt idx="81">
                  <c:v>22.960107924513935</c:v>
                </c:pt>
                <c:pt idx="82">
                  <c:v>22.760494667373923</c:v>
                </c:pt>
                <c:pt idx="83">
                  <c:v>22.56086121261864</c:v>
                </c:pt>
                <c:pt idx="84">
                  <c:v>22.361208332718068</c:v>
                </c:pt>
                <c:pt idx="85">
                  <c:v>22.161536759386216</c:v>
                </c:pt>
                <c:pt idx="86">
                  <c:v>21.961847185093845</c:v>
                </c:pt>
                <c:pt idx="87">
                  <c:v>21.76214026450274</c:v>
                </c:pt>
                <c:pt idx="88">
                  <c:v>21.562416615821959</c:v>
                </c:pt>
                <c:pt idx="89">
                  <c:v>21.362676822090187</c:v>
                </c:pt>
                <c:pt idx="90">
                  <c:v>21.162921432385907</c:v>
                </c:pt>
                <c:pt idx="91">
                  <c:v>20.963150962967813</c:v>
                </c:pt>
                <c:pt idx="92">
                  <c:v>20.763365898348379</c:v>
                </c:pt>
                <c:pt idx="93">
                  <c:v>20.563566692301013</c:v>
                </c:pt>
                <c:pt idx="94">
                  <c:v>20.36375376880525</c:v>
                </c:pt>
                <c:pt idx="95">
                  <c:v>20.163927522929256</c:v>
                </c:pt>
                <c:pt idx="96">
                  <c:v>19.964088321653279</c:v>
                </c:pt>
                <c:pt idx="97">
                  <c:v>19.764236504634873</c:v>
                </c:pt>
                <c:pt idx="98">
                  <c:v>19.564372384916908</c:v>
                </c:pt>
                <c:pt idx="99">
                  <c:v>19.364496249581322</c:v>
                </c:pt>
                <c:pt idx="100">
                  <c:v>19.164608360348037</c:v>
                </c:pt>
                <c:pt idx="101">
                  <c:v>18.964708954121786</c:v>
                </c:pt>
                <c:pt idx="102">
                  <c:v>18.764798243486915</c:v>
                </c:pt>
                <c:pt idx="103">
                  <c:v>18.564876417151662</c:v>
                </c:pt>
                <c:pt idx="104">
                  <c:v>18.364943640342567</c:v>
                </c:pt>
                <c:pt idx="105">
                  <c:v>18.165000055150099</c:v>
                </c:pt>
                <c:pt idx="106">
                  <c:v>17.965045780825633</c:v>
                </c:pt>
                <c:pt idx="107">
                  <c:v>17.765080914030943</c:v>
                </c:pt>
                <c:pt idx="108">
                  <c:v>17.565105529040668</c:v>
                </c:pt>
                <c:pt idx="109">
                  <c:v>17.365119677897464</c:v>
                </c:pt>
                <c:pt idx="110">
                  <c:v>17.165123390521121</c:v>
                </c:pt>
                <c:pt idx="111">
                  <c:v>16.965116674771281</c:v>
                </c:pt>
                <c:pt idx="112">
                  <c:v>16.765099516463962</c:v>
                </c:pt>
                <c:pt idx="113">
                  <c:v>16.565071879341804</c:v>
                </c:pt>
                <c:pt idx="114">
                  <c:v>16.365033704998627</c:v>
                </c:pt>
                <c:pt idx="115">
                  <c:v>16.164984912757106</c:v>
                </c:pt>
                <c:pt idx="116">
                  <c:v>15.964925399500412</c:v>
                </c:pt>
                <c:pt idx="117">
                  <c:v>15.764855039456339</c:v>
                </c:pt>
                <c:pt idx="118">
                  <c:v>15.564773683934822</c:v>
                </c:pt>
                <c:pt idx="119">
                  <c:v>15.364681161016945</c:v>
                </c:pt>
                <c:pt idx="120">
                  <c:v>15.164577275195905</c:v>
                </c:pt>
                <c:pt idx="121">
                  <c:v>14.964461806968457</c:v>
                </c:pt>
                <c:pt idx="122">
                  <c:v>14.764334512376973</c:v>
                </c:pt>
                <c:pt idx="123">
                  <c:v>14.56419512249936</c:v>
                </c:pt>
                <c:pt idx="124">
                  <c:v>14.364043342888753</c:v>
                </c:pt>
                <c:pt idx="125">
                  <c:v>14.163878852958696</c:v>
                </c:pt>
                <c:pt idx="126">
                  <c:v>13.963701305314453</c:v>
                </c:pt>
                <c:pt idx="127">
                  <c:v>13.763510325029449</c:v>
                </c:pt>
                <c:pt idx="128">
                  <c:v>13.563305508863985</c:v>
                </c:pt>
                <c:pt idx="129">
                  <c:v>13.363086424425216</c:v>
                </c:pt>
                <c:pt idx="130">
                  <c:v>13.162852609267922</c:v>
                </c:pt>
                <c:pt idx="131">
                  <c:v>12.96260356993213</c:v>
                </c:pt>
                <c:pt idx="132">
                  <c:v>12.762338780917998</c:v>
                </c:pt>
                <c:pt idx="133">
                  <c:v>12.562057683593927</c:v>
                </c:pt>
                <c:pt idx="134">
                  <c:v>12.361759685037384</c:v>
                </c:pt>
                <c:pt idx="135">
                  <c:v>12.161444156805278</c:v>
                </c:pt>
                <c:pt idx="136">
                  <c:v>11.961110433631735</c:v>
                </c:pt>
                <c:pt idx="137">
                  <c:v>11.760757812050587</c:v>
                </c:pt>
                <c:pt idx="138">
                  <c:v>11.560385548940877</c:v>
                </c:pt>
                <c:pt idx="139">
                  <c:v>11.35999285999098</c:v>
                </c:pt>
                <c:pt idx="140">
                  <c:v>11.159578918079969</c:v>
                </c:pt>
                <c:pt idx="141">
                  <c:v>10.959142851572112</c:v>
                </c:pt>
                <c:pt idx="142">
                  <c:v>10.7586837425219</c:v>
                </c:pt>
                <c:pt idx="143">
                  <c:v>10.558200624786028</c:v>
                </c:pt>
                <c:pt idx="144">
                  <c:v>10.357692482038892</c:v>
                </c:pt>
                <c:pt idx="145">
                  <c:v>10.15715824568764</c:v>
                </c:pt>
                <c:pt idx="146">
                  <c:v>9.9565967926833636</c:v>
                </c:pt>
                <c:pt idx="147">
                  <c:v>9.7560069432241594</c:v>
                </c:pt>
                <c:pt idx="148">
                  <c:v>9.5553874583462957</c:v>
                </c:pt>
                <c:pt idx="149">
                  <c:v>9.354737037398154</c:v>
                </c:pt>
                <c:pt idx="150">
                  <c:v>9.1540543153939637</c:v>
                </c:pt>
                <c:pt idx="151">
                  <c:v>8.9533378602412643</c:v>
                </c:pt>
                <c:pt idx="152">
                  <c:v>8.7525861698374836</c:v>
                </c:pt>
                <c:pt idx="153">
                  <c:v>8.5517976690321973</c:v>
                </c:pt>
                <c:pt idx="154">
                  <c:v>8.3509707064465122</c:v>
                </c:pt>
                <c:pt idx="155">
                  <c:v>8.1501035511482698</c:v>
                </c:pt>
                <c:pt idx="156">
                  <c:v>7.9491943891736296</c:v>
                </c:pt>
                <c:pt idx="157">
                  <c:v>7.7482413198922586</c:v>
                </c:pt>
                <c:pt idx="158">
                  <c:v>7.5472423522077232</c:v>
                </c:pt>
                <c:pt idx="159">
                  <c:v>7.3461954005894512</c:v>
                </c:pt>
                <c:pt idx="160">
                  <c:v>7.1450982809274333</c:v>
                </c:pt>
                <c:pt idx="161">
                  <c:v>6.9439487062046057</c:v>
                </c:pt>
                <c:pt idx="162">
                  <c:v>6.7427442819803662</c:v>
                </c:pt>
                <c:pt idx="163">
                  <c:v>6.5414825016772138</c:v>
                </c:pt>
                <c:pt idx="164">
                  <c:v>6.3401607416645671</c:v>
                </c:pt>
                <c:pt idx="165">
                  <c:v>6.1387762561322035</c:v>
                </c:pt>
                <c:pt idx="166">
                  <c:v>5.9373261717454682</c:v>
                </c:pt>
                <c:pt idx="167">
                  <c:v>5.7358074820763738</c:v>
                </c:pt>
                <c:pt idx="168">
                  <c:v>5.5342170418001828</c:v>
                </c:pt>
                <c:pt idx="169">
                  <c:v>5.3325515606535321</c:v>
                </c:pt>
                <c:pt idx="170">
                  <c:v>5.1308075971423817</c:v>
                </c:pt>
                <c:pt idx="171">
                  <c:v>4.928981551994994</c:v>
                </c:pt>
                <c:pt idx="172">
                  <c:v>4.7270696613508392</c:v>
                </c:pt>
                <c:pt idx="173">
                  <c:v>4.5250679896765877</c:v>
                </c:pt>
                <c:pt idx="174">
                  <c:v>4.3229724224030939</c:v>
                </c:pt>
                <c:pt idx="175">
                  <c:v>4.1207786582746015</c:v>
                </c:pt>
                <c:pt idx="176">
                  <c:v>3.9184822014020053</c:v>
                </c:pt>
                <c:pt idx="177">
                  <c:v>3.7160783530129331</c:v>
                </c:pt>
                <c:pt idx="178">
                  <c:v>3.5135622028914355</c:v>
                </c:pt>
                <c:pt idx="179">
                  <c:v>3.3109286204997366</c:v>
                </c:pt>
                <c:pt idx="180">
                  <c:v>3.1081722457747238</c:v>
                </c:pt>
                <c:pt idx="181">
                  <c:v>2.9052874795934147</c:v>
                </c:pt>
                <c:pt idx="182">
                  <c:v>2.7022684738999758</c:v>
                </c:pt>
                <c:pt idx="183">
                  <c:v>2.4991091214900623</c:v>
                </c:pt>
                <c:pt idx="184">
                  <c:v>2.2958030454463785</c:v>
                </c:pt>
                <c:pt idx="185">
                  <c:v>2.0923435882212207</c:v>
                </c:pt>
                <c:pt idx="186">
                  <c:v>1.888723800361837</c:v>
                </c:pt>
                <c:pt idx="187">
                  <c:v>1.6849364288778017</c:v>
                </c:pt>
                <c:pt idx="188">
                  <c:v>1.4809739052458424</c:v>
                </c:pt>
                <c:pt idx="189">
                  <c:v>1.2768283330542107</c:v>
                </c:pt>
                <c:pt idx="190">
                  <c:v>1.0724914752853403</c:v>
                </c:pt>
                <c:pt idx="191">
                  <c:v>0.86795474123973049</c:v>
                </c:pt>
                <c:pt idx="192">
                  <c:v>0.66320917310580296</c:v>
                </c:pt>
                <c:pt idx="193">
                  <c:v>0.45824543217925812</c:v>
                </c:pt>
                <c:pt idx="194">
                  <c:v>0.25305378474111467</c:v>
                </c:pt>
                <c:pt idx="195">
                  <c:v>4.7624087604155249E-2</c:v>
                </c:pt>
                <c:pt idx="196">
                  <c:v>-0.1580542266610391</c:v>
                </c:pt>
                <c:pt idx="197">
                  <c:v>-0.3639921648049339</c:v>
                </c:pt>
                <c:pt idx="198">
                  <c:v>-0.57020118826460886</c:v>
                </c:pt>
                <c:pt idx="199">
                  <c:v>-0.77669322879641522</c:v>
                </c:pt>
                <c:pt idx="200">
                  <c:v>-0.98348070435015267</c:v>
                </c:pt>
                <c:pt idx="201">
                  <c:v>-1.1905765351573192</c:v>
                </c:pt>
                <c:pt idx="202">
                  <c:v>-1.3979941600015855</c:v>
                </c:pt>
                <c:pt idx="203">
                  <c:v>-1.6057475526347131</c:v>
                </c:pt>
                <c:pt idx="204">
                  <c:v>-1.8138512382971133</c:v>
                </c:pt>
                <c:pt idx="205">
                  <c:v>-2.0223203102969762</c:v>
                </c:pt>
                <c:pt idx="206">
                  <c:v>-2.2311704465971784</c:v>
                </c:pt>
                <c:pt idx="207">
                  <c:v>-2.4404179263521093</c:v>
                </c:pt>
                <c:pt idx="208">
                  <c:v>-2.6500796463323328</c:v>
                </c:pt>
                <c:pt idx="209">
                  <c:v>-2.8601731371676689</c:v>
                </c:pt>
                <c:pt idx="210">
                  <c:v>-3.0707165793323794</c:v>
                </c:pt>
                <c:pt idx="211">
                  <c:v>-3.2817288187898557</c:v>
                </c:pt>
                <c:pt idx="212">
                  <c:v>-3.4932293822067817</c:v>
                </c:pt>
                <c:pt idx="213">
                  <c:v>-3.7052384916384309</c:v>
                </c:pt>
                <c:pt idx="214">
                  <c:v>-3.9177770785798023</c:v>
                </c:pt>
                <c:pt idx="215">
                  <c:v>-4.1308667972685935</c:v>
                </c:pt>
                <c:pt idx="216">
                  <c:v>-4.3445300371179938</c:v>
                </c:pt>
                <c:pt idx="217">
                  <c:v>-4.5587899341489901</c:v>
                </c:pt>
                <c:pt idx="218">
                  <c:v>-4.7736703812825692</c:v>
                </c:pt>
                <c:pt idx="219">
                  <c:v>-4.9891960373449384</c:v>
                </c:pt>
                <c:pt idx="220">
                  <c:v>-5.2053923346292983</c:v>
                </c:pt>
                <c:pt idx="221">
                  <c:v>-5.42228548485022</c:v>
                </c:pt>
                <c:pt idx="222">
                  <c:v>-5.6399024833178064</c:v>
                </c:pt>
                <c:pt idx="223">
                  <c:v>-5.8582711111526029</c:v>
                </c:pt>
                <c:pt idx="224">
                  <c:v>-6.0774199353530056</c:v>
                </c:pt>
                <c:pt idx="225">
                  <c:v>-6.2973783065227629</c:v>
                </c:pt>
                <c:pt idx="226">
                  <c:v>-6.5181763540593805</c:v>
                </c:pt>
                <c:pt idx="227">
                  <c:v>-6.7398449785981454</c:v>
                </c:pt>
                <c:pt idx="228">
                  <c:v>-6.9624158415067043</c:v>
                </c:pt>
                <c:pt idx="229">
                  <c:v>-7.1859213512199158</c:v>
                </c:pt>
                <c:pt idx="230">
                  <c:v>-7.410394646203958</c:v>
                </c:pt>
                <c:pt idx="231">
                  <c:v>-7.6358695743431459</c:v>
                </c:pt>
                <c:pt idx="232">
                  <c:v>-7.8623806685419133</c:v>
                </c:pt>
                <c:pt idx="233">
                  <c:v>-8.0899631183434995</c:v>
                </c:pt>
                <c:pt idx="234">
                  <c:v>-8.3186527373717851</c:v>
                </c:pt>
                <c:pt idx="235">
                  <c:v>-8.5484859264148501</c:v>
                </c:pt>
                <c:pt idx="236">
                  <c:v>-8.7794996319819312</c:v>
                </c:pt>
                <c:pt idx="237">
                  <c:v>-9.0117313001803865</c:v>
                </c:pt>
                <c:pt idx="238">
                  <c:v>-9.2452188257805954</c:v>
                </c:pt>
                <c:pt idx="239">
                  <c:v>-9.4800004963571816</c:v>
                </c:pt>
                <c:pt idx="240">
                  <c:v>-9.7161149314227586</c:v>
                </c:pt>
                <c:pt idx="241">
                  <c:v>-9.9536010164989985</c:v>
                </c:pt>
                <c:pt idx="242">
                  <c:v>-10.192497832102191</c:v>
                </c:pt>
                <c:pt idx="243">
                  <c:v>-10.432844577657718</c:v>
                </c:pt>
                <c:pt idx="244">
                  <c:v>-10.67468049039633</c:v>
                </c:pt>
                <c:pt idx="245">
                  <c:v>-10.918044759328547</c:v>
                </c:pt>
                <c:pt idx="246">
                  <c:v>-11.162976434437917</c:v>
                </c:pt>
                <c:pt idx="247">
                  <c:v>-11.409514331282187</c:v>
                </c:pt>
                <c:pt idx="248">
                  <c:v>-11.65769693124145</c:v>
                </c:pt>
                <c:pt idx="249">
                  <c:v>-11.907562277703896</c:v>
                </c:pt>
                <c:pt idx="250">
                  <c:v>-12.159147868531122</c:v>
                </c:pt>
                <c:pt idx="251">
                  <c:v>-12.412490545200088</c:v>
                </c:pt>
                <c:pt idx="252">
                  <c:v>-12.667626379068469</c:v>
                </c:pt>
                <c:pt idx="253">
                  <c:v>-12.924590555264338</c:v>
                </c:pt>
                <c:pt idx="254">
                  <c:v>-13.183417254747754</c:v>
                </c:pt>
                <c:pt idx="255">
                  <c:v>-13.444139535141289</c:v>
                </c:pt>
                <c:pt idx="256">
                  <c:v>-13.70678921096559</c:v>
                </c:pt>
                <c:pt idx="257">
                  <c:v>-13.971396733958187</c:v>
                </c:pt>
                <c:pt idx="258">
                  <c:v>-14.237991074183389</c:v>
                </c:pt>
                <c:pt idx="259">
                  <c:v>-14.506599602667016</c:v>
                </c:pt>
                <c:pt idx="260">
                  <c:v>-14.777247976312344</c:v>
                </c:pt>
                <c:pt idx="261">
                  <c:v>-15.049960025858946</c:v>
                </c:pt>
                <c:pt idx="262">
                  <c:v>-15.324757647653559</c:v>
                </c:pt>
                <c:pt idx="263">
                  <c:v>-15.601660699992429</c:v>
                </c:pt>
                <c:pt idx="264">
                  <c:v>-15.880686904779509</c:v>
                </c:pt>
                <c:pt idx="265">
                  <c:v>-16.161851755219661</c:v>
                </c:pt>
                <c:pt idx="266">
                  <c:v>-16.445168430230709</c:v>
                </c:pt>
                <c:pt idx="267">
                  <c:v>-16.730647716212633</c:v>
                </c:pt>
                <c:pt idx="268">
                  <c:v>-17.018297936760572</c:v>
                </c:pt>
                <c:pt idx="269">
                  <c:v>-17.308124890844425</c:v>
                </c:pt>
                <c:pt idx="270">
                  <c:v>-17.600131799909452</c:v>
                </c:pt>
                <c:pt idx="271">
                  <c:v>-17.894319264275381</c:v>
                </c:pt>
                <c:pt idx="272">
                  <c:v>-18.190685229127187</c:v>
                </c:pt>
                <c:pt idx="273">
                  <c:v>-18.489224960308533</c:v>
                </c:pt>
                <c:pt idx="274">
                  <c:v>-18.789931030033312</c:v>
                </c:pt>
                <c:pt idx="275">
                  <c:v>-19.092793312541406</c:v>
                </c:pt>
                <c:pt idx="276">
                  <c:v>-19.397798989633333</c:v>
                </c:pt>
                <c:pt idx="277">
                  <c:v>-19.704932565923045</c:v>
                </c:pt>
                <c:pt idx="278">
                  <c:v>-20.014175893563028</c:v>
                </c:pt>
                <c:pt idx="279">
                  <c:v>-20.325508206107529</c:v>
                </c:pt>
                <c:pt idx="280">
                  <c:v>-20.638906161100429</c:v>
                </c:pt>
                <c:pt idx="281">
                  <c:v>-20.954343890900176</c:v>
                </c:pt>
                <c:pt idx="282">
                  <c:v>-21.271793061185615</c:v>
                </c:pt>
                <c:pt idx="283">
                  <c:v>-21.591222936529938</c:v>
                </c:pt>
                <c:pt idx="284">
                  <c:v>-21.91260045237723</c:v>
                </c:pt>
                <c:pt idx="285">
                  <c:v>-22.235890292717265</c:v>
                </c:pt>
                <c:pt idx="286">
                  <c:v>-22.561054972721131</c:v>
                </c:pt>
                <c:pt idx="287">
                  <c:v>-22.888054925580196</c:v>
                </c:pt>
                <c:pt idx="288">
                  <c:v>-23.216848592778192</c:v>
                </c:pt>
                <c:pt idx="289">
                  <c:v>-23.547392517023766</c:v>
                </c:pt>
                <c:pt idx="290">
                  <c:v>-23.87964143707898</c:v>
                </c:pt>
                <c:pt idx="291">
                  <c:v>-24.213548383732913</c:v>
                </c:pt>
                <c:pt idx="292">
                  <c:v>-24.549064776194175</c:v>
                </c:pt>
                <c:pt idx="293">
                  <c:v>-24.886140518207114</c:v>
                </c:pt>
                <c:pt idx="294">
                  <c:v>-25.224724093232211</c:v>
                </c:pt>
                <c:pt idx="295">
                  <c:v>-25.564762658076312</c:v>
                </c:pt>
                <c:pt idx="296">
                  <c:v>-25.906202134403685</c:v>
                </c:pt>
                <c:pt idx="297">
                  <c:v>-26.248987297611958</c:v>
                </c:pt>
                <c:pt idx="298">
                  <c:v>-26.59306186261059</c:v>
                </c:pt>
                <c:pt idx="299">
                  <c:v>-26.938368566096329</c:v>
                </c:pt>
                <c:pt idx="300">
                  <c:v>-27.284849244977721</c:v>
                </c:pt>
                <c:pt idx="301">
                  <c:v>-27.632444910659409</c:v>
                </c:pt>
                <c:pt idx="302">
                  <c:v>-27.981095818954614</c:v>
                </c:pt>
                <c:pt idx="303">
                  <c:v>-28.330741535451423</c:v>
                </c:pt>
                <c:pt idx="304">
                  <c:v>-28.681320996215458</c:v>
                </c:pt>
                <c:pt idx="305">
                  <c:v>-29.03277256376365</c:v>
                </c:pt>
                <c:pt idx="306">
                  <c:v>-29.385034078298116</c:v>
                </c:pt>
                <c:pt idx="307">
                  <c:v>-29.738042904235936</c:v>
                </c:pt>
                <c:pt idx="308">
                  <c:v>-30.091735972118954</c:v>
                </c:pt>
                <c:pt idx="309">
                  <c:v>-30.446049816029603</c:v>
                </c:pt>
                <c:pt idx="310">
                  <c:v>-30.800920606679668</c:v>
                </c:pt>
                <c:pt idx="311">
                  <c:v>-31.156284180376414</c:v>
                </c:pt>
                <c:pt idx="312">
                  <c:v>-31.512076064102082</c:v>
                </c:pt>
                <c:pt idx="313">
                  <c:v>-31.868231496976001</c:v>
                </c:pt>
                <c:pt idx="314">
                  <c:v>-32.224685448391782</c:v>
                </c:pt>
                <c:pt idx="315">
                  <c:v>-32.58137263315097</c:v>
                </c:pt>
                <c:pt idx="316">
                  <c:v>-32.938227523929754</c:v>
                </c:pt>
                <c:pt idx="317">
                  <c:v>-33.295184361437066</c:v>
                </c:pt>
                <c:pt idx="318">
                  <c:v>-33.652177162634779</c:v>
                </c:pt>
                <c:pt idx="319">
                  <c:v>-34.00913972740377</c:v>
                </c:pt>
                <c:pt idx="320">
                  <c:v>-34.366005644047306</c:v>
                </c:pt>
                <c:pt idx="321">
                  <c:v>-34.722708294029701</c:v>
                </c:pt>
                <c:pt idx="322">
                  <c:v>-35.079180856351996</c:v>
                </c:pt>
                <c:pt idx="323">
                  <c:v>-35.435356311965961</c:v>
                </c:pt>
                <c:pt idx="324">
                  <c:v>-35.791167448627398</c:v>
                </c:pt>
                <c:pt idx="325">
                  <c:v>-36.146546866580763</c:v>
                </c:pt>
                <c:pt idx="326">
                  <c:v>-36.501426985464903</c:v>
                </c:pt>
                <c:pt idx="327">
                  <c:v>-36.855740052815314</c:v>
                </c:pt>
                <c:pt idx="328">
                  <c:v>-37.209418154525757</c:v>
                </c:pt>
                <c:pt idx="329">
                  <c:v>-37.562393227617854</c:v>
                </c:pt>
                <c:pt idx="330">
                  <c:v>-37.914597075643371</c:v>
                </c:pt>
                <c:pt idx="331">
                  <c:v>-38.265961387028469</c:v>
                </c:pt>
                <c:pt idx="332">
                  <c:v>-38.616417756636551</c:v>
                </c:pt>
                <c:pt idx="333">
                  <c:v>-38.965897710804072</c:v>
                </c:pt>
                <c:pt idx="334">
                  <c:v>-39.314332736066945</c:v>
                </c:pt>
                <c:pt idx="335">
                  <c:v>-39.661654311764636</c:v>
                </c:pt>
                <c:pt idx="336">
                  <c:v>-40.007793946666624</c:v>
                </c:pt>
                <c:pt idx="337">
                  <c:v>-40.352683219730679</c:v>
                </c:pt>
                <c:pt idx="338">
                  <c:v>-40.696253825051883</c:v>
                </c:pt>
                <c:pt idx="339">
                  <c:v>-41.03843762102008</c:v>
                </c:pt>
                <c:pt idx="340">
                  <c:v>-41.379166683651761</c:v>
                </c:pt>
                <c:pt idx="341">
                  <c:v>-41.718373364012571</c:v>
                </c:pt>
                <c:pt idx="342">
                  <c:v>-42.055990349592129</c:v>
                </c:pt>
                <c:pt idx="343">
                  <c:v>-42.391950729440552</c:v>
                </c:pt>
                <c:pt idx="344">
                  <c:v>-42.726188062820576</c:v>
                </c:pt>
                <c:pt idx="345">
                  <c:v>-43.058636451073852</c:v>
                </c:pt>
                <c:pt idx="346">
                  <c:v>-43.389230612347582</c:v>
                </c:pt>
                <c:pt idx="347">
                  <c:v>-43.717905958771155</c:v>
                </c:pt>
                <c:pt idx="348">
                  <c:v>-44.044598675627824</c:v>
                </c:pt>
                <c:pt idx="349">
                  <c:v>-44.369245802012756</c:v>
                </c:pt>
                <c:pt idx="350">
                  <c:v>-44.691785312429815</c:v>
                </c:pt>
                <c:pt idx="351">
                  <c:v>-45.012156198738083</c:v>
                </c:pt>
                <c:pt idx="352">
                  <c:v>-45.330298551828491</c:v>
                </c:pt>
                <c:pt idx="353">
                  <c:v>-45.646153642382608</c:v>
                </c:pt>
                <c:pt idx="354">
                  <c:v>-45.959664000048875</c:v>
                </c:pt>
                <c:pt idx="355">
                  <c:v>-46.270773490358685</c:v>
                </c:pt>
                <c:pt idx="356">
                  <c:v>-46.57942738870539</c:v>
                </c:pt>
                <c:pt idx="357">
                  <c:v>-46.885572450715209</c:v>
                </c:pt>
                <c:pt idx="358">
                  <c:v>-47.189156978356557</c:v>
                </c:pt>
                <c:pt idx="359">
                  <c:v>-47.490130881161662</c:v>
                </c:pt>
                <c:pt idx="360">
                  <c:v>-47.788445731972018</c:v>
                </c:pt>
                <c:pt idx="361">
                  <c:v>-48.084054816665059</c:v>
                </c:pt>
                <c:pt idx="362">
                  <c:v>-48.376913177376323</c:v>
                </c:pt>
                <c:pt idx="363">
                  <c:v>-48.666977648798081</c:v>
                </c:pt>
                <c:pt idx="364">
                  <c:v>-48.954206887205501</c:v>
                </c:pt>
                <c:pt idx="365">
                  <c:v>-49.238561391946753</c:v>
                </c:pt>
                <c:pt idx="366">
                  <c:v>-49.520003519216587</c:v>
                </c:pt>
                <c:pt idx="367">
                  <c:v>-49.798497488026392</c:v>
                </c:pt>
                <c:pt idx="368">
                  <c:v>-50.074009378380211</c:v>
                </c:pt>
                <c:pt idx="369">
                  <c:v>-50.346507121760865</c:v>
                </c:pt>
                <c:pt idx="370">
                  <c:v>-50.61596048413076</c:v>
                </c:pt>
                <c:pt idx="371">
                  <c:v>-50.882341041747232</c:v>
                </c:pt>
                <c:pt idx="372">
                  <c:v>-51.145622150187968</c:v>
                </c:pt>
                <c:pt idx="373">
                  <c:v>-51.405778907068481</c:v>
                </c:pt>
                <c:pt idx="374">
                  <c:v>-51.662788109021598</c:v>
                </c:pt>
                <c:pt idx="375">
                  <c:v>-51.916628203581794</c:v>
                </c:pt>
                <c:pt idx="376">
                  <c:v>-52.167279236688515</c:v>
                </c:pt>
                <c:pt idx="377">
                  <c:v>-52.414722796577081</c:v>
                </c:pt>
                <c:pt idx="378">
                  <c:v>-52.658941954876333</c:v>
                </c:pt>
                <c:pt idx="379">
                  <c:v>-52.899921205768706</c:v>
                </c:pt>
                <c:pt idx="380">
                  <c:v>-53.137646404086667</c:v>
                </c:pt>
                <c:pt idx="381">
                  <c:v>-53.372104703238875</c:v>
                </c:pt>
                <c:pt idx="382">
                  <c:v>-53.603284493851511</c:v>
                </c:pt>
                <c:pt idx="383">
                  <c:v>-53.831175343999206</c:v>
                </c:pt>
                <c:pt idx="384">
                  <c:v>-54.055767941872183</c:v>
                </c:pt>
                <c:pt idx="385">
                  <c:v>-54.277054041688508</c:v>
                </c:pt>
                <c:pt idx="386">
                  <c:v>-54.495026413609004</c:v>
                </c:pt>
                <c:pt idx="387">
                  <c:v>-54.709678798351995</c:v>
                </c:pt>
                <c:pt idx="388">
                  <c:v>-54.921005867134333</c:v>
                </c:pt>
                <c:pt idx="389">
                  <c:v>-55.129003187485296</c:v>
                </c:pt>
                <c:pt idx="390">
                  <c:v>-55.333667195391598</c:v>
                </c:pt>
                <c:pt idx="391">
                  <c:v>-55.53499517414113</c:v>
                </c:pt>
                <c:pt idx="392">
                  <c:v>-55.732985240128237</c:v>
                </c:pt>
                <c:pt idx="393">
                  <c:v>-55.927636335788911</c:v>
                </c:pt>
                <c:pt idx="394">
                  <c:v>-56.118948229719798</c:v>
                </c:pt>
                <c:pt idx="395">
                  <c:v>-56.306921523938122</c:v>
                </c:pt>
                <c:pt idx="396">
                  <c:v>-56.491557668127058</c:v>
                </c:pt>
                <c:pt idx="397">
                  <c:v>-56.672858980612808</c:v>
                </c:pt>
                <c:pt idx="398">
                  <c:v>-56.850828675716585</c:v>
                </c:pt>
                <c:pt idx="399">
                  <c:v>-57.025470897032626</c:v>
                </c:pt>
                <c:pt idx="400">
                  <c:v>-57.196790756091701</c:v>
                </c:pt>
                <c:pt idx="401">
                  <c:v>-57.364794375791</c:v>
                </c:pt>
                <c:pt idx="402">
                  <c:v>-57.529488937897412</c:v>
                </c:pt>
                <c:pt idx="403">
                  <c:v>-57.69088273386734</c:v>
                </c:pt>
                <c:pt idx="404">
                  <c:v>-57.848985218176345</c:v>
                </c:pt>
                <c:pt idx="405">
                  <c:v>-58.00380706330845</c:v>
                </c:pt>
                <c:pt idx="406">
                  <c:v>-58.15536021552834</c:v>
                </c:pt>
                <c:pt idx="407">
                  <c:v>-58.303657950539609</c:v>
                </c:pt>
                <c:pt idx="408">
                  <c:v>-58.448714928133505</c:v>
                </c:pt>
                <c:pt idx="409">
                  <c:v>-58.5905472449369</c:v>
                </c:pt>
                <c:pt idx="410">
                  <c:v>-58.729172484392258</c:v>
                </c:pt>
                <c:pt idx="411">
                  <c:v>-58.864609763135576</c:v>
                </c:pt>
                <c:pt idx="412">
                  <c:v>-58.996879772984585</c:v>
                </c:pt>
                <c:pt idx="413">
                  <c:v>-59.126004817803249</c:v>
                </c:pt>
                <c:pt idx="414">
                  <c:v>-59.252008844579514</c:v>
                </c:pt>
                <c:pt idx="415">
                  <c:v>-59.374917468123904</c:v>
                </c:pt>
                <c:pt idx="416">
                  <c:v>-59.494757988883421</c:v>
                </c:pt>
                <c:pt idx="417">
                  <c:v>-59.611559403450023</c:v>
                </c:pt>
                <c:pt idx="418">
                  <c:v>-59.725352407442273</c:v>
                </c:pt>
                <c:pt idx="419">
                  <c:v>-59.836169390529847</c:v>
                </c:pt>
                <c:pt idx="420">
                  <c:v>-59.944044423472455</c:v>
                </c:pt>
                <c:pt idx="421">
                  <c:v>-60.049013237143186</c:v>
                </c:pt>
                <c:pt idx="422">
                  <c:v>-60.151113193600132</c:v>
                </c:pt>
                <c:pt idx="423">
                  <c:v>-60.250383249367985</c:v>
                </c:pt>
                <c:pt idx="424">
                  <c:v>-60.34686391117485</c:v>
                </c:pt>
                <c:pt idx="425">
                  <c:v>-60.4405971844783</c:v>
                </c:pt>
                <c:pt idx="426">
                  <c:v>-60.531626515187099</c:v>
                </c:pt>
                <c:pt idx="427">
                  <c:v>-60.619996725053859</c:v>
                </c:pt>
                <c:pt idx="428">
                  <c:v>-60.705753941275319</c:v>
                </c:pt>
                <c:pt idx="429">
                  <c:v>-60.788945520885932</c:v>
                </c:pt>
                <c:pt idx="430">
                  <c:v>-60.869619970570668</c:v>
                </c:pt>
                <c:pt idx="431">
                  <c:v>-60.94782686255617</c:v>
                </c:pt>
                <c:pt idx="432">
                  <c:v>-61.023616747258025</c:v>
                </c:pt>
                <c:pt idx="433">
                  <c:v>-61.097041063376338</c:v>
                </c:pt>
                <c:pt idx="434">
                  <c:v>-61.168152046131581</c:v>
                </c:pt>
                <c:pt idx="435">
                  <c:v>-61.237002634328761</c:v>
                </c:pt>
                <c:pt idx="436">
                  <c:v>-61.30364637692238</c:v>
                </c:pt>
                <c:pt idx="437">
                  <c:v>-61.368137339733657</c:v>
                </c:pt>
                <c:pt idx="438">
                  <c:v>-61.430530012942739</c:v>
                </c:pt>
                <c:pt idx="439">
                  <c:v>-61.490879219945363</c:v>
                </c:pt>
                <c:pt idx="440">
                  <c:v>-61.549240028125034</c:v>
                </c:pt>
                <c:pt idx="441">
                  <c:v>-61.605667662048361</c:v>
                </c:pt>
                <c:pt idx="442">
                  <c:v>-61.660217419546854</c:v>
                </c:pt>
                <c:pt idx="443">
                  <c:v>-61.712944591100978</c:v>
                </c:pt>
                <c:pt idx="444">
                  <c:v>-61.763904382892065</c:v>
                </c:pt>
                <c:pt idx="445">
                  <c:v>-61.813151843841048</c:v>
                </c:pt>
                <c:pt idx="446">
                  <c:v>-61.86074179690182</c:v>
                </c:pt>
                <c:pt idx="447">
                  <c:v>-61.906728774829922</c:v>
                </c:pt>
                <c:pt idx="448">
                  <c:v>-61.951166960600482</c:v>
                </c:pt>
                <c:pt idx="449">
                  <c:v>-61.994110132605286</c:v>
                </c:pt>
                <c:pt idx="450">
                  <c:v>-62.035611614715123</c:v>
                </c:pt>
                <c:pt idx="451">
                  <c:v>-62.075724231254945</c:v>
                </c:pt>
                <c:pt idx="452">
                  <c:v>-62.114500266902333</c:v>
                </c:pt>
                <c:pt idx="453">
                  <c:v>-62.15199143148547</c:v>
                </c:pt>
                <c:pt idx="454">
                  <c:v>-62.1882488296269</c:v>
                </c:pt>
                <c:pt idx="455">
                  <c:v>-62.223322935151813</c:v>
                </c:pt>
                <c:pt idx="456">
                  <c:v>-62.25726357015408</c:v>
                </c:pt>
                <c:pt idx="457">
                  <c:v>-62.29011988859434</c:v>
                </c:pt>
                <c:pt idx="458">
                  <c:v>-62.321940364284814</c:v>
                </c:pt>
                <c:pt idx="459">
                  <c:v>-62.352772783100079</c:v>
                </c:pt>
                <c:pt idx="460">
                  <c:v>-62.382664239242402</c:v>
                </c:pt>
                <c:pt idx="461">
                  <c:v>-62.411661135377756</c:v>
                </c:pt>
                <c:pt idx="462">
                  <c:v>-62.439809186453992</c:v>
                </c:pt>
                <c:pt idx="463">
                  <c:v>-62.467153427004035</c:v>
                </c:pt>
                <c:pt idx="464">
                  <c:v>-62.493738221735597</c:v>
                </c:pt>
                <c:pt idx="465">
                  <c:v>-62.519607279207733</c:v>
                </c:pt>
                <c:pt idx="466">
                  <c:v>-62.544803668390983</c:v>
                </c:pt>
                <c:pt idx="467">
                  <c:v>-62.56936983791234</c:v>
                </c:pt>
                <c:pt idx="468">
                  <c:v>-62.593347637786927</c:v>
                </c:pt>
                <c:pt idx="469">
                  <c:v>-62.616778343439201</c:v>
                </c:pt>
                <c:pt idx="470">
                  <c:v>-62.639702681824893</c:v>
                </c:pt>
                <c:pt idx="471">
                  <c:v>-62.662160859463825</c:v>
                </c:pt>
                <c:pt idx="472">
                  <c:v>-62.68419259220029</c:v>
                </c:pt>
                <c:pt idx="473">
                  <c:v>-62.705837136514369</c:v>
                </c:pt>
                <c:pt idx="474">
                  <c:v>-62.727133322208729</c:v>
                </c:pt>
                <c:pt idx="475">
                  <c:v>-62.748119586301868</c:v>
                </c:pt>
                <c:pt idx="476">
                  <c:v>-62.768834007964003</c:v>
                </c:pt>
                <c:pt idx="477">
                  <c:v>-62.789314344334144</c:v>
                </c:pt>
                <c:pt idx="478">
                  <c:v>-62.809598067061991</c:v>
                </c:pt>
                <c:pt idx="479">
                  <c:v>-62.829722399421392</c:v>
                </c:pt>
                <c:pt idx="480">
                  <c:v>-62.849724353845545</c:v>
                </c:pt>
                <c:pt idx="481">
                  <c:v>-62.86964076973571</c:v>
                </c:pt>
                <c:pt idx="482">
                  <c:v>-62.889508351396053</c:v>
                </c:pt>
                <c:pt idx="483">
                  <c:v>-62.909363705951861</c:v>
                </c:pt>
                <c:pt idx="484">
                  <c:v>-62.929243381105195</c:v>
                </c:pt>
                <c:pt idx="485">
                  <c:v>-62.949183902583684</c:v>
                </c:pt>
                <c:pt idx="486">
                  <c:v>-62.969221811136968</c:v>
                </c:pt>
                <c:pt idx="487">
                  <c:v>-62.989393698934542</c:v>
                </c:pt>
                <c:pt idx="488">
                  <c:v>-63.009736245216203</c:v>
                </c:pt>
                <c:pt idx="489">
                  <c:v>-63.030286251042895</c:v>
                </c:pt>
                <c:pt idx="490">
                  <c:v>-63.051080672993997</c:v>
                </c:pt>
                <c:pt idx="491">
                  <c:v>-63.072156655653956</c:v>
                </c:pt>
                <c:pt idx="492">
                  <c:v>-63.093551562723114</c:v>
                </c:pt>
                <c:pt idx="493">
                  <c:v>-63.11530300658977</c:v>
                </c:pt>
                <c:pt idx="494">
                  <c:v>-63.137448876188756</c:v>
                </c:pt>
                <c:pt idx="495">
                  <c:v>-63.160027362972791</c:v>
                </c:pt>
                <c:pt idx="496">
                  <c:v>-63.183076984813702</c:v>
                </c:pt>
                <c:pt idx="497">
                  <c:v>-63.206636607648662</c:v>
                </c:pt>
                <c:pt idx="498">
                  <c:v>-63.230745464680503</c:v>
                </c:pt>
                <c:pt idx="499">
                  <c:v>-63.25544317293668</c:v>
                </c:pt>
                <c:pt idx="500">
                  <c:v>-63.280769746988945</c:v>
                </c:pt>
                <c:pt idx="501">
                  <c:v>-63.30676560963208</c:v>
                </c:pt>
                <c:pt idx="502">
                  <c:v>-63.333471599317065</c:v>
                </c:pt>
                <c:pt idx="503">
                  <c:v>-63.360928974134353</c:v>
                </c:pt>
                <c:pt idx="504">
                  <c:v>-63.389179412143015</c:v>
                </c:pt>
                <c:pt idx="505">
                  <c:v>-63.418265007841654</c:v>
                </c:pt>
                <c:pt idx="506">
                  <c:v>-63.44822826458276</c:v>
                </c:pt>
                <c:pt idx="507">
                  <c:v>-63.479112082736542</c:v>
                </c:pt>
                <c:pt idx="508">
                  <c:v>-63.510959743417146</c:v>
                </c:pt>
                <c:pt idx="509">
                  <c:v>-63.543814887595929</c:v>
                </c:pt>
                <c:pt idx="510">
                  <c:v>-63.577721490437938</c:v>
                </c:pt>
                <c:pt idx="511">
                  <c:v>-63.612723830713989</c:v>
                </c:pt>
                <c:pt idx="512">
                  <c:v>-63.648866455157489</c:v>
                </c:pt>
                <c:pt idx="513">
                  <c:v>-63.686194137661083</c:v>
                </c:pt>
                <c:pt idx="514">
                  <c:v>-63.724751833226499</c:v>
                </c:pt>
                <c:pt idx="515">
                  <c:v>-63.764584626615964</c:v>
                </c:pt>
                <c:pt idx="516">
                  <c:v>-63.805737675680717</c:v>
                </c:pt>
                <c:pt idx="517">
                  <c:v>-63.848256149378237</c:v>
                </c:pt>
                <c:pt idx="518">
                  <c:v>-63.892185160530026</c:v>
                </c:pt>
                <c:pt idx="519">
                  <c:v>-63.93756969340896</c:v>
                </c:pt>
                <c:pt idx="520">
                  <c:v>-63.984454526294421</c:v>
                </c:pt>
                <c:pt idx="521">
                  <c:v>-64.032884149176624</c:v>
                </c:pt>
                <c:pt idx="522">
                  <c:v>-64.082902676841911</c:v>
                </c:pt>
                <c:pt idx="523">
                  <c:v>-64.134553757622527</c:v>
                </c:pt>
                <c:pt idx="524">
                  <c:v>-64.187880478145388</c:v>
                </c:pt>
                <c:pt idx="525">
                  <c:v>-64.2429252644678</c:v>
                </c:pt>
                <c:pt idx="526">
                  <c:v>-64.299729780040536</c:v>
                </c:pt>
                <c:pt idx="527">
                  <c:v>-64.358334820991544</c:v>
                </c:pt>
                <c:pt idx="528">
                  <c:v>-64.418780209272313</c:v>
                </c:pt>
                <c:pt idx="529">
                  <c:v>-64.481104684259321</c:v>
                </c:pt>
                <c:pt idx="530">
                  <c:v>-64.545345793444454</c:v>
                </c:pt>
                <c:pt idx="531">
                  <c:v>-64.611539782891953</c:v>
                </c:pt>
                <c:pt idx="532">
                  <c:v>-64.679721488171097</c:v>
                </c:pt>
                <c:pt idx="533">
                  <c:v>-64.749924226507034</c:v>
                </c:pt>
                <c:pt idx="534">
                  <c:v>-64.822179690909351</c:v>
                </c:pt>
                <c:pt idx="535">
                  <c:v>-64.896517847058064</c:v>
                </c:pt>
                <c:pt idx="536">
                  <c:v>-64.97296683372825</c:v>
                </c:pt>
                <c:pt idx="537">
                  <c:v>-65.051552867535321</c:v>
                </c:pt>
                <c:pt idx="538">
                  <c:v>-65.132300152769517</c:v>
                </c:pt>
                <c:pt idx="539">
                  <c:v>-65.215230797067164</c:v>
                </c:pt>
                <c:pt idx="540">
                  <c:v>-65.300364733635831</c:v>
                </c:pt>
                <c:pt idx="541">
                  <c:v>-65.387719650709869</c:v>
                </c:pt>
              </c:numCache>
            </c:numRef>
          </c:yVal>
          <c:smooth val="1"/>
          <c:extLst>
            <c:ext xmlns:c16="http://schemas.microsoft.com/office/drawing/2014/chart" uri="{C3380CC4-5D6E-409C-BE32-E72D297353CC}">
              <c16:uniqueId val="{00000000-4112-4198-BA07-A5CA116F5102}"/>
            </c:ext>
          </c:extLst>
        </c:ser>
        <c:dLbls>
          <c:showLegendKey val="0"/>
          <c:showVal val="0"/>
          <c:showCatName val="0"/>
          <c:showSerName val="0"/>
          <c:showPercent val="0"/>
          <c:showBubbleSize val="0"/>
        </c:dLbls>
        <c:axId val="331786112"/>
        <c:axId val="331788288"/>
      </c:scatterChart>
      <c:scatterChart>
        <c:scatterStyle val="smoothMarker"/>
        <c:varyColors val="0"/>
        <c:ser>
          <c:idx val="1"/>
          <c:order val="1"/>
          <c:tx>
            <c:v>Phase (deg)</c:v>
          </c:tx>
          <c:marker>
            <c:symbol val="none"/>
          </c:marker>
          <c:xVal>
            <c:numRef>
              <c:f>CCM_Loop_Modeling_Isolated!$O$19:$O$560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CCM_Loop_Modeling_Isolated!$AE$19:$AE$560</c:f>
              <c:numCache>
                <c:formatCode>General</c:formatCode>
                <c:ptCount val="542"/>
                <c:pt idx="0">
                  <c:v>-73.487773699064746</c:v>
                </c:pt>
                <c:pt idx="1">
                  <c:v>-73.848835783167985</c:v>
                </c:pt>
                <c:pt idx="2">
                  <c:v>-74.203074380075904</c:v>
                </c:pt>
                <c:pt idx="3">
                  <c:v>-74.55057150763146</c:v>
                </c:pt>
                <c:pt idx="4">
                  <c:v>-74.891411638486929</c:v>
                </c:pt>
                <c:pt idx="5">
                  <c:v>-75.225681442183173</c:v>
                </c:pt>
                <c:pt idx="6">
                  <c:v>-75.55346953944948</c:v>
                </c:pt>
                <c:pt idx="7">
                  <c:v>-75.874866268628168</c:v>
                </c:pt>
                <c:pt idx="8">
                  <c:v>-76.189963464078346</c:v>
                </c:pt>
                <c:pt idx="9">
                  <c:v>-76.49885424636507</c:v>
                </c:pt>
                <c:pt idx="10">
                  <c:v>-76.801632824002169</c:v>
                </c:pt>
                <c:pt idx="11">
                  <c:v>-77.098394306484408</c:v>
                </c:pt>
                <c:pt idx="12">
                  <c:v>-77.389234528313878</c:v>
                </c:pt>
                <c:pt idx="13">
                  <c:v>-77.674249883705485</c:v>
                </c:pt>
                <c:pt idx="14">
                  <c:v>-77.95353717163394</c:v>
                </c:pt>
                <c:pt idx="15">
                  <c:v>-78.227193450875006</c:v>
                </c:pt>
                <c:pt idx="16">
                  <c:v>-78.495315904677213</c:v>
                </c:pt>
                <c:pt idx="17">
                  <c:v>-78.758001714697585</c:v>
                </c:pt>
                <c:pt idx="18">
                  <c:v>-79.015347943827592</c:v>
                </c:pt>
                <c:pt idx="19">
                  <c:v>-79.267451427534695</c:v>
                </c:pt>
                <c:pt idx="20">
                  <c:v>-79.514408673344846</c:v>
                </c:pt>
                <c:pt idx="21">
                  <c:v>-79.756315768094481</c:v>
                </c:pt>
                <c:pt idx="22">
                  <c:v>-79.993268292583551</c:v>
                </c:pt>
                <c:pt idx="23">
                  <c:v>-80.225361243269631</c:v>
                </c:pt>
                <c:pt idx="24">
                  <c:v>-80.452688960645574</c:v>
                </c:pt>
                <c:pt idx="25">
                  <c:v>-80.675345063957394</c:v>
                </c:pt>
                <c:pt idx="26">
                  <c:v>-80.893422391922257</c:v>
                </c:pt>
                <c:pt idx="27">
                  <c:v>-81.1070129491209</c:v>
                </c:pt>
                <c:pt idx="28">
                  <c:v>-81.316207857746505</c:v>
                </c:pt>
                <c:pt idx="29">
                  <c:v>-81.521097314403846</c:v>
                </c:pt>
                <c:pt idx="30">
                  <c:v>-81.72177055166361</c:v>
                </c:pt>
                <c:pt idx="31">
                  <c:v>-81.918315804088394</c:v>
                </c:pt>
                <c:pt idx="32">
                  <c:v>-82.110820278457481</c:v>
                </c:pt>
                <c:pt idx="33">
                  <c:v>-82.299370127930715</c:v>
                </c:pt>
                <c:pt idx="34">
                  <c:v>-82.484050429901004</c:v>
                </c:pt>
                <c:pt idx="35">
                  <c:v>-82.664945167298413</c:v>
                </c:pt>
                <c:pt idx="36">
                  <c:v>-82.842137213119003</c:v>
                </c:pt>
                <c:pt idx="37">
                  <c:v>-83.015708317962535</c:v>
                </c:pt>
                <c:pt idx="38">
                  <c:v>-83.18573910037442</c:v>
                </c:pt>
                <c:pt idx="39">
                  <c:v>-83.352309039797419</c:v>
                </c:pt>
                <c:pt idx="40">
                  <c:v>-83.515496471948893</c:v>
                </c:pt>
                <c:pt idx="41">
                  <c:v>-83.675378586449739</c:v>
                </c:pt>
                <c:pt idx="42">
                  <c:v>-83.832031426539544</c:v>
                </c:pt>
                <c:pt idx="43">
                  <c:v>-83.98552989072337</c:v>
                </c:pt>
                <c:pt idx="44">
                  <c:v>-84.135947736202809</c:v>
                </c:pt>
                <c:pt idx="45">
                  <c:v>-84.283357583954029</c:v>
                </c:pt>
                <c:pt idx="46">
                  <c:v>-84.427830925321913</c:v>
                </c:pt>
                <c:pt idx="47">
                  <c:v>-84.569438130009388</c:v>
                </c:pt>
                <c:pt idx="48">
                  <c:v>-84.708248455346421</c:v>
                </c:pt>
                <c:pt idx="49">
                  <c:v>-84.844330056731394</c:v>
                </c:pt>
                <c:pt idx="50">
                  <c:v>-84.977749999144962</c:v>
                </c:pt>
                <c:pt idx="51">
                  <c:v>-85.108574269640755</c:v>
                </c:pt>
                <c:pt idx="52">
                  <c:v>-85.236867790726379</c:v>
                </c:pt>
                <c:pt idx="53">
                  <c:v>-85.362694434551216</c:v>
                </c:pt>
                <c:pt idx="54">
                  <c:v>-85.486117037825124</c:v>
                </c:pt>
                <c:pt idx="55">
                  <c:v>-85.607197417396122</c:v>
                </c:pt>
                <c:pt idx="56">
                  <c:v>-85.725996386420704</c:v>
                </c:pt>
                <c:pt idx="57">
                  <c:v>-85.842573771064977</c:v>
                </c:pt>
                <c:pt idx="58">
                  <c:v>-85.956988427678922</c:v>
                </c:pt>
                <c:pt idx="59">
                  <c:v>-86.069298260390696</c:v>
                </c:pt>
                <c:pt idx="60">
                  <c:v>-86.179560239071876</c:v>
                </c:pt>
                <c:pt idx="61">
                  <c:v>-86.287830417627347</c:v>
                </c:pt>
                <c:pt idx="62">
                  <c:v>-86.39416395256859</c:v>
                </c:pt>
                <c:pt idx="63">
                  <c:v>-86.498615121830667</c:v>
                </c:pt>
                <c:pt idx="64">
                  <c:v>-86.601237343797777</c:v>
                </c:pt>
                <c:pt idx="65">
                  <c:v>-86.702083196504148</c:v>
                </c:pt>
                <c:pt idx="66">
                  <c:v>-86.8012044369802</c:v>
                </c:pt>
                <c:pt idx="67">
                  <c:v>-86.898652020716369</c:v>
                </c:pt>
                <c:pt idx="68">
                  <c:v>-86.994476121219705</c:v>
                </c:pt>
                <c:pt idx="69">
                  <c:v>-87.088726149639513</c:v>
                </c:pt>
                <c:pt idx="70">
                  <c:v>-87.181450774442268</c:v>
                </c:pt>
                <c:pt idx="71">
                  <c:v>-87.272697941115865</c:v>
                </c:pt>
                <c:pt idx="72">
                  <c:v>-87.362514891886846</c:v>
                </c:pt>
                <c:pt idx="73">
                  <c:v>-87.450948185435152</c:v>
                </c:pt>
                <c:pt idx="74">
                  <c:v>-87.538043716592497</c:v>
                </c:pt>
                <c:pt idx="75">
                  <c:v>-87.623846736012212</c:v>
                </c:pt>
                <c:pt idx="76">
                  <c:v>-87.708401869800085</c:v>
                </c:pt>
                <c:pt idx="77">
                  <c:v>-87.791753139096144</c:v>
                </c:pt>
                <c:pt idx="78">
                  <c:v>-87.873943979599758</c:v>
                </c:pt>
                <c:pt idx="79">
                  <c:v>-87.955017261030264</c:v>
                </c:pt>
                <c:pt idx="80">
                  <c:v>-88.035015306517636</c:v>
                </c:pt>
                <c:pt idx="81">
                  <c:v>-88.113979911917767</c:v>
                </c:pt>
                <c:pt idx="82">
                  <c:v>-88.191952365048422</c:v>
                </c:pt>
                <c:pt idx="83">
                  <c:v>-88.268973464842333</c:v>
                </c:pt>
                <c:pt idx="84">
                  <c:v>-88.345083540415075</c:v>
                </c:pt>
                <c:pt idx="85">
                  <c:v>-88.420322470046202</c:v>
                </c:pt>
                <c:pt idx="86">
                  <c:v>-88.494729700072014</c:v>
                </c:pt>
                <c:pt idx="87">
                  <c:v>-88.568344263690065</c:v>
                </c:pt>
                <c:pt idx="88">
                  <c:v>-88.641204799675165</c:v>
                </c:pt>
                <c:pt idx="89">
                  <c:v>-88.71334957100801</c:v>
                </c:pt>
                <c:pt idx="90">
                  <c:v>-88.784816483417131</c:v>
                </c:pt>
                <c:pt idx="91">
                  <c:v>-88.855643103836428</c:v>
                </c:pt>
                <c:pt idx="92">
                  <c:v>-88.925866678779812</c:v>
                </c:pt>
                <c:pt idx="93">
                  <c:v>-88.995524152636037</c:v>
                </c:pt>
                <c:pt idx="94">
                  <c:v>-89.064652185886231</c:v>
                </c:pt>
                <c:pt idx="95">
                  <c:v>-89.133287173247552</c:v>
                </c:pt>
                <c:pt idx="96">
                  <c:v>-89.201465261746378</c:v>
                </c:pt>
                <c:pt idx="97">
                  <c:v>-89.269222368725053</c:v>
                </c:pt>
                <c:pt idx="98">
                  <c:v>-89.336594199786134</c:v>
                </c:pt>
                <c:pt idx="99">
                  <c:v>-89.403616266678512</c:v>
                </c:pt>
                <c:pt idx="100">
                  <c:v>-89.470323905130059</c:v>
                </c:pt>
                <c:pt idx="101">
                  <c:v>-89.536752292631462</c:v>
                </c:pt>
                <c:pt idx="102">
                  <c:v>-89.602936466176189</c:v>
                </c:pt>
                <c:pt idx="103">
                  <c:v>-89.668911339961809</c:v>
                </c:pt>
                <c:pt idx="104">
                  <c:v>-89.734711723057771</c:v>
                </c:pt>
                <c:pt idx="105">
                  <c:v>-89.800372337045104</c:v>
                </c:pt>
                <c:pt idx="106">
                  <c:v>-89.865927833633549</c:v>
                </c:pt>
                <c:pt idx="107">
                  <c:v>-89.931412812261655</c:v>
                </c:pt>
                <c:pt idx="108">
                  <c:v>-89.996861837685572</c:v>
                </c:pt>
                <c:pt idx="109">
                  <c:v>-90.062309457562222</c:v>
                </c:pt>
                <c:pt idx="110">
                  <c:v>-90.127790220032765</c:v>
                </c:pt>
                <c:pt idx="111">
                  <c:v>-90.193338691312078</c:v>
                </c:pt>
                <c:pt idx="112">
                  <c:v>-90.2589894732902</c:v>
                </c:pt>
                <c:pt idx="113">
                  <c:v>-90.324777221151678</c:v>
                </c:pt>
                <c:pt idx="114">
                  <c:v>-90.390736661018636</c:v>
                </c:pt>
                <c:pt idx="115">
                  <c:v>-90.456902607623419</c:v>
                </c:pt>
                <c:pt idx="116">
                  <c:v>-90.523309982016855</c:v>
                </c:pt>
                <c:pt idx="117">
                  <c:v>-90.58999382931782</c:v>
                </c:pt>
                <c:pt idx="118">
                  <c:v>-90.656989336509938</c:v>
                </c:pt>
                <c:pt idx="119">
                  <c:v>-90.724331850291179</c:v>
                </c:pt>
                <c:pt idx="120">
                  <c:v>-90.792056894981869</c:v>
                </c:pt>
                <c:pt idx="121">
                  <c:v>-90.860200190496997</c:v>
                </c:pt>
                <c:pt idx="122">
                  <c:v>-90.928797670387738</c:v>
                </c:pt>
                <c:pt idx="123">
                  <c:v>-90.997885499958187</c:v>
                </c:pt>
                <c:pt idx="124">
                  <c:v>-91.067500094461764</c:v>
                </c:pt>
                <c:pt idx="125">
                  <c:v>-91.137678137383048</c:v>
                </c:pt>
                <c:pt idx="126">
                  <c:v>-91.208456598809491</c:v>
                </c:pt>
                <c:pt idx="127">
                  <c:v>-91.279872753897521</c:v>
                </c:pt>
                <c:pt idx="128">
                  <c:v>-91.351964201437895</c:v>
                </c:pt>
                <c:pt idx="129">
                  <c:v>-91.424768882524518</c:v>
                </c:pt>
                <c:pt idx="130">
                  <c:v>-91.498325099330089</c:v>
                </c:pt>
                <c:pt idx="131">
                  <c:v>-91.572671533993045</c:v>
                </c:pt>
                <c:pt idx="132">
                  <c:v>-91.647847267618459</c:v>
                </c:pt>
                <c:pt idx="133">
                  <c:v>-91.723891799396526</c:v>
                </c:pt>
                <c:pt idx="134">
                  <c:v>-91.80084506584069</c:v>
                </c:pt>
                <c:pt idx="135">
                  <c:v>-91.878747460148134</c:v>
                </c:pt>
                <c:pt idx="136">
                  <c:v>-91.957639851684164</c:v>
                </c:pt>
                <c:pt idx="137">
                  <c:v>-92.037563605592013</c:v>
                </c:pt>
                <c:pt idx="138">
                  <c:v>-92.118560602528461</c:v>
                </c:pt>
                <c:pt idx="139">
                  <c:v>-92.200673258526308</c:v>
                </c:pt>
                <c:pt idx="140">
                  <c:v>-92.283944544982418</c:v>
                </c:pt>
                <c:pt idx="141">
                  <c:v>-92.368418008771243</c:v>
                </c:pt>
                <c:pt idx="142">
                  <c:v>-92.454137792481433</c:v>
                </c:pt>
                <c:pt idx="143">
                  <c:v>-92.541148654773451</c:v>
                </c:pt>
                <c:pt idx="144">
                  <c:v>-92.62949599085502</c:v>
                </c:pt>
                <c:pt idx="145">
                  <c:v>-92.719225853069844</c:v>
                </c:pt>
                <c:pt idx="146">
                  <c:v>-92.810384971595084</c:v>
                </c:pt>
                <c:pt idx="147">
                  <c:v>-92.903020775241131</c:v>
                </c:pt>
                <c:pt idx="148">
                  <c:v>-92.997181412346649</c:v>
                </c:pt>
                <c:pt idx="149">
                  <c:v>-93.092915771760261</c:v>
                </c:pt>
                <c:pt idx="150">
                  <c:v>-93.190273503900087</c:v>
                </c:pt>
                <c:pt idx="151">
                  <c:v>-93.289305041879231</c:v>
                </c:pt>
                <c:pt idx="152">
                  <c:v>-93.390061622685167</c:v>
                </c:pt>
                <c:pt idx="153">
                  <c:v>-93.492595308399686</c:v>
                </c:pt>
                <c:pt idx="154">
                  <c:v>-93.596959007442962</c:v>
                </c:pt>
                <c:pt idx="155">
                  <c:v>-93.703206495824844</c:v>
                </c:pt>
                <c:pt idx="156">
                  <c:v>-93.811392438383919</c:v>
                </c:pt>
                <c:pt idx="157">
                  <c:v>-93.921572409993757</c:v>
                </c:pt>
                <c:pt idx="158">
                  <c:v>-94.033802916711537</c:v>
                </c:pt>
                <c:pt idx="159">
                  <c:v>-94.148141416844737</c:v>
                </c:pt>
                <c:pt idx="160">
                  <c:v>-94.264646341907067</c:v>
                </c:pt>
                <c:pt idx="161">
                  <c:v>-94.383377117432218</c:v>
                </c:pt>
                <c:pt idx="162">
                  <c:v>-94.504394183612959</c:v>
                </c:pt>
                <c:pt idx="163">
                  <c:v>-94.627759015728472</c:v>
                </c:pt>
                <c:pt idx="164">
                  <c:v>-94.753534144319232</c:v>
                </c:pt>
                <c:pt idx="165">
                  <c:v>-94.881783175067781</c:v>
                </c:pt>
                <c:pt idx="166">
                  <c:v>-95.0125708083376</c:v>
                </c:pt>
                <c:pt idx="167">
                  <c:v>-95.14596285831955</c:v>
                </c:pt>
                <c:pt idx="168">
                  <c:v>-95.282026271731624</c:v>
                </c:pt>
                <c:pt idx="169">
                  <c:v>-95.420829146012807</c:v>
                </c:pt>
                <c:pt idx="170">
                  <c:v>-95.562440746947715</c:v>
                </c:pt>
                <c:pt idx="171">
                  <c:v>-95.706931525653246</c:v>
                </c:pt>
                <c:pt idx="172">
                  <c:v>-95.854373134854384</c:v>
                </c:pt>
                <c:pt idx="173">
                  <c:v>-96.004838444370264</c:v>
                </c:pt>
                <c:pt idx="174">
                  <c:v>-96.15840155572576</c:v>
                </c:pt>
                <c:pt idx="175">
                  <c:v>-96.315137815798238</c:v>
                </c:pt>
                <c:pt idx="176">
                  <c:v>-96.475123829402946</c:v>
                </c:pt>
                <c:pt idx="177">
                  <c:v>-96.638437470713342</c:v>
                </c:pt>
                <c:pt idx="178">
                  <c:v>-96.80515789340599</c:v>
                </c:pt>
                <c:pt idx="179">
                  <c:v>-96.975365539412721</c:v>
                </c:pt>
                <c:pt idx="180">
                  <c:v>-97.149142146154119</c:v>
                </c:pt>
                <c:pt idx="181">
                  <c:v>-97.326570752121384</c:v>
                </c:pt>
                <c:pt idx="182">
                  <c:v>-97.507735700665265</c:v>
                </c:pt>
                <c:pt idx="183">
                  <c:v>-97.69272264184012</c:v>
                </c:pt>
                <c:pt idx="184">
                  <c:v>-97.881618532145666</c:v>
                </c:pt>
                <c:pt idx="185">
                  <c:v>-98.074511631995662</c:v>
                </c:pt>
                <c:pt idx="186">
                  <c:v>-98.271491500736289</c:v>
                </c:pt>
                <c:pt idx="187">
                  <c:v>-98.472648989024449</c:v>
                </c:pt>
                <c:pt idx="188">
                  <c:v>-98.678076228367644</c:v>
                </c:pt>
                <c:pt idx="189">
                  <c:v>-98.887866617614989</c:v>
                </c:pt>
                <c:pt idx="190">
                  <c:v>-99.102114806179301</c:v>
                </c:pt>
                <c:pt idx="191">
                  <c:v>-99.320916673758418</c:v>
                </c:pt>
                <c:pt idx="192">
                  <c:v>-99.544369306311907</c:v>
                </c:pt>
                <c:pt idx="193">
                  <c:v>-99.772570968039901</c:v>
                </c:pt>
                <c:pt idx="194">
                  <c:v>-100.0056210690967</c:v>
                </c:pt>
                <c:pt idx="195">
                  <c:v>-100.24362012876253</c:v>
                </c:pt>
                <c:pt idx="196">
                  <c:v>-100.48666973378403</c:v>
                </c:pt>
                <c:pt idx="197">
                  <c:v>-100.73487249158315</c:v>
                </c:pt>
                <c:pt idx="198">
                  <c:v>-100.98833197802406</c:v>
                </c:pt>
                <c:pt idx="199">
                  <c:v>-101.24715267941511</c:v>
                </c:pt>
                <c:pt idx="200">
                  <c:v>-101.51143992841403</c:v>
                </c:pt>
                <c:pt idx="201">
                  <c:v>-101.78129983349639</c:v>
                </c:pt>
                <c:pt idx="202">
                  <c:v>-102.05683920163541</c:v>
                </c:pt>
                <c:pt idx="203">
                  <c:v>-102.33816545383691</c:v>
                </c:pt>
                <c:pt idx="204">
                  <c:v>-102.62538653316524</c:v>
                </c:pt>
                <c:pt idx="205">
                  <c:v>-102.91861080489048</c:v>
                </c:pt>
                <c:pt idx="206">
                  <c:v>-103.2179469483859</c:v>
                </c:pt>
                <c:pt idx="207">
                  <c:v>-103.52350384040142</c:v>
                </c:pt>
                <c:pt idx="208">
                  <c:v>-103.83539042934051</c:v>
                </c:pt>
                <c:pt idx="209">
                  <c:v>-104.15371560017148</c:v>
                </c:pt>
                <c:pt idx="210">
                  <c:v>-104.47858802960945</c:v>
                </c:pt>
                <c:pt idx="211">
                  <c:v>-104.81011603121591</c:v>
                </c:pt>
                <c:pt idx="212">
                  <c:v>-105.14840739007499</c:v>
                </c:pt>
                <c:pt idx="213">
                  <c:v>-105.49356918672267</c:v>
                </c:pt>
                <c:pt idx="214">
                  <c:v>-105.84570761002574</c:v>
                </c:pt>
                <c:pt idx="215">
                  <c:v>-106.20492775873539</c:v>
                </c:pt>
                <c:pt idx="216">
                  <c:v>-106.57133343146782</c:v>
                </c:pt>
                <c:pt idx="217">
                  <c:v>-106.94502690490566</c:v>
                </c:pt>
                <c:pt idx="218">
                  <c:v>-107.32610870005365</c:v>
                </c:pt>
                <c:pt idx="219">
                  <c:v>-107.71467733643097</c:v>
                </c:pt>
                <c:pt idx="220">
                  <c:v>-108.11082907414233</c:v>
                </c:pt>
                <c:pt idx="221">
                  <c:v>-108.51465764383035</c:v>
                </c:pt>
                <c:pt idx="222">
                  <c:v>-108.92625396458253</c:v>
                </c:pt>
                <c:pt idx="223">
                  <c:v>-109.34570584995042</c:v>
                </c:pt>
                <c:pt idx="224">
                  <c:v>-109.7730977023169</c:v>
                </c:pt>
                <c:pt idx="225">
                  <c:v>-110.20851019595436</c:v>
                </c:pt>
                <c:pt idx="226">
                  <c:v>-110.65201994921213</c:v>
                </c:pt>
                <c:pt idx="227">
                  <c:v>-111.10369918638835</c:v>
                </c:pt>
                <c:pt idx="228">
                  <c:v>-111.56361538996241</c:v>
                </c:pt>
                <c:pt idx="229">
                  <c:v>-112.03183094399709</c:v>
                </c:pt>
                <c:pt idx="230">
                  <c:v>-112.50840276964955</c:v>
                </c:pt>
                <c:pt idx="231">
                  <c:v>-112.99338195388493</c:v>
                </c:pt>
                <c:pt idx="232">
                  <c:v>-113.48681337263037</c:v>
                </c:pt>
                <c:pt idx="233">
                  <c:v>-113.98873530977143</c:v>
                </c:pt>
                <c:pt idx="234">
                  <c:v>-114.49917907354799</c:v>
                </c:pt>
                <c:pt idx="235">
                  <c:v>-115.01816861208019</c:v>
                </c:pt>
                <c:pt idx="236">
                  <c:v>-115.54572012991643</c:v>
                </c:pt>
                <c:pt idx="237">
                  <c:v>-116.08184170766324</c:v>
                </c:pt>
                <c:pt idx="238">
                  <c:v>-116.62653292692599</c:v>
                </c:pt>
                <c:pt idx="239">
                  <c:v>-117.17978450294289</c:v>
                </c:pt>
                <c:pt idx="240">
                  <c:v>-117.74157792745294</c:v>
                </c:pt>
                <c:pt idx="241">
                  <c:v>-118.3118851244823</c:v>
                </c:pt>
                <c:pt idx="242">
                  <c:v>-118.89066812185843</c:v>
                </c:pt>
                <c:pt idx="243">
                  <c:v>-119.47787874137887</c:v>
                </c:pt>
                <c:pt idx="244">
                  <c:v>-120.07345831066141</c:v>
                </c:pt>
                <c:pt idx="245">
                  <c:v>-120.67733739976346</c:v>
                </c:pt>
                <c:pt idx="246">
                  <c:v>-121.28943558571665</c:v>
                </c:pt>
                <c:pt idx="247">
                  <c:v>-121.90966124813248</c:v>
                </c:pt>
                <c:pt idx="248">
                  <c:v>-122.53791139902231</c:v>
                </c:pt>
                <c:pt idx="249">
                  <c:v>-123.17407154992257</c:v>
                </c:pt>
                <c:pt idx="250">
                  <c:v>-123.8180156193357</c:v>
                </c:pt>
                <c:pt idx="251">
                  <c:v>-124.46960588335403</c:v>
                </c:pt>
                <c:pt idx="252">
                  <c:v>-125.1286929721774</c:v>
                </c:pt>
                <c:pt idx="253">
                  <c:v>-125.79511591501802</c:v>
                </c:pt>
                <c:pt idx="254">
                  <c:v>-126.46870223562139</c:v>
                </c:pt>
                <c:pt idx="255">
                  <c:v>-127.14926810034578</c:v>
                </c:pt>
                <c:pt idx="256">
                  <c:v>-127.83661852038419</c:v>
                </c:pt>
                <c:pt idx="257">
                  <c:v>-128.53054760934825</c:v>
                </c:pt>
                <c:pt idx="258">
                  <c:v>-129.23083889699166</c:v>
                </c:pt>
                <c:pt idx="259">
                  <c:v>-129.93726569941802</c:v>
                </c:pt>
                <c:pt idx="260">
                  <c:v>-130.64959154561649</c:v>
                </c:pt>
                <c:pt idx="261">
                  <c:v>-131.36757065967473</c:v>
                </c:pt>
                <c:pt idx="262">
                  <c:v>-132.09094849748436</c:v>
                </c:pt>
                <c:pt idx="263">
                  <c:v>-132.81946233622855</c:v>
                </c:pt>
                <c:pt idx="264">
                  <c:v>-133.55284191438943</c:v>
                </c:pt>
                <c:pt idx="265">
                  <c:v>-134.2908101195012</c:v>
                </c:pt>
                <c:pt idx="266">
                  <c:v>-135.0330837203305</c:v>
                </c:pt>
                <c:pt idx="267">
                  <c:v>-135.77937413969286</c:v>
                </c:pt>
                <c:pt idx="268">
                  <c:v>-136.52938826362345</c:v>
                </c:pt>
                <c:pt idx="269">
                  <c:v>-137.28282928221682</c:v>
                </c:pt>
                <c:pt idx="270">
                  <c:v>-138.03939755704022</c:v>
                </c:pt>
                <c:pt idx="271">
                  <c:v>-138.79879150971655</c:v>
                </c:pt>
                <c:pt idx="272">
                  <c:v>-139.56070852599129</c:v>
                </c:pt>
                <c:pt idx="273">
                  <c:v>-140.32484586939015</c:v>
                </c:pt>
                <c:pt idx="274">
                  <c:v>-141.0909015984349</c:v>
                </c:pt>
                <c:pt idx="275">
                  <c:v>-141.85857548131756</c:v>
                </c:pt>
                <c:pt idx="276">
                  <c:v>-142.62756990192716</c:v>
                </c:pt>
                <c:pt idx="277">
                  <c:v>-143.39759075119994</c:v>
                </c:pt>
                <c:pt idx="278">
                  <c:v>-144.16834829790648</c:v>
                </c:pt>
                <c:pt idx="279">
                  <c:v>-144.93955803319179</c:v>
                </c:pt>
                <c:pt idx="280">
                  <c:v>-145.71094148346108</c:v>
                </c:pt>
                <c:pt idx="281">
                  <c:v>-146.482226986527</c:v>
                </c:pt>
                <c:pt idx="282">
                  <c:v>-147.25315042631863</c:v>
                </c:pt>
                <c:pt idx="283">
                  <c:v>-148.02345592186788</c:v>
                </c:pt>
                <c:pt idx="284">
                  <c:v>-148.79289646675969</c:v>
                </c:pt>
                <c:pt idx="285">
                  <c:v>-149.56123451570957</c:v>
                </c:pt>
                <c:pt idx="286">
                  <c:v>-150.32824251544457</c:v>
                </c:pt>
                <c:pt idx="287">
                  <c:v>-151.09370337758816</c:v>
                </c:pt>
                <c:pt idx="288">
                  <c:v>-151.85741089176221</c:v>
                </c:pt>
                <c:pt idx="289">
                  <c:v>-152.61917007764583</c:v>
                </c:pt>
                <c:pt idx="290">
                  <c:v>-153.37879747523633</c:v>
                </c:pt>
                <c:pt idx="291">
                  <c:v>-154.13612137304159</c:v>
                </c:pt>
                <c:pt idx="292">
                  <c:v>-154.89098197439981</c:v>
                </c:pt>
                <c:pt idx="293">
                  <c:v>-155.64323150255851</c:v>
                </c:pt>
                <c:pt idx="294">
                  <c:v>-156.39273424553608</c:v>
                </c:pt>
                <c:pt idx="295">
                  <c:v>-157.13936654216226</c:v>
                </c:pt>
                <c:pt idx="296">
                  <c:v>-157.88301671100569</c:v>
                </c:pt>
                <c:pt idx="297">
                  <c:v>-158.62358492418645</c:v>
                </c:pt>
                <c:pt idx="298">
                  <c:v>-159.36098302830192</c:v>
                </c:pt>
                <c:pt idx="299">
                  <c:v>-160.09513431489975</c:v>
                </c:pt>
                <c:pt idx="300">
                  <c:v>-160.82597324307983</c:v>
                </c:pt>
                <c:pt idx="301">
                  <c:v>-161.55344511692826</c:v>
                </c:pt>
                <c:pt idx="302">
                  <c:v>-162.2775057205655</c:v>
                </c:pt>
                <c:pt idx="303">
                  <c:v>-162.99812091363029</c:v>
                </c:pt>
                <c:pt idx="304">
                  <c:v>-163.71526619004072</c:v>
                </c:pt>
                <c:pt idx="305">
                  <c:v>-164.42892620285355</c:v>
                </c:pt>
                <c:pt idx="306">
                  <c:v>-165.13909425800372</c:v>
                </c:pt>
                <c:pt idx="307">
                  <c:v>-165.84577177964468</c:v>
                </c:pt>
                <c:pt idx="308">
                  <c:v>-166.54896774973196</c:v>
                </c:pt>
                <c:pt idx="309">
                  <c:v>-167.24869812439943</c:v>
                </c:pt>
                <c:pt idx="310">
                  <c:v>-167.94498522957448</c:v>
                </c:pt>
                <c:pt idx="311">
                  <c:v>-168.63785713817248</c:v>
                </c:pt>
                <c:pt idx="312">
                  <c:v>-169.32734703109486</c:v>
                </c:pt>
                <c:pt idx="313">
                  <c:v>-170.01349254414791</c:v>
                </c:pt>
                <c:pt idx="314">
                  <c:v>-170.69633510288529</c:v>
                </c:pt>
                <c:pt idx="315">
                  <c:v>-171.37591924728198</c:v>
                </c:pt>
                <c:pt idx="316">
                  <c:v>-172.05229194804406</c:v>
                </c:pt>
                <c:pt idx="317">
                  <c:v>-172.72550191627897</c:v>
                </c:pt>
                <c:pt idx="318">
                  <c:v>-173.39559890818072</c:v>
                </c:pt>
                <c:pt idx="319">
                  <c:v>-174.06263302631831</c:v>
                </c:pt>
                <c:pt idx="320">
                  <c:v>-174.72665401907966</c:v>
                </c:pt>
                <c:pt idx="321">
                  <c:v>-175.38771057979034</c:v>
                </c:pt>
                <c:pt idx="322">
                  <c:v>-176.04584964701726</c:v>
                </c:pt>
                <c:pt idx="323">
                  <c:v>-176.70111570757251</c:v>
                </c:pt>
                <c:pt idx="324">
                  <c:v>-177.3535501037542</c:v>
                </c:pt>
                <c:pt idx="325">
                  <c:v>-178.00319034640012</c:v>
                </c:pt>
                <c:pt idx="326">
                  <c:v>-178.65006943538577</c:v>
                </c:pt>
                <c:pt idx="327">
                  <c:v>-179.29421518926918</c:v>
                </c:pt>
                <c:pt idx="328">
                  <c:v>-179.93564958586524</c:v>
                </c:pt>
                <c:pt idx="329">
                  <c:v>179.42561188436292</c:v>
                </c:pt>
                <c:pt idx="330">
                  <c:v>178.78956085011319</c:v>
                </c:pt>
                <c:pt idx="331">
                  <c:v>178.15619667413949</c:v>
                </c:pt>
                <c:pt idx="332">
                  <c:v>177.52552704901208</c:v>
                </c:pt>
                <c:pt idx="333">
                  <c:v>176.89756857138025</c:v>
                </c:pt>
                <c:pt idx="334">
                  <c:v>176.2723472922616</c:v>
                </c:pt>
                <c:pt idx="335">
                  <c:v>175.64989924074629</c:v>
                </c:pt>
                <c:pt idx="336">
                  <c:v>175.03027091839385</c:v>
                </c:pt>
                <c:pt idx="337">
                  <c:v>174.41351976148027</c:v>
                </c:pt>
                <c:pt idx="338">
                  <c:v>173.79971456817023</c:v>
                </c:pt>
                <c:pt idx="339">
                  <c:v>173.18893588759363</c:v>
                </c:pt>
                <c:pt idx="340">
                  <c:v>172.5812763677574</c:v>
                </c:pt>
                <c:pt idx="341">
                  <c:v>171.9768410591808</c:v>
                </c:pt>
                <c:pt idx="342">
                  <c:v>171.37574767113924</c:v>
                </c:pt>
                <c:pt idx="343">
                  <c:v>170.77812677742341</c:v>
                </c:pt>
                <c:pt idx="344">
                  <c:v>170.1841219685779</c:v>
                </c:pt>
                <c:pt idx="345">
                  <c:v>169.59388994768204</c:v>
                </c:pt>
                <c:pt idx="346">
                  <c:v>169.00760056687037</c:v>
                </c:pt>
                <c:pt idx="347">
                  <c:v>168.42543680196846</c:v>
                </c:pt>
                <c:pt idx="348">
                  <c:v>167.84759466283853</c:v>
                </c:pt>
                <c:pt idx="349">
                  <c:v>167.27428303729766</c:v>
                </c:pt>
                <c:pt idx="350">
                  <c:v>166.70572346677667</c:v>
                </c:pt>
                <c:pt idx="351">
                  <c:v>166.14214985223938</c:v>
                </c:pt>
                <c:pt idx="352">
                  <c:v>165.58380808927171</c:v>
                </c:pt>
                <c:pt idx="353">
                  <c:v>165.03095563168011</c:v>
                </c:pt>
                <c:pt idx="354">
                  <c:v>164.48386098339762</c:v>
                </c:pt>
                <c:pt idx="355">
                  <c:v>163.94280311899379</c:v>
                </c:pt>
                <c:pt idx="356">
                  <c:v>163.40807083359036</c:v>
                </c:pt>
                <c:pt idx="357">
                  <c:v>162.87996202352718</c:v>
                </c:pt>
                <c:pt idx="358">
                  <c:v>162.35878289965774</c:v>
                </c:pt>
                <c:pt idx="359">
                  <c:v>161.84484713570743</c:v>
                </c:pt>
                <c:pt idx="360">
                  <c:v>161.33847495466193</c:v>
                </c:pt>
                <c:pt idx="361">
                  <c:v>160.83999215669314</c:v>
                </c:pt>
                <c:pt idx="362">
                  <c:v>160.34972909263038</c:v>
                </c:pt>
                <c:pt idx="363">
                  <c:v>159.86801958746952</c:v>
                </c:pt>
                <c:pt idx="364">
                  <c:v>159.39519981886383</c:v>
                </c:pt>
                <c:pt idx="365">
                  <c:v>158.931607155937</c:v>
                </c:pt>
                <c:pt idx="366">
                  <c:v>158.47757896411571</c:v>
                </c:pt>
                <c:pt idx="367">
                  <c:v>158.03345138199128</c:v>
                </c:pt>
                <c:pt idx="368">
                  <c:v>157.59955807644775</c:v>
                </c:pt>
                <c:pt idx="369">
                  <c:v>157.17622898249564</c:v>
                </c:pt>
                <c:pt idx="370">
                  <c:v>156.76378903436043</c:v>
                </c:pt>
                <c:pt idx="371">
                  <c:v>156.36255689444127</c:v>
                </c:pt>
                <c:pt idx="372">
                  <c:v>155.97284368674897</c:v>
                </c:pt>
                <c:pt idx="373">
                  <c:v>155.59495174137356</c:v>
                </c:pt>
                <c:pt idx="374">
                  <c:v>155.22917335641148</c:v>
                </c:pt>
                <c:pt idx="375">
                  <c:v>154.87578958360828</c:v>
                </c:pt>
                <c:pt idx="376">
                  <c:v>154.53506904375917</c:v>
                </c:pt>
                <c:pt idx="377">
                  <c:v>154.2072667776462</c:v>
                </c:pt>
                <c:pt idx="378">
                  <c:v>153.89262313799262</c:v>
                </c:pt>
                <c:pt idx="379">
                  <c:v>153.5913627275946</c:v>
                </c:pt>
                <c:pt idx="380">
                  <c:v>153.30369338844193</c:v>
                </c:pt>
                <c:pt idx="381">
                  <c:v>153.02980524627355</c:v>
                </c:pt>
                <c:pt idx="382">
                  <c:v>152.76986981464557</c:v>
                </c:pt>
                <c:pt idx="383">
                  <c:v>152.52403916221303</c:v>
                </c:pt>
                <c:pt idx="384">
                  <c:v>152.29244514655056</c:v>
                </c:pt>
                <c:pt idx="385">
                  <c:v>152.07519871747226</c:v>
                </c:pt>
                <c:pt idx="386">
                  <c:v>151.87238929244918</c:v>
                </c:pt>
                <c:pt idx="387">
                  <c:v>151.68408420637766</c:v>
                </c:pt>
                <c:pt idx="388">
                  <c:v>151.51032823761844</c:v>
                </c:pt>
                <c:pt idx="389">
                  <c:v>151.3511432119081</c:v>
                </c:pt>
                <c:pt idx="390">
                  <c:v>151.20652768543491</c:v>
                </c:pt>
                <c:pt idx="391">
                  <c:v>151.07645670808526</c:v>
                </c:pt>
                <c:pt idx="392">
                  <c:v>150.96088166757988</c:v>
                </c:pt>
                <c:pt idx="393">
                  <c:v>150.85973021494408</c:v>
                </c:pt>
                <c:pt idx="394">
                  <c:v>150.772906271496</c:v>
                </c:pt>
                <c:pt idx="395">
                  <c:v>150.70029011726047</c:v>
                </c:pt>
                <c:pt idx="396">
                  <c:v>150.64173856045707</c:v>
                </c:pt>
                <c:pt idx="397">
                  <c:v>150.59708518743292</c:v>
                </c:pt>
                <c:pt idx="398">
                  <c:v>150.56614069213879</c:v>
                </c:pt>
                <c:pt idx="399">
                  <c:v>150.54869328394841</c:v>
                </c:pt>
                <c:pt idx="400">
                  <c:v>150.54450917232703</c:v>
                </c:pt>
                <c:pt idx="401">
                  <c:v>150.55333312654051</c:v>
                </c:pt>
                <c:pt idx="402">
                  <c:v>150.57488910825887</c:v>
                </c:pt>
                <c:pt idx="403">
                  <c:v>150.6088809745801</c:v>
                </c:pt>
                <c:pt idx="404">
                  <c:v>150.65499324863325</c:v>
                </c:pt>
                <c:pt idx="405">
                  <c:v>150.71289195456438</c:v>
                </c:pt>
                <c:pt idx="406">
                  <c:v>150.78222551333471</c:v>
                </c:pt>
                <c:pt idx="407">
                  <c:v>150.86262569539258</c:v>
                </c:pt>
                <c:pt idx="408">
                  <c:v>150.95370862590647</c:v>
                </c:pt>
                <c:pt idx="409">
                  <c:v>151.05507583788929</c:v>
                </c:pt>
                <c:pt idx="410">
                  <c:v>151.16631536819787</c:v>
                </c:pt>
                <c:pt idx="411">
                  <c:v>151.28700289106487</c:v>
                </c:pt>
                <c:pt idx="412">
                  <c:v>151.41670288352708</c:v>
                </c:pt>
                <c:pt idx="413">
                  <c:v>151.55496981684894</c:v>
                </c:pt>
                <c:pt idx="414">
                  <c:v>151.70134936781912</c:v>
                </c:pt>
                <c:pt idx="415">
                  <c:v>151.85537964362706</c:v>
                </c:pt>
                <c:pt idx="416">
                  <c:v>152.01659241389757</c:v>
                </c:pt>
                <c:pt idx="417">
                  <c:v>152.184514343405</c:v>
                </c:pt>
                <c:pt idx="418">
                  <c:v>152.35866821897139</c:v>
                </c:pt>
                <c:pt idx="419">
                  <c:v>152.53857416411634</c:v>
                </c:pt>
                <c:pt idx="420">
                  <c:v>152.72375083514657</c:v>
                </c:pt>
                <c:pt idx="421">
                  <c:v>152.91371659254537</c:v>
                </c:pt>
                <c:pt idx="422">
                  <c:v>153.1079906417778</c:v>
                </c:pt>
                <c:pt idx="423">
                  <c:v>153.30609413791615</c:v>
                </c:pt>
                <c:pt idx="424">
                  <c:v>153.5075512488616</c:v>
                </c:pt>
                <c:pt idx="425">
                  <c:v>153.71189017232871</c:v>
                </c:pt>
                <c:pt idx="426">
                  <c:v>153.91864410222121</c:v>
                </c:pt>
                <c:pt idx="427">
                  <c:v>154.12735214050892</c:v>
                </c:pt>
                <c:pt idx="428">
                  <c:v>154.33756015123561</c:v>
                </c:pt>
                <c:pt idx="429">
                  <c:v>154.54882155382407</c:v>
                </c:pt>
                <c:pt idx="430">
                  <c:v>154.76069805340094</c:v>
                </c:pt>
                <c:pt idx="431">
                  <c:v>154.97276030642155</c:v>
                </c:pt>
                <c:pt idx="432">
                  <c:v>155.18458852043494</c:v>
                </c:pt>
                <c:pt idx="433">
                  <c:v>155.39577298737575</c:v>
                </c:pt>
                <c:pt idx="434">
                  <c:v>155.60591455030502</c:v>
                </c:pt>
                <c:pt idx="435">
                  <c:v>155.81462500403046</c:v>
                </c:pt>
                <c:pt idx="436">
                  <c:v>156.02152743052017</c:v>
                </c:pt>
                <c:pt idx="437">
                  <c:v>156.22625647046976</c:v>
                </c:pt>
                <c:pt idx="438">
                  <c:v>156.42845853280136</c:v>
                </c:pt>
                <c:pt idx="439">
                  <c:v>156.62779194423445</c:v>
                </c:pt>
                <c:pt idx="440">
                  <c:v>156.82392704140582</c:v>
                </c:pt>
                <c:pt idx="441">
                  <c:v>157.01654620829851</c:v>
                </c:pt>
                <c:pt idx="442">
                  <c:v>157.2053438619763</c:v>
                </c:pt>
                <c:pt idx="443">
                  <c:v>157.39002638981981</c:v>
                </c:pt>
                <c:pt idx="444">
                  <c:v>157.5703120416145</c:v>
                </c:pt>
                <c:pt idx="445">
                  <c:v>157.7459307799439</c:v>
                </c:pt>
                <c:pt idx="446">
                  <c:v>157.91662409242153</c:v>
                </c:pt>
                <c:pt idx="447">
                  <c:v>158.08214476932125</c:v>
                </c:pt>
                <c:pt idx="448">
                  <c:v>158.24225665016615</c:v>
                </c:pt>
                <c:pt idx="449">
                  <c:v>158.3967343428067</c:v>
                </c:pt>
                <c:pt idx="450">
                  <c:v>158.54536291845332</c:v>
                </c:pt>
                <c:pt idx="451">
                  <c:v>158.68793758604767</c:v>
                </c:pt>
                <c:pt idx="452">
                  <c:v>158.82426334924574</c:v>
                </c:pt>
                <c:pt idx="453">
                  <c:v>158.95415464916715</c:v>
                </c:pt>
                <c:pt idx="454">
                  <c:v>159.07743499591828</c:v>
                </c:pt>
                <c:pt idx="455">
                  <c:v>159.19393659175535</c:v>
                </c:pt>
                <c:pt idx="456">
                  <c:v>159.30349994858574</c:v>
                </c:pt>
                <c:pt idx="457">
                  <c:v>159.40597350234739</c:v>
                </c:pt>
                <c:pt idx="458">
                  <c:v>159.50121322663645</c:v>
                </c:pt>
                <c:pt idx="459">
                  <c:v>159.58908224778108</c:v>
                </c:pt>
                <c:pt idx="460">
                  <c:v>159.66945046339717</c:v>
                </c:pt>
                <c:pt idx="461">
                  <c:v>159.7421941662929</c:v>
                </c:pt>
                <c:pt idx="462">
                  <c:v>159.80719567542934</c:v>
                </c:pt>
                <c:pt idx="463">
                  <c:v>159.86434297548965</c:v>
                </c:pt>
                <c:pt idx="464">
                  <c:v>159.91352936646169</c:v>
                </c:pt>
                <c:pt idx="465">
                  <c:v>159.9546531244975</c:v>
                </c:pt>
                <c:pt idx="466">
                  <c:v>159.98761717517954</c:v>
                </c:pt>
                <c:pt idx="467">
                  <c:v>160.01232878020366</c:v>
                </c:pt>
                <c:pt idx="468">
                  <c:v>160.0286992383669</c:v>
                </c:pt>
                <c:pt idx="469">
                  <c:v>160.03664360165047</c:v>
                </c:pt>
                <c:pt idx="470">
                  <c:v>160.03608040708244</c:v>
                </c:pt>
                <c:pt idx="471">
                  <c:v>160.02693142498279</c:v>
                </c:pt>
                <c:pt idx="472">
                  <c:v>160.00912142411002</c:v>
                </c:pt>
                <c:pt idx="473">
                  <c:v>159.98257795415822</c:v>
                </c:pt>
                <c:pt idx="474">
                  <c:v>159.94723114598875</c:v>
                </c:pt>
                <c:pt idx="475">
                  <c:v>159.90301352992321</c:v>
                </c:pt>
                <c:pt idx="476">
                  <c:v>159.84985987237729</c:v>
                </c:pt>
                <c:pt idx="477">
                  <c:v>159.78770703106622</c:v>
                </c:pt>
                <c:pt idx="478">
                  <c:v>159.71649382897968</c:v>
                </c:pt>
                <c:pt idx="479">
                  <c:v>159.63616094728661</c:v>
                </c:pt>
                <c:pt idx="480">
                  <c:v>159.54665083730029</c:v>
                </c:pt>
                <c:pt idx="481">
                  <c:v>159.44790765161406</c:v>
                </c:pt>
                <c:pt idx="482">
                  <c:v>159.33987719448572</c:v>
                </c:pt>
                <c:pt idx="483">
                  <c:v>159.22250689153742</c:v>
                </c:pt>
                <c:pt idx="484">
                  <c:v>159.09574577880917</c:v>
                </c:pt>
                <c:pt idx="485">
                  <c:v>158.95954451119175</c:v>
                </c:pt>
                <c:pt idx="486">
                  <c:v>158.81385539024097</c:v>
                </c:pt>
                <c:pt idx="487">
                  <c:v>158.65863241135813</c:v>
                </c:pt>
                <c:pt idx="488">
                  <c:v>158.49383133029758</c:v>
                </c:pt>
                <c:pt idx="489">
                  <c:v>158.31940974893948</c:v>
                </c:pt>
                <c:pt idx="490">
                  <c:v>158.13532722023774</c:v>
                </c:pt>
                <c:pt idx="491">
                  <c:v>157.94154537222462</c:v>
                </c:pt>
                <c:pt idx="492">
                  <c:v>157.73802805091464</c:v>
                </c:pt>
                <c:pt idx="493">
                  <c:v>157.52474148191394</c:v>
                </c:pt>
                <c:pt idx="494">
                  <c:v>157.30165445049278</c:v>
                </c:pt>
                <c:pt idx="495">
                  <c:v>157.06873849982819</c:v>
                </c:pt>
                <c:pt idx="496">
                  <c:v>156.82596814706449</c:v>
                </c:pt>
                <c:pt idx="497">
                  <c:v>156.57332111677263</c:v>
                </c:pt>
                <c:pt idx="498">
                  <c:v>156.31077859131597</c:v>
                </c:pt>
                <c:pt idx="499">
                  <c:v>156.03832547754914</c:v>
                </c:pt>
                <c:pt idx="500">
                  <c:v>155.75595068918221</c:v>
                </c:pt>
                <c:pt idx="501">
                  <c:v>155.46364744405096</c:v>
                </c:pt>
                <c:pt idx="502">
                  <c:v>155.16141357541761</c:v>
                </c:pt>
                <c:pt idx="503">
                  <c:v>154.84925185631769</c:v>
                </c:pt>
                <c:pt idx="504">
                  <c:v>154.52717033584179</c:v>
                </c:pt>
                <c:pt idx="505">
                  <c:v>154.19518268610821</c:v>
                </c:pt>
                <c:pt idx="506">
                  <c:v>153.85330855854468</c:v>
                </c:pt>
                <c:pt idx="507">
                  <c:v>153.50157394795298</c:v>
                </c:pt>
                <c:pt idx="508">
                  <c:v>153.14001156267386</c:v>
                </c:pt>
                <c:pt idx="509">
                  <c:v>152.76866119902161</c:v>
                </c:pt>
                <c:pt idx="510">
                  <c:v>152.38757011799484</c:v>
                </c:pt>
                <c:pt idx="511">
                  <c:v>151.99679342211093</c:v>
                </c:pt>
                <c:pt idx="512">
                  <c:v>151.59639443005503</c:v>
                </c:pt>
                <c:pt idx="513">
                  <c:v>151.18644504667941</c:v>
                </c:pt>
                <c:pt idx="514">
                  <c:v>150.76702612573678</c:v>
                </c:pt>
                <c:pt idx="515">
                  <c:v>150.33822782259463</c:v>
                </c:pt>
                <c:pt idx="516">
                  <c:v>149.90014993404034</c:v>
                </c:pt>
                <c:pt idx="517">
                  <c:v>149.45290222217747</c:v>
                </c:pt>
                <c:pt idx="518">
                  <c:v>148.99660471931392</c:v>
                </c:pt>
                <c:pt idx="519">
                  <c:v>148.53138801065779</c:v>
                </c:pt>
                <c:pt idx="520">
                  <c:v>148.05739349159336</c:v>
                </c:pt>
                <c:pt idx="521">
                  <c:v>147.57477359627467</c:v>
                </c:pt>
                <c:pt idx="522">
                  <c:v>147.08369199428171</c:v>
                </c:pt>
                <c:pt idx="523">
                  <c:v>146.58432375212212</c:v>
                </c:pt>
                <c:pt idx="524">
                  <c:v>146.07685545643372</c:v>
                </c:pt>
                <c:pt idx="525">
                  <c:v>145.56148529585505</c:v>
                </c:pt>
                <c:pt idx="526">
                  <c:v>145.0384230986887</c:v>
                </c:pt>
                <c:pt idx="527">
                  <c:v>144.50789032367396</c:v>
                </c:pt>
                <c:pt idx="528">
                  <c:v>143.9701200014261</c:v>
                </c:pt>
                <c:pt idx="529">
                  <c:v>143.42535662437726</c:v>
                </c:pt>
                <c:pt idx="530">
                  <c:v>142.87385598339048</c:v>
                </c:pt>
                <c:pt idx="531">
                  <c:v>142.31588494956429</c:v>
                </c:pt>
                <c:pt idx="532">
                  <c:v>141.75172120017109</c:v>
                </c:pt>
                <c:pt idx="533">
                  <c:v>141.18165288809067</c:v>
                </c:pt>
                <c:pt idx="534">
                  <c:v>140.6059782545901</c:v>
                </c:pt>
                <c:pt idx="535">
                  <c:v>140.02500518577887</c:v>
                </c:pt>
                <c:pt idx="536">
                  <c:v>139.43905071360302</c:v>
                </c:pt>
                <c:pt idx="537">
                  <c:v>138.84844046275168</c:v>
                </c:pt>
                <c:pt idx="538">
                  <c:v>138.25350804540315</c:v>
                </c:pt>
                <c:pt idx="539">
                  <c:v>137.65459440625796</c:v>
                </c:pt>
                <c:pt idx="540">
                  <c:v>137.05204712083929</c:v>
                </c:pt>
                <c:pt idx="541">
                  <c:v>136.44621965053784</c:v>
                </c:pt>
              </c:numCache>
            </c:numRef>
          </c:yVal>
          <c:smooth val="1"/>
          <c:extLst>
            <c:ext xmlns:c16="http://schemas.microsoft.com/office/drawing/2014/chart" uri="{C3380CC4-5D6E-409C-BE32-E72D297353CC}">
              <c16:uniqueId val="{00000001-4112-4198-BA07-A5CA116F5102}"/>
            </c:ext>
          </c:extLst>
        </c:ser>
        <c:dLbls>
          <c:showLegendKey val="0"/>
          <c:showVal val="0"/>
          <c:showCatName val="0"/>
          <c:showSerName val="0"/>
          <c:showPercent val="0"/>
          <c:showBubbleSize val="0"/>
        </c:dLbls>
        <c:axId val="331791744"/>
        <c:axId val="331790208"/>
      </c:scatterChart>
      <c:valAx>
        <c:axId val="331786112"/>
        <c:scaling>
          <c:logBase val="10"/>
          <c:orientation val="minMax"/>
          <c:max val="2200000"/>
          <c:min val="10"/>
        </c:scaling>
        <c:delete val="0"/>
        <c:axPos val="b"/>
        <c:minorGridlines/>
        <c:title>
          <c:tx>
            <c:rich>
              <a:bodyPr/>
              <a:lstStyle/>
              <a:p>
                <a:pPr>
                  <a:defRPr/>
                </a:pPr>
                <a:r>
                  <a:rPr lang="en-US"/>
                  <a:t>Frequency</a:t>
                </a:r>
                <a:r>
                  <a:rPr lang="en-US" baseline="0"/>
                  <a:t> (Hz)</a:t>
                </a:r>
                <a:endParaRPr lang="en-US"/>
              </a:p>
            </c:rich>
          </c:tx>
          <c:overlay val="0"/>
        </c:title>
        <c:numFmt formatCode="0" sourceLinked="0"/>
        <c:majorTickMark val="out"/>
        <c:minorTickMark val="none"/>
        <c:tickLblPos val="low"/>
        <c:crossAx val="331788288"/>
        <c:crosses val="autoZero"/>
        <c:crossBetween val="midCat"/>
      </c:valAx>
      <c:valAx>
        <c:axId val="331788288"/>
        <c:scaling>
          <c:orientation val="minMax"/>
          <c:max val="40"/>
          <c:min val="-40"/>
        </c:scaling>
        <c:delete val="0"/>
        <c:axPos val="l"/>
        <c:majorGridlines/>
        <c:minorGridlines/>
        <c:title>
          <c:tx>
            <c:rich>
              <a:bodyPr rot="-5400000" vert="horz"/>
              <a:lstStyle/>
              <a:p>
                <a:pPr>
                  <a:defRPr/>
                </a:pPr>
                <a:r>
                  <a:rPr lang="en-US"/>
                  <a:t>Gain</a:t>
                </a:r>
                <a:r>
                  <a:rPr lang="en-US" baseline="0"/>
                  <a:t> (dB)</a:t>
                </a:r>
                <a:endParaRPr lang="en-US"/>
              </a:p>
            </c:rich>
          </c:tx>
          <c:overlay val="0"/>
        </c:title>
        <c:numFmt formatCode="General" sourceLinked="0"/>
        <c:majorTickMark val="out"/>
        <c:minorTickMark val="none"/>
        <c:tickLblPos val="nextTo"/>
        <c:crossAx val="331786112"/>
        <c:crosses val="autoZero"/>
        <c:crossBetween val="midCat"/>
        <c:majorUnit val="20"/>
        <c:minorUnit val="10"/>
      </c:valAx>
      <c:valAx>
        <c:axId val="331790208"/>
        <c:scaling>
          <c:orientation val="minMax"/>
          <c:max val="180"/>
          <c:min val="-180"/>
        </c:scaling>
        <c:delete val="0"/>
        <c:axPos val="r"/>
        <c:numFmt formatCode="General" sourceLinked="1"/>
        <c:majorTickMark val="out"/>
        <c:minorTickMark val="none"/>
        <c:tickLblPos val="nextTo"/>
        <c:crossAx val="331791744"/>
        <c:crosses val="max"/>
        <c:crossBetween val="midCat"/>
        <c:majorUnit val="90"/>
        <c:minorUnit val="45"/>
      </c:valAx>
      <c:valAx>
        <c:axId val="331791744"/>
        <c:scaling>
          <c:logBase val="10"/>
          <c:orientation val="minMax"/>
        </c:scaling>
        <c:delete val="1"/>
        <c:axPos val="b"/>
        <c:numFmt formatCode="0.00" sourceLinked="1"/>
        <c:majorTickMark val="out"/>
        <c:minorTickMark val="none"/>
        <c:tickLblPos val="nextTo"/>
        <c:crossAx val="331790208"/>
        <c:crosses val="autoZero"/>
        <c:crossBetween val="midCat"/>
      </c:valAx>
    </c:plotArea>
    <c:legend>
      <c:legendPos val="r"/>
      <c:layout>
        <c:manualLayout>
          <c:xMode val="edge"/>
          <c:yMode val="edge"/>
          <c:x val="0.79880558209512509"/>
          <c:y val="0.14321997959862004"/>
          <c:w val="0.13459449276057311"/>
          <c:h val="0.10691609861199437"/>
        </c:manualLayout>
      </c:layout>
      <c:overlay val="1"/>
      <c:spPr>
        <a:solidFill>
          <a:schemeClr val="bg1"/>
        </a:solidFill>
      </c:spPr>
    </c:legend>
    <c:plotVisOnly val="1"/>
    <c:dispBlanksAs val="gap"/>
    <c:showDLblsOverMax val="0"/>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lgn="l">
              <a:defRPr sz="2400"/>
            </a:pPr>
            <a:r>
              <a:rPr lang="el-GR" sz="2400"/>
              <a:t>η</a:t>
            </a:r>
            <a:endParaRPr lang="en-US" sz="2400"/>
          </a:p>
        </c:rich>
      </c:tx>
      <c:layout>
        <c:manualLayout>
          <c:xMode val="edge"/>
          <c:yMode val="edge"/>
          <c:x val="9.2321838295158831E-2"/>
          <c:y val="6.7069081153588199E-3"/>
        </c:manualLayout>
      </c:layout>
      <c:overlay val="1"/>
    </c:title>
    <c:autoTitleDeleted val="0"/>
    <c:plotArea>
      <c:layout>
        <c:manualLayout>
          <c:layoutTarget val="inner"/>
          <c:xMode val="edge"/>
          <c:yMode val="edge"/>
          <c:x val="9.4343575816580413E-2"/>
          <c:y val="0.12777504924560487"/>
          <c:w val="0.82170691922728745"/>
          <c:h val="0.74982770867653059"/>
        </c:manualLayout>
      </c:layout>
      <c:scatterChart>
        <c:scatterStyle val="smoothMarker"/>
        <c:varyColors val="0"/>
        <c:ser>
          <c:idx val="0"/>
          <c:order val="0"/>
          <c:tx>
            <c:v>Eff</c:v>
          </c:tx>
          <c:spPr>
            <a:ln>
              <a:solidFill>
                <a:srgbClr val="FF0000"/>
              </a:solidFill>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Eff_vs_IOUT!$BZ$7:$BZ$157</c:f>
              <c:numCache>
                <c:formatCode>General</c:formatCode>
                <c:ptCount val="151"/>
                <c:pt idx="0">
                  <c:v>0</c:v>
                </c:pt>
                <c:pt idx="1">
                  <c:v>6.9104349545433763</c:v>
                </c:pt>
                <c:pt idx="2">
                  <c:v>12.823387718048037</c:v>
                </c:pt>
                <c:pt idx="3">
                  <c:v>17.936188279221803</c:v>
                </c:pt>
                <c:pt idx="4">
                  <c:v>22.39533017891296</c:v>
                </c:pt>
                <c:pt idx="5">
                  <c:v>26.31372330334824</c:v>
                </c:pt>
                <c:pt idx="6">
                  <c:v>29.779916078636436</c:v>
                </c:pt>
                <c:pt idx="7">
                  <c:v>32.86432486734271</c:v>
                </c:pt>
                <c:pt idx="8">
                  <c:v>35.623629433264171</c:v>
                </c:pt>
                <c:pt idx="9">
                  <c:v>38.103948620865765</c:v>
                </c:pt>
                <c:pt idx="10">
                  <c:v>40.343176127472312</c:v>
                </c:pt>
                <c:pt idx="11">
                  <c:v>42.372724757692545</c:v>
                </c:pt>
                <c:pt idx="12">
                  <c:v>44.218846584222696</c:v>
                </c:pt>
                <c:pt idx="13">
                  <c:v>45.903644339307306</c:v>
                </c:pt>
                <c:pt idx="14">
                  <c:v>47.445854894128217</c:v>
                </c:pt>
                <c:pt idx="15">
                  <c:v>48.861462399161283</c:v>
                </c:pt>
                <c:pt idx="16">
                  <c:v>50.164182651357912</c:v>
                </c:pt>
                <c:pt idx="17">
                  <c:v>51.365849079078593</c:v>
                </c:pt>
                <c:pt idx="18">
                  <c:v>52.476722825238006</c:v>
                </c:pt>
                <c:pt idx="19">
                  <c:v>53.505743737850977</c:v>
                </c:pt>
                <c:pt idx="20">
                  <c:v>54.46073496321624</c:v>
                </c:pt>
                <c:pt idx="21">
                  <c:v>55.348570819959953</c:v>
                </c:pt>
                <c:pt idx="22">
                  <c:v>56.175315396956414</c:v>
                </c:pt>
                <c:pt idx="23">
                  <c:v>56.946337646304315</c:v>
                </c:pt>
                <c:pt idx="24">
                  <c:v>57.666407480843262</c:v>
                </c:pt>
                <c:pt idx="25">
                  <c:v>58.3397764254903</c:v>
                </c:pt>
                <c:pt idx="26">
                  <c:v>58.970245635108675</c:v>
                </c:pt>
                <c:pt idx="27">
                  <c:v>59.561223522364891</c:v>
                </c:pt>
                <c:pt idx="28">
                  <c:v>60.115774795960995</c:v>
                </c:pt>
                <c:pt idx="29">
                  <c:v>60.636662362460456</c:v>
                </c:pt>
                <c:pt idx="30">
                  <c:v>61.126383271168628</c:v>
                </c:pt>
                <c:pt idx="31">
                  <c:v>61.587199664356106</c:v>
                </c:pt>
                <c:pt idx="32">
                  <c:v>62.021165521839848</c:v>
                </c:pt>
                <c:pt idx="33">
                  <c:v>62.430149849931837</c:v>
                </c:pt>
                <c:pt idx="34">
                  <c:v>62.815856852673058</c:v>
                </c:pt>
                <c:pt idx="35">
                  <c:v>63.179843532428436</c:v>
                </c:pt>
                <c:pt idx="36">
                  <c:v>63.523535092951533</c:v>
                </c:pt>
                <c:pt idx="37">
                  <c:v>63.84823845752593</c:v>
                </c:pt>
                <c:pt idx="38">
                  <c:v>64.155154165088561</c:v>
                </c:pt>
                <c:pt idx="39">
                  <c:v>64.445386866240824</c:v>
                </c:pt>
                <c:pt idx="40">
                  <c:v>64.719954607097392</c:v>
                </c:pt>
                <c:pt idx="41">
                  <c:v>64.979797060693329</c:v>
                </c:pt>
                <c:pt idx="42">
                  <c:v>65.225782842114683</c:v>
                </c:pt>
                <c:pt idx="43">
                  <c:v>65.458716023793571</c:v>
                </c:pt>
                <c:pt idx="44">
                  <c:v>65.679341950836388</c:v>
                </c:pt>
                <c:pt idx="45">
                  <c:v>65.888352442284173</c:v>
                </c:pt>
                <c:pt idx="46">
                  <c:v>66.086390452391569</c:v>
                </c:pt>
                <c:pt idx="47">
                  <c:v>66.274054255991516</c:v>
                </c:pt>
                <c:pt idx="48">
                  <c:v>66.451901213490302</c:v>
                </c:pt>
                <c:pt idx="49">
                  <c:v>66.620025168744064</c:v>
                </c:pt>
                <c:pt idx="50">
                  <c:v>66.773980927015359</c:v>
                </c:pt>
                <c:pt idx="51">
                  <c:v>66.918005739604297</c:v>
                </c:pt>
                <c:pt idx="52">
                  <c:v>67.052582819143211</c:v>
                </c:pt>
                <c:pt idx="53">
                  <c:v>67.178166387681856</c:v>
                </c:pt>
                <c:pt idx="54">
                  <c:v>67.295183800111232</c:v>
                </c:pt>
                <c:pt idx="55">
                  <c:v>67.40403748388195</c:v>
                </c:pt>
                <c:pt idx="56">
                  <c:v>67.505106713291866</c:v>
                </c:pt>
                <c:pt idx="57">
                  <c:v>67.598749234569368</c:v>
                </c:pt>
                <c:pt idx="58">
                  <c:v>67.685302756184711</c:v>
                </c:pt>
                <c:pt idx="59">
                  <c:v>67.765086317248475</c:v>
                </c:pt>
                <c:pt idx="60">
                  <c:v>67.838401545472635</c:v>
                </c:pt>
                <c:pt idx="61">
                  <c:v>67.905533814952022</c:v>
                </c:pt>
                <c:pt idx="62">
                  <c:v>67.966753312948768</c:v>
                </c:pt>
                <c:pt idx="63">
                  <c:v>68.02231602391366</c:v>
                </c:pt>
                <c:pt idx="64">
                  <c:v>68.072464638137092</c:v>
                </c:pt>
                <c:pt idx="65">
                  <c:v>68.117429391677646</c:v>
                </c:pt>
                <c:pt idx="66">
                  <c:v>68.15742884355403</c:v>
                </c:pt>
                <c:pt idx="67">
                  <c:v>68.192670595598386</c:v>
                </c:pt>
                <c:pt idx="68">
                  <c:v>68.223351959843697</c:v>
                </c:pt>
                <c:pt idx="69">
                  <c:v>68.249660577851628</c:v>
                </c:pt>
                <c:pt idx="70">
                  <c:v>68.271774995967888</c:v>
                </c:pt>
                <c:pt idx="71">
                  <c:v>68.289865200120076</c:v>
                </c:pt>
                <c:pt idx="72">
                  <c:v>68.304093113436807</c:v>
                </c:pt>
                <c:pt idx="73">
                  <c:v>68.314613059667522</c:v>
                </c:pt>
                <c:pt idx="74">
                  <c:v>68.321572195112651</c:v>
                </c:pt>
                <c:pt idx="75">
                  <c:v>68.325110911530118</c:v>
                </c:pt>
                <c:pt idx="76">
                  <c:v>68.325363212267973</c:v>
                </c:pt>
                <c:pt idx="77">
                  <c:v>68.322457063673482</c:v>
                </c:pt>
                <c:pt idx="78">
                  <c:v>68.316514723653398</c:v>
                </c:pt>
                <c:pt idx="79">
                  <c:v>68.307653049098647</c:v>
                </c:pt>
                <c:pt idx="80">
                  <c:v>68.295983783741093</c:v>
                </c:pt>
                <c:pt idx="81">
                  <c:v>68.281613827879497</c:v>
                </c:pt>
                <c:pt idx="82">
                  <c:v>68.264645491291645</c:v>
                </c:pt>
                <c:pt idx="83">
                  <c:v>68.245176730541758</c:v>
                </c:pt>
                <c:pt idx="84">
                  <c:v>68.223301371793909</c:v>
                </c:pt>
                <c:pt idx="85">
                  <c:v>68.1991093201528</c:v>
                </c:pt>
                <c:pt idx="86">
                  <c:v>68.172686756471734</c:v>
                </c:pt>
                <c:pt idx="87">
                  <c:v>68.144116322493488</c:v>
                </c:pt>
                <c:pt idx="88">
                  <c:v>68.113477295122209</c:v>
                </c:pt>
                <c:pt idx="89">
                  <c:v>68.080845750562517</c:v>
                </c:pt>
                <c:pt idx="90">
                  <c:v>68.046294719005743</c:v>
                </c:pt>
                <c:pt idx="91">
                  <c:v>68.009894330491534</c:v>
                </c:pt>
                <c:pt idx="92">
                  <c:v>67.971711952525609</c:v>
                </c:pt>
                <c:pt idx="93">
                  <c:v>67.931812319991664</c:v>
                </c:pt>
                <c:pt idx="94">
                  <c:v>67.890257657855187</c:v>
                </c:pt>
                <c:pt idx="95">
                  <c:v>67.8471077971207</c:v>
                </c:pt>
                <c:pt idx="96">
                  <c:v>67.802420284470728</c:v>
                </c:pt>
                <c:pt idx="97">
                  <c:v>67.756250485983642</c:v>
                </c:pt>
                <c:pt idx="98">
                  <c:v>67.708651685299586</c:v>
                </c:pt>
                <c:pt idx="99">
                  <c:v>67.659675176577352</c:v>
                </c:pt>
                <c:pt idx="100">
                  <c:v>67.6093703525612</c:v>
                </c:pt>
                <c:pt idx="101">
                  <c:v>67.557784788054775</c:v>
                </c:pt>
                <c:pt idx="102">
                  <c:v>67.504964319078169</c:v>
                </c:pt>
                <c:pt idx="103">
                  <c:v>67.450953117966108</c:v>
                </c:pt>
                <c:pt idx="104">
                  <c:v>67.395793764647337</c:v>
                </c:pt>
                <c:pt idx="105">
                  <c:v>67.339527314329246</c:v>
                </c:pt>
                <c:pt idx="106">
                  <c:v>67.282193361797098</c:v>
                </c:pt>
                <c:pt idx="107">
                  <c:v>67.223830102523152</c:v>
                </c:pt>
                <c:pt idx="108">
                  <c:v>67.164474390768319</c:v>
                </c:pt>
                <c:pt idx="109">
                  <c:v>67.104161794847315</c:v>
                </c:pt>
                <c:pt idx="110">
                  <c:v>67.042926649716932</c:v>
                </c:pt>
                <c:pt idx="111">
                  <c:v>66.980802107037007</c:v>
                </c:pt>
                <c:pt idx="112">
                  <c:v>66.917820182844451</c:v>
                </c:pt>
                <c:pt idx="113">
                  <c:v>66.854011802971471</c:v>
                </c:pt>
                <c:pt idx="114">
                  <c:v>66.78940684633109</c:v>
                </c:pt>
                <c:pt idx="115">
                  <c:v>66.724034186185818</c:v>
                </c:pt>
                <c:pt idx="116">
                  <c:v>66.657921729507308</c:v>
                </c:pt>
                <c:pt idx="117">
                  <c:v>66.591096454529591</c:v>
                </c:pt>
                <c:pt idx="118">
                  <c:v>66.52358444659086</c:v>
                </c:pt>
                <c:pt idx="119">
                  <c:v>66.455410932354155</c:v>
                </c:pt>
                <c:pt idx="120">
                  <c:v>66.386600312491353</c:v>
                </c:pt>
                <c:pt idx="121">
                  <c:v>66.317176192910239</c:v>
                </c:pt>
                <c:pt idx="122">
                  <c:v>66.247161414599191</c:v>
                </c:pt>
                <c:pt idx="123">
                  <c:v>66.176578082160333</c:v>
                </c:pt>
                <c:pt idx="124">
                  <c:v>66.105447591097672</c:v>
                </c:pt>
                <c:pt idx="125">
                  <c:v>66.03379065392248</c:v>
                </c:pt>
                <c:pt idx="126">
                  <c:v>65.96162732513541</c:v>
                </c:pt>
                <c:pt idx="127">
                  <c:v>65.88897702514079</c:v>
                </c:pt>
                <c:pt idx="128">
                  <c:v>65.815858563145881</c:v>
                </c:pt>
                <c:pt idx="129">
                  <c:v>65.742290159094651</c:v>
                </c:pt>
                <c:pt idx="130">
                  <c:v>65.668289464682928</c:v>
                </c:pt>
                <c:pt idx="131">
                  <c:v>65.593873583499445</c:v>
                </c:pt>
                <c:pt idx="132">
                  <c:v>65.519059090334466</c:v>
                </c:pt>
                <c:pt idx="133">
                  <c:v>65.443862049695682</c:v>
                </c:pt>
                <c:pt idx="134">
                  <c:v>65.368298033569005</c:v>
                </c:pt>
                <c:pt idx="135">
                  <c:v>65.292382138459516</c:v>
                </c:pt>
                <c:pt idx="136">
                  <c:v>65.216129001746268</c:v>
                </c:pt>
                <c:pt idx="137">
                  <c:v>65.139552817382778</c:v>
                </c:pt>
                <c:pt idx="138">
                  <c:v>65.062667350973243</c:v>
                </c:pt>
                <c:pt idx="139">
                  <c:v>64.985485954253292</c:v>
                </c:pt>
                <c:pt idx="140">
                  <c:v>64.908021579001911</c:v>
                </c:pt>
                <c:pt idx="141">
                  <c:v>64.830286790410753</c:v>
                </c:pt>
                <c:pt idx="142">
                  <c:v>64.752293779934831</c:v>
                </c:pt>
                <c:pt idx="143">
                  <c:v>64.674054377647849</c:v>
                </c:pt>
                <c:pt idx="144">
                  <c:v>64.595580064124263</c:v>
                </c:pt>
                <c:pt idx="145">
                  <c:v>64.516881981868664</c:v>
                </c:pt>
                <c:pt idx="146">
                  <c:v>64.437970946312504</c:v>
                </c:pt>
                <c:pt idx="147">
                  <c:v>64.358857456396919</c:v>
                </c:pt>
                <c:pt idx="148">
                  <c:v>64.279551704759754</c:v>
                </c:pt>
                <c:pt idx="149">
                  <c:v>64.20006358754334</c:v>
                </c:pt>
                <c:pt idx="150">
                  <c:v>64.120402713839837</c:v>
                </c:pt>
              </c:numCache>
            </c:numRef>
          </c:yVal>
          <c:smooth val="0"/>
          <c:extLst>
            <c:ext xmlns:c16="http://schemas.microsoft.com/office/drawing/2014/chart" uri="{C3380CC4-5D6E-409C-BE32-E72D297353CC}">
              <c16:uniqueId val="{00000000-69CC-4988-AFE4-E8A64CD28783}"/>
            </c:ext>
          </c:extLst>
        </c:ser>
        <c:dLbls>
          <c:showLegendKey val="0"/>
          <c:showVal val="0"/>
          <c:showCatName val="0"/>
          <c:showSerName val="0"/>
          <c:showPercent val="0"/>
          <c:showBubbleSize val="0"/>
        </c:dLbls>
        <c:axId val="586594176"/>
        <c:axId val="586595712"/>
      </c:scatterChart>
      <c:scatterChart>
        <c:scatterStyle val="smoothMarker"/>
        <c:varyColors val="0"/>
        <c:ser>
          <c:idx val="1"/>
          <c:order val="1"/>
          <c:tx>
            <c:v>MOSFET</c:v>
          </c:tx>
          <c:spPr>
            <a:ln>
              <a:solidFill>
                <a:schemeClr val="tx2">
                  <a:lumMod val="75000"/>
                </a:schemeClr>
              </a:solidFill>
              <a:prstDash val="dash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Eff_vs_IOUT!$AJ$7:$AJ$157</c:f>
              <c:numCache>
                <c:formatCode>General</c:formatCode>
                <c:ptCount val="151"/>
                <c:pt idx="0">
                  <c:v>0</c:v>
                </c:pt>
                <c:pt idx="1">
                  <c:v>7.4557462442911371E-4</c:v>
                </c:pt>
                <c:pt idx="2">
                  <c:v>1.0545451610377296E-3</c:v>
                </c:pt>
                <c:pt idx="3">
                  <c:v>1.2917244249182444E-3</c:v>
                </c:pt>
                <c:pt idx="4">
                  <c:v>1.4917577089069744E-3</c:v>
                </c:pt>
                <c:pt idx="5">
                  <c:v>1.6680625812094346E-3</c:v>
                </c:pt>
                <c:pt idx="6">
                  <c:v>1.8275194088921171E-3</c:v>
                </c:pt>
                <c:pt idx="7">
                  <c:v>1.9742148740515201E-3</c:v>
                </c:pt>
                <c:pt idx="8">
                  <c:v>2.110811306981659E-3</c:v>
                </c:pt>
                <c:pt idx="9">
                  <c:v>2.2391577134823295E-3</c:v>
                </c:pt>
                <c:pt idx="10">
                  <c:v>2.3606001582495021E-3</c:v>
                </c:pt>
                <c:pt idx="11">
                  <c:v>2.4761546719108737E-3</c:v>
                </c:pt>
                <c:pt idx="12">
                  <c:v>2.5866105009929048E-3</c:v>
                </c:pt>
                <c:pt idx="13">
                  <c:v>2.6925952058736323E-3</c:v>
                </c:pt>
                <c:pt idx="14">
                  <c:v>2.7946175404642937E-3</c:v>
                </c:pt>
                <c:pt idx="15">
                  <c:v>2.8930967335852745E-3</c:v>
                </c:pt>
                <c:pt idx="16">
                  <c:v>2.9883830982039227E-3</c:v>
                </c:pt>
                <c:pt idx="17">
                  <c:v>3.0807729151013244E-3</c:v>
                </c:pt>
                <c:pt idx="18">
                  <c:v>3.1705194227379875E-3</c:v>
                </c:pt>
                <c:pt idx="19">
                  <c:v>3.257841090345806E-3</c:v>
                </c:pt>
                <c:pt idx="20">
                  <c:v>3.3429279525718225E-3</c:v>
                </c:pt>
                <c:pt idx="21">
                  <c:v>3.425946533453815E-3</c:v>
                </c:pt>
                <c:pt idx="22">
                  <c:v>3.5070437256532775E-3</c:v>
                </c:pt>
                <c:pt idx="23">
                  <c:v>3.5863498837215256E-3</c:v>
                </c:pt>
                <c:pt idx="24">
                  <c:v>3.6639813176740257E-3</c:v>
                </c:pt>
                <c:pt idx="25">
                  <c:v>3.7400423231205055E-3</c:v>
                </c:pt>
                <c:pt idx="26">
                  <c:v>3.8146268490611697E-3</c:v>
                </c:pt>
                <c:pt idx="27">
                  <c:v>3.887819879380396E-3</c:v>
                </c:pt>
                <c:pt idx="28">
                  <c:v>3.9596985859049558E-3</c:v>
                </c:pt>
                <c:pt idx="29">
                  <c:v>4.0303332975597959E-3</c:v>
                </c:pt>
                <c:pt idx="30">
                  <c:v>4.0997883202445792E-3</c:v>
                </c:pt>
                <c:pt idx="31">
                  <c:v>4.1681226346048901E-3</c:v>
                </c:pt>
                <c:pt idx="32">
                  <c:v>4.2353904932129162E-3</c:v>
                </c:pt>
                <c:pt idx="33">
                  <c:v>4.3016419343311282E-3</c:v>
                </c:pt>
                <c:pt idx="34">
                  <c:v>4.3669232260714922E-3</c:v>
                </c:pt>
                <c:pt idx="35">
                  <c:v>4.4312772521387196E-3</c:v>
                </c:pt>
                <c:pt idx="36">
                  <c:v>4.4947438482808222E-3</c:v>
                </c:pt>
                <c:pt idx="37">
                  <c:v>4.5573600969327837E-3</c:v>
                </c:pt>
                <c:pt idx="38">
                  <c:v>4.6191605862317391E-3</c:v>
                </c:pt>
                <c:pt idx="39">
                  <c:v>4.6801776385311383E-3</c:v>
                </c:pt>
                <c:pt idx="40">
                  <c:v>4.740441512691573E-3</c:v>
                </c:pt>
                <c:pt idx="41">
                  <c:v>4.7999805837345534E-3</c:v>
                </c:pt>
                <c:pt idx="42">
                  <c:v>4.8588215028799158E-3</c:v>
                </c:pt>
                <c:pt idx="43">
                  <c:v>4.9169893405225235E-3</c:v>
                </c:pt>
                <c:pt idx="44">
                  <c:v>4.9745077143195059E-3</c:v>
                </c:pt>
                <c:pt idx="45">
                  <c:v>5.0313989042401171E-3</c:v>
                </c:pt>
                <c:pt idx="46">
                  <c:v>5.0876839561640585E-3</c:v>
                </c:pt>
                <c:pt idx="47">
                  <c:v>5.1433827753910944E-3</c:v>
                </c:pt>
                <c:pt idx="48">
                  <c:v>5.1985142112371359E-3</c:v>
                </c:pt>
                <c:pt idx="49">
                  <c:v>5.2577269379148117E-3</c:v>
                </c:pt>
                <c:pt idx="50">
                  <c:v>5.3653942417740191E-3</c:v>
                </c:pt>
                <c:pt idx="51">
                  <c:v>5.4730832956332272E-3</c:v>
                </c:pt>
                <c:pt idx="52">
                  <c:v>5.5807940994924343E-3</c:v>
                </c:pt>
                <c:pt idx="53">
                  <c:v>5.6885266533516421E-3</c:v>
                </c:pt>
                <c:pt idx="54">
                  <c:v>5.7962809572108497E-3</c:v>
                </c:pt>
                <c:pt idx="55">
                  <c:v>5.9040570110700579E-3</c:v>
                </c:pt>
                <c:pt idx="56">
                  <c:v>6.0118548149292652E-3</c:v>
                </c:pt>
                <c:pt idx="57">
                  <c:v>6.1196743687884731E-3</c:v>
                </c:pt>
                <c:pt idx="58">
                  <c:v>6.2275156726476801E-3</c:v>
                </c:pt>
                <c:pt idx="59">
                  <c:v>6.3353787265068885E-3</c:v>
                </c:pt>
                <c:pt idx="60">
                  <c:v>6.4432635303660933E-3</c:v>
                </c:pt>
                <c:pt idx="61">
                  <c:v>6.5511700842253023E-3</c:v>
                </c:pt>
                <c:pt idx="62">
                  <c:v>6.6590983880845112E-3</c:v>
                </c:pt>
                <c:pt idx="63">
                  <c:v>6.7670484419437181E-3</c:v>
                </c:pt>
                <c:pt idx="64">
                  <c:v>6.8750202458029265E-3</c:v>
                </c:pt>
                <c:pt idx="65">
                  <c:v>6.9830137996621348E-3</c:v>
                </c:pt>
                <c:pt idx="66">
                  <c:v>7.0910291035213404E-3</c:v>
                </c:pt>
                <c:pt idx="67">
                  <c:v>7.1990661573805483E-3</c:v>
                </c:pt>
                <c:pt idx="68">
                  <c:v>7.3071249612397552E-3</c:v>
                </c:pt>
                <c:pt idx="69">
                  <c:v>7.4152055150989637E-3</c:v>
                </c:pt>
                <c:pt idx="70">
                  <c:v>7.5233078189581729E-3</c:v>
                </c:pt>
                <c:pt idx="71">
                  <c:v>7.6314318728173784E-3</c:v>
                </c:pt>
                <c:pt idx="72">
                  <c:v>7.7395776766765855E-3</c:v>
                </c:pt>
                <c:pt idx="73">
                  <c:v>7.8477452305357933E-3</c:v>
                </c:pt>
                <c:pt idx="74">
                  <c:v>7.9559345343950018E-3</c:v>
                </c:pt>
                <c:pt idx="75">
                  <c:v>8.0641455882542075E-3</c:v>
                </c:pt>
                <c:pt idx="76">
                  <c:v>8.1723783921134156E-3</c:v>
                </c:pt>
                <c:pt idx="77">
                  <c:v>8.2806329459726227E-3</c:v>
                </c:pt>
                <c:pt idx="78">
                  <c:v>8.3889092498318323E-3</c:v>
                </c:pt>
                <c:pt idx="79">
                  <c:v>8.4972073036910407E-3</c:v>
                </c:pt>
                <c:pt idx="80">
                  <c:v>8.6055271075502447E-3</c:v>
                </c:pt>
                <c:pt idx="81">
                  <c:v>8.7138686614094546E-3</c:v>
                </c:pt>
                <c:pt idx="82">
                  <c:v>8.8222319652686617E-3</c:v>
                </c:pt>
                <c:pt idx="83">
                  <c:v>8.9306170191278695E-3</c:v>
                </c:pt>
                <c:pt idx="84">
                  <c:v>9.039023822987078E-3</c:v>
                </c:pt>
                <c:pt idx="85">
                  <c:v>9.1474523768462854E-3</c:v>
                </c:pt>
                <c:pt idx="86">
                  <c:v>9.2559026807054936E-3</c:v>
                </c:pt>
                <c:pt idx="87">
                  <c:v>9.3643747345647007E-3</c:v>
                </c:pt>
                <c:pt idx="88">
                  <c:v>9.4728685384239068E-3</c:v>
                </c:pt>
                <c:pt idx="89">
                  <c:v>9.5813840922831153E-3</c:v>
                </c:pt>
                <c:pt idx="90">
                  <c:v>9.6899213961423245E-3</c:v>
                </c:pt>
                <c:pt idx="91">
                  <c:v>9.7984804500015309E-3</c:v>
                </c:pt>
                <c:pt idx="92">
                  <c:v>9.9070612538607397E-3</c:v>
                </c:pt>
                <c:pt idx="93">
                  <c:v>1.0015663807719948E-2</c:v>
                </c:pt>
                <c:pt idx="94">
                  <c:v>1.0124288111579154E-2</c:v>
                </c:pt>
                <c:pt idx="95">
                  <c:v>1.0232934165438362E-2</c:v>
                </c:pt>
                <c:pt idx="96">
                  <c:v>1.0341601969297566E-2</c:v>
                </c:pt>
                <c:pt idx="97">
                  <c:v>1.0450291523156775E-2</c:v>
                </c:pt>
                <c:pt idx="98">
                  <c:v>1.0559002827015983E-2</c:v>
                </c:pt>
                <c:pt idx="99">
                  <c:v>1.0667735880875192E-2</c:v>
                </c:pt>
                <c:pt idx="100">
                  <c:v>1.0776490684734397E-2</c:v>
                </c:pt>
                <c:pt idx="101">
                  <c:v>1.0885267238593605E-2</c:v>
                </c:pt>
                <c:pt idx="102">
                  <c:v>1.0994065542452814E-2</c:v>
                </c:pt>
                <c:pt idx="103">
                  <c:v>1.1102885596312022E-2</c:v>
                </c:pt>
                <c:pt idx="104">
                  <c:v>1.1211727400171229E-2</c:v>
                </c:pt>
                <c:pt idx="105">
                  <c:v>1.1320590954030438E-2</c:v>
                </c:pt>
                <c:pt idx="106">
                  <c:v>1.1429476257889645E-2</c:v>
                </c:pt>
                <c:pt idx="107">
                  <c:v>1.1538383311748852E-2</c:v>
                </c:pt>
                <c:pt idx="108">
                  <c:v>1.164731211560806E-2</c:v>
                </c:pt>
                <c:pt idx="109">
                  <c:v>1.1756262669467266E-2</c:v>
                </c:pt>
                <c:pt idx="110">
                  <c:v>1.1865234973326476E-2</c:v>
                </c:pt>
                <c:pt idx="111">
                  <c:v>1.1974229027185682E-2</c:v>
                </c:pt>
                <c:pt idx="112">
                  <c:v>1.2083244831044891E-2</c:v>
                </c:pt>
                <c:pt idx="113">
                  <c:v>1.2192282384904097E-2</c:v>
                </c:pt>
                <c:pt idx="114">
                  <c:v>1.2301341688763307E-2</c:v>
                </c:pt>
                <c:pt idx="115">
                  <c:v>1.2410422742622515E-2</c:v>
                </c:pt>
                <c:pt idx="116">
                  <c:v>1.2519525546481719E-2</c:v>
                </c:pt>
                <c:pt idx="117">
                  <c:v>1.2628650100340928E-2</c:v>
                </c:pt>
                <c:pt idx="118">
                  <c:v>1.2737796404200138E-2</c:v>
                </c:pt>
                <c:pt idx="119">
                  <c:v>1.2846964458059341E-2</c:v>
                </c:pt>
                <c:pt idx="120">
                  <c:v>1.2956154261918547E-2</c:v>
                </c:pt>
                <c:pt idx="121">
                  <c:v>1.3065365815777759E-2</c:v>
                </c:pt>
                <c:pt idx="122">
                  <c:v>1.3174599119636964E-2</c:v>
                </c:pt>
                <c:pt idx="123">
                  <c:v>1.3283854173496172E-2</c:v>
                </c:pt>
                <c:pt idx="124">
                  <c:v>1.3393130977355382E-2</c:v>
                </c:pt>
                <c:pt idx="125">
                  <c:v>1.3502429531214589E-2</c:v>
                </c:pt>
                <c:pt idx="126">
                  <c:v>1.3611749835073796E-2</c:v>
                </c:pt>
                <c:pt idx="127">
                  <c:v>1.3721091888933005E-2</c:v>
                </c:pt>
                <c:pt idx="128">
                  <c:v>1.3830455692792213E-2</c:v>
                </c:pt>
                <c:pt idx="129">
                  <c:v>1.3939841246651419E-2</c:v>
                </c:pt>
                <c:pt idx="130">
                  <c:v>1.404924855051063E-2</c:v>
                </c:pt>
                <c:pt idx="131">
                  <c:v>1.4158677604369837E-2</c:v>
                </c:pt>
                <c:pt idx="132">
                  <c:v>1.4268128408229041E-2</c:v>
                </c:pt>
                <c:pt idx="133">
                  <c:v>1.4377600962088248E-2</c:v>
                </c:pt>
                <c:pt idx="134">
                  <c:v>1.4487095265947457E-2</c:v>
                </c:pt>
                <c:pt idx="135">
                  <c:v>1.4596611319806664E-2</c:v>
                </c:pt>
                <c:pt idx="136">
                  <c:v>1.4706149123665871E-2</c:v>
                </c:pt>
                <c:pt idx="137">
                  <c:v>1.4815708677525082E-2</c:v>
                </c:pt>
                <c:pt idx="138">
                  <c:v>1.4925289981384288E-2</c:v>
                </c:pt>
                <c:pt idx="139">
                  <c:v>1.5034893035243494E-2</c:v>
                </c:pt>
                <c:pt idx="140">
                  <c:v>1.5144517839102705E-2</c:v>
                </c:pt>
                <c:pt idx="141">
                  <c:v>1.5254164392961907E-2</c:v>
                </c:pt>
                <c:pt idx="142">
                  <c:v>1.5363832696821117E-2</c:v>
                </c:pt>
                <c:pt idx="143">
                  <c:v>1.5473522750680323E-2</c:v>
                </c:pt>
                <c:pt idx="144">
                  <c:v>1.558323455453953E-2</c:v>
                </c:pt>
                <c:pt idx="145">
                  <c:v>1.5692968108398739E-2</c:v>
                </c:pt>
                <c:pt idx="146">
                  <c:v>1.5802723412257948E-2</c:v>
                </c:pt>
                <c:pt idx="147">
                  <c:v>1.5912500466117155E-2</c:v>
                </c:pt>
                <c:pt idx="148">
                  <c:v>1.6022299269976361E-2</c:v>
                </c:pt>
                <c:pt idx="149">
                  <c:v>1.613211982383557E-2</c:v>
                </c:pt>
                <c:pt idx="150">
                  <c:v>1.6241962127694777E-2</c:v>
                </c:pt>
              </c:numCache>
            </c:numRef>
          </c:yVal>
          <c:smooth val="1"/>
          <c:extLst>
            <c:ext xmlns:c16="http://schemas.microsoft.com/office/drawing/2014/chart" uri="{C3380CC4-5D6E-409C-BE32-E72D297353CC}">
              <c16:uniqueId val="{00000001-69CC-4988-AFE4-E8A64CD28783}"/>
            </c:ext>
          </c:extLst>
        </c:ser>
        <c:ser>
          <c:idx val="3"/>
          <c:order val="2"/>
          <c:tx>
            <c:v>RS</c:v>
          </c:tx>
          <c:spPr>
            <a:ln>
              <a:solidFill>
                <a:schemeClr val="accent5">
                  <a:lumMod val="75000"/>
                </a:schemeClr>
              </a:solidFill>
              <a:prstDash val="lgDashDot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Eff_vs_IOUT!$BU$7:$BU$157</c:f>
              <c:numCache>
                <c:formatCode>General</c:formatCode>
                <c:ptCount val="151"/>
                <c:pt idx="0">
                  <c:v>0</c:v>
                </c:pt>
                <c:pt idx="1">
                  <c:v>2.3312645545853737E-7</c:v>
                </c:pt>
                <c:pt idx="2">
                  <c:v>6.5938119011486142E-7</c:v>
                </c:pt>
                <c:pt idx="3">
                  <c:v>1.2113605963278881E-6</c:v>
                </c:pt>
                <c:pt idx="4">
                  <c:v>1.8650116436682988E-6</c:v>
                </c:pt>
                <c:pt idx="5">
                  <c:v>2.6064330087943323E-6</c:v>
                </c:pt>
                <c:pt idx="6">
                  <c:v>3.4262451685025187E-6</c:v>
                </c:pt>
                <c:pt idx="7">
                  <c:v>4.3175623762128643E-6</c:v>
                </c:pt>
                <c:pt idx="8">
                  <c:v>5.2750495209188914E-6</c:v>
                </c:pt>
                <c:pt idx="9">
                  <c:v>6.2944142973805057E-6</c:v>
                </c:pt>
                <c:pt idx="10">
                  <c:v>7.3721058209077132E-6</c:v>
                </c:pt>
                <c:pt idx="11">
                  <c:v>8.5051227960761595E-6</c:v>
                </c:pt>
                <c:pt idx="12">
                  <c:v>9.6908847706231065E-6</c:v>
                </c:pt>
                <c:pt idx="13">
                  <c:v>1.0927142054698068E-5</c:v>
                </c:pt>
                <c:pt idx="14">
                  <c:v>1.2211910537664075E-5</c:v>
                </c:pt>
                <c:pt idx="15">
                  <c:v>1.3543423193269199E-5</c:v>
                </c:pt>
                <c:pt idx="16">
                  <c:v>1.4920093149346392E-5</c:v>
                </c:pt>
                <c:pt idx="17">
                  <c:v>1.6340484999683805E-5</c:v>
                </c:pt>
                <c:pt idx="18">
                  <c:v>1.7803292133101257E-5</c:v>
                </c:pt>
                <c:pt idx="19">
                  <c:v>1.9307318547782407E-5</c:v>
                </c:pt>
                <c:pt idx="20">
                  <c:v>2.0851464070354648E-5</c:v>
                </c:pt>
                <c:pt idx="21">
                  <c:v>2.2434712201345454E-5</c:v>
                </c:pt>
                <c:pt idx="22">
                  <c:v>2.4056120015718959E-5</c:v>
                </c:pt>
                <c:pt idx="23">
                  <c:v>2.5714809692142867E-5</c:v>
                </c:pt>
                <c:pt idx="24">
                  <c:v>2.7409961348020149E-5</c:v>
                </c:pt>
                <c:pt idx="25">
                  <c:v>2.9140806932317165E-5</c:v>
                </c:pt>
                <c:pt idx="26">
                  <c:v>3.0906624983462815E-5</c:v>
                </c:pt>
                <c:pt idx="27">
                  <c:v>3.2706736100852989E-5</c:v>
                </c:pt>
                <c:pt idx="28">
                  <c:v>3.4540499009702915E-5</c:v>
                </c:pt>
                <c:pt idx="29">
                  <c:v>3.6407307122872407E-5</c:v>
                </c:pt>
                <c:pt idx="30">
                  <c:v>3.8306585521759288E-5</c:v>
                </c:pt>
                <c:pt idx="31">
                  <c:v>4.0237788292782661E-5</c:v>
                </c:pt>
                <c:pt idx="32">
                  <c:v>4.2200396167351131E-5</c:v>
                </c:pt>
                <c:pt idx="33">
                  <c:v>4.4193914422248542E-5</c:v>
                </c:pt>
                <c:pt idx="34">
                  <c:v>4.6217871004613908E-5</c:v>
                </c:pt>
                <c:pt idx="35">
                  <c:v>4.82718148515374E-5</c:v>
                </c:pt>
                <c:pt idx="36">
                  <c:v>5.035531437904406E-5</c:v>
                </c:pt>
                <c:pt idx="37">
                  <c:v>5.246795611912382E-5</c:v>
                </c:pt>
                <c:pt idx="38">
                  <c:v>5.4609343486662973E-5</c:v>
                </c:pt>
                <c:pt idx="39">
                  <c:v>5.6779095660778886E-5</c:v>
                </c:pt>
                <c:pt idx="40">
                  <c:v>5.8976846567261712E-5</c:v>
                </c:pt>
                <c:pt idx="41">
                  <c:v>6.120224395066818E-5</c:v>
                </c:pt>
                <c:pt idx="42">
                  <c:v>6.3454948526159817E-5</c:v>
                </c:pt>
                <c:pt idx="43">
                  <c:v>6.5734633202484862E-5</c:v>
                </c:pt>
                <c:pt idx="44">
                  <c:v>6.8040982368609262E-5</c:v>
                </c:pt>
                <c:pt idx="45">
                  <c:v>7.0373691237446973E-5</c:v>
                </c:pt>
                <c:pt idx="46">
                  <c:v>7.2732465240943163E-5</c:v>
                </c:pt>
                <c:pt idx="47">
                  <c:v>7.5117019471456991E-5</c:v>
                </c:pt>
                <c:pt idx="48">
                  <c:v>7.7527078164984839E-5</c:v>
                </c:pt>
                <c:pt idx="49">
                  <c:v>7.9962468537103637E-5</c:v>
                </c:pt>
                <c:pt idx="50">
                  <c:v>8.243746853710363E-5</c:v>
                </c:pt>
                <c:pt idx="51">
                  <c:v>8.4962468537103596E-5</c:v>
                </c:pt>
                <c:pt idx="52">
                  <c:v>8.7537468537103605E-5</c:v>
                </c:pt>
                <c:pt idx="53">
                  <c:v>9.0162468537103628E-5</c:v>
                </c:pt>
                <c:pt idx="54">
                  <c:v>9.2837468537103652E-5</c:v>
                </c:pt>
                <c:pt idx="55">
                  <c:v>9.556246853710361E-5</c:v>
                </c:pt>
                <c:pt idx="56">
                  <c:v>9.8337468537103623E-5</c:v>
                </c:pt>
                <c:pt idx="57">
                  <c:v>1.0116246853710364E-4</c:v>
                </c:pt>
                <c:pt idx="58">
                  <c:v>1.0403746853710359E-4</c:v>
                </c:pt>
                <c:pt idx="59">
                  <c:v>1.0696246853710359E-4</c:v>
                </c:pt>
                <c:pt idx="60">
                  <c:v>1.0993746853710365E-4</c:v>
                </c:pt>
                <c:pt idx="61">
                  <c:v>1.1296246853710356E-4</c:v>
                </c:pt>
                <c:pt idx="62">
                  <c:v>1.1603746853710354E-4</c:v>
                </c:pt>
                <c:pt idx="63">
                  <c:v>1.1916246853710357E-4</c:v>
                </c:pt>
                <c:pt idx="64">
                  <c:v>1.223374685371036E-4</c:v>
                </c:pt>
                <c:pt idx="65">
                  <c:v>1.2556246853710363E-4</c:v>
                </c:pt>
                <c:pt idx="66">
                  <c:v>1.2883746853710367E-4</c:v>
                </c:pt>
                <c:pt idx="67">
                  <c:v>1.3216246853710361E-4</c:v>
                </c:pt>
                <c:pt idx="68">
                  <c:v>1.3553746853710362E-4</c:v>
                </c:pt>
                <c:pt idx="69">
                  <c:v>1.3896246853710363E-4</c:v>
                </c:pt>
                <c:pt idx="70">
                  <c:v>1.4243746853710362E-4</c:v>
                </c:pt>
                <c:pt idx="71">
                  <c:v>1.4596246853710359E-4</c:v>
                </c:pt>
                <c:pt idx="72">
                  <c:v>1.4953746853710358E-4</c:v>
                </c:pt>
                <c:pt idx="73">
                  <c:v>1.531624685371036E-4</c:v>
                </c:pt>
                <c:pt idx="74">
                  <c:v>1.5683746853710357E-4</c:v>
                </c:pt>
                <c:pt idx="75">
                  <c:v>1.6056246853710356E-4</c:v>
                </c:pt>
                <c:pt idx="76">
                  <c:v>1.6433746853710351E-4</c:v>
                </c:pt>
                <c:pt idx="77">
                  <c:v>1.6816246853710359E-4</c:v>
                </c:pt>
                <c:pt idx="78">
                  <c:v>1.7203746853710361E-4</c:v>
                </c:pt>
                <c:pt idx="79">
                  <c:v>1.7596246853710356E-4</c:v>
                </c:pt>
                <c:pt idx="80">
                  <c:v>1.7993746853710361E-4</c:v>
                </c:pt>
                <c:pt idx="81">
                  <c:v>1.8396246853710359E-4</c:v>
                </c:pt>
                <c:pt idx="82">
                  <c:v>1.8803746853710357E-4</c:v>
                </c:pt>
                <c:pt idx="83">
                  <c:v>1.9216246853710365E-4</c:v>
                </c:pt>
                <c:pt idx="84">
                  <c:v>1.9633746853710361E-4</c:v>
                </c:pt>
                <c:pt idx="85">
                  <c:v>2.0056246853710356E-4</c:v>
                </c:pt>
                <c:pt idx="86">
                  <c:v>2.0483746853710365E-4</c:v>
                </c:pt>
                <c:pt idx="87">
                  <c:v>2.0916246853710363E-4</c:v>
                </c:pt>
                <c:pt idx="88">
                  <c:v>2.1353746853710362E-4</c:v>
                </c:pt>
                <c:pt idx="89">
                  <c:v>2.1796246853710358E-4</c:v>
                </c:pt>
                <c:pt idx="90">
                  <c:v>2.2243746853710367E-4</c:v>
                </c:pt>
                <c:pt idx="91">
                  <c:v>2.2696246853710363E-4</c:v>
                </c:pt>
                <c:pt idx="92">
                  <c:v>2.3153746853710362E-4</c:v>
                </c:pt>
                <c:pt idx="93">
                  <c:v>2.3616246853710364E-4</c:v>
                </c:pt>
                <c:pt idx="94">
                  <c:v>2.4083746853710371E-4</c:v>
                </c:pt>
                <c:pt idx="95">
                  <c:v>2.4556246853710365E-4</c:v>
                </c:pt>
                <c:pt idx="96">
                  <c:v>2.5033746853710354E-4</c:v>
                </c:pt>
                <c:pt idx="97">
                  <c:v>2.551624685371035E-4</c:v>
                </c:pt>
                <c:pt idx="98">
                  <c:v>2.6003746853710356E-4</c:v>
                </c:pt>
                <c:pt idx="99">
                  <c:v>2.6496246853710358E-4</c:v>
                </c:pt>
                <c:pt idx="100">
                  <c:v>2.6993746853710358E-4</c:v>
                </c:pt>
                <c:pt idx="101">
                  <c:v>2.7496246853710361E-4</c:v>
                </c:pt>
                <c:pt idx="102">
                  <c:v>2.8003746853710361E-4</c:v>
                </c:pt>
                <c:pt idx="103">
                  <c:v>2.8516246853710364E-4</c:v>
                </c:pt>
                <c:pt idx="104">
                  <c:v>2.9033746853710359E-4</c:v>
                </c:pt>
                <c:pt idx="105">
                  <c:v>2.9556246853710357E-4</c:v>
                </c:pt>
                <c:pt idx="106">
                  <c:v>3.0083746853710357E-4</c:v>
                </c:pt>
                <c:pt idx="107">
                  <c:v>3.0616246853710361E-4</c:v>
                </c:pt>
                <c:pt idx="108">
                  <c:v>3.1153746853710372E-4</c:v>
                </c:pt>
                <c:pt idx="109">
                  <c:v>3.1696246853710376E-4</c:v>
                </c:pt>
                <c:pt idx="110">
                  <c:v>3.2243746853710355E-4</c:v>
                </c:pt>
                <c:pt idx="111">
                  <c:v>3.279624685371037E-4</c:v>
                </c:pt>
                <c:pt idx="112">
                  <c:v>3.3353746853710355E-4</c:v>
                </c:pt>
                <c:pt idx="113">
                  <c:v>3.391624685371037E-4</c:v>
                </c:pt>
                <c:pt idx="114">
                  <c:v>3.4483746853710372E-4</c:v>
                </c:pt>
                <c:pt idx="115">
                  <c:v>3.5056246853710355E-4</c:v>
                </c:pt>
                <c:pt idx="116">
                  <c:v>3.5633746853710362E-4</c:v>
                </c:pt>
                <c:pt idx="117">
                  <c:v>3.6216246853710361E-4</c:v>
                </c:pt>
                <c:pt idx="118">
                  <c:v>3.6803746853710358E-4</c:v>
                </c:pt>
                <c:pt idx="119">
                  <c:v>3.7396246853710341E-4</c:v>
                </c:pt>
                <c:pt idx="120">
                  <c:v>3.7993746853710354E-4</c:v>
                </c:pt>
                <c:pt idx="121">
                  <c:v>3.8596246853710354E-4</c:v>
                </c:pt>
                <c:pt idx="122">
                  <c:v>3.9203746853710351E-4</c:v>
                </c:pt>
                <c:pt idx="123">
                  <c:v>3.9816246853710362E-4</c:v>
                </c:pt>
                <c:pt idx="124">
                  <c:v>4.0433746853710359E-4</c:v>
                </c:pt>
                <c:pt idx="125">
                  <c:v>4.1056246853710381E-4</c:v>
                </c:pt>
                <c:pt idx="126">
                  <c:v>4.1683746853710346E-4</c:v>
                </c:pt>
                <c:pt idx="127">
                  <c:v>4.2316246853710341E-4</c:v>
                </c:pt>
                <c:pt idx="128">
                  <c:v>4.2953746853710366E-4</c:v>
                </c:pt>
                <c:pt idx="129">
                  <c:v>4.3596246853710345E-4</c:v>
                </c:pt>
                <c:pt idx="130">
                  <c:v>4.4243746853710349E-4</c:v>
                </c:pt>
                <c:pt idx="131">
                  <c:v>4.4896246853710366E-4</c:v>
                </c:pt>
                <c:pt idx="132">
                  <c:v>4.5553746853710375E-4</c:v>
                </c:pt>
                <c:pt idx="133">
                  <c:v>4.6216246853710371E-4</c:v>
                </c:pt>
                <c:pt idx="134">
                  <c:v>4.688374685371037E-4</c:v>
                </c:pt>
                <c:pt idx="135">
                  <c:v>4.7556246853710371E-4</c:v>
                </c:pt>
                <c:pt idx="136">
                  <c:v>4.823374685371037E-4</c:v>
                </c:pt>
                <c:pt idx="137">
                  <c:v>4.8916246853710355E-4</c:v>
                </c:pt>
                <c:pt idx="138">
                  <c:v>4.960374685371036E-4</c:v>
                </c:pt>
                <c:pt idx="139">
                  <c:v>5.0296246853710367E-4</c:v>
                </c:pt>
                <c:pt idx="140">
                  <c:v>5.0993746853710378E-4</c:v>
                </c:pt>
                <c:pt idx="141">
                  <c:v>5.1696246853710336E-4</c:v>
                </c:pt>
                <c:pt idx="142">
                  <c:v>5.240374685371033E-4</c:v>
                </c:pt>
                <c:pt idx="143">
                  <c:v>5.3116246853710349E-4</c:v>
                </c:pt>
                <c:pt idx="144">
                  <c:v>5.383374685371036E-4</c:v>
                </c:pt>
                <c:pt idx="145">
                  <c:v>5.4556246853710362E-4</c:v>
                </c:pt>
                <c:pt idx="146">
                  <c:v>5.5283746853710325E-4</c:v>
                </c:pt>
                <c:pt idx="147">
                  <c:v>5.6016246853710355E-4</c:v>
                </c:pt>
                <c:pt idx="148">
                  <c:v>5.6753746853710344E-4</c:v>
                </c:pt>
                <c:pt idx="149">
                  <c:v>5.7496246853710369E-4</c:v>
                </c:pt>
                <c:pt idx="150">
                  <c:v>5.8243746853710375E-4</c:v>
                </c:pt>
              </c:numCache>
            </c:numRef>
          </c:yVal>
          <c:smooth val="1"/>
          <c:extLst>
            <c:ext xmlns:c16="http://schemas.microsoft.com/office/drawing/2014/chart" uri="{C3380CC4-5D6E-409C-BE32-E72D297353CC}">
              <c16:uniqueId val="{00000002-69CC-4988-AFE4-E8A64CD28783}"/>
            </c:ext>
          </c:extLst>
        </c:ser>
        <c:ser>
          <c:idx val="2"/>
          <c:order val="3"/>
          <c:tx>
            <c:v>D1</c:v>
          </c:tx>
          <c:spPr>
            <a:ln>
              <a:solidFill>
                <a:schemeClr val="bg2">
                  <a:lumMod val="50000"/>
                </a:schemeClr>
              </a:solidFill>
              <a:prstDash val="sysDash"/>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Eff_vs_IOUT!$AY$8:$AY$157</c:f>
              <c:numCache>
                <c:formatCode>General</c:formatCode>
                <c:ptCount val="150"/>
                <c:pt idx="0">
                  <c:v>6.8348000000000006E-2</c:v>
                </c:pt>
                <c:pt idx="1">
                  <c:v>6.8547999999999998E-2</c:v>
                </c:pt>
                <c:pt idx="2">
                  <c:v>6.8748000000000004E-2</c:v>
                </c:pt>
                <c:pt idx="3">
                  <c:v>6.8947999999999995E-2</c:v>
                </c:pt>
                <c:pt idx="4">
                  <c:v>6.9148000000000001E-2</c:v>
                </c:pt>
                <c:pt idx="5">
                  <c:v>6.9348000000000007E-2</c:v>
                </c:pt>
                <c:pt idx="6">
                  <c:v>6.9547999999999999E-2</c:v>
                </c:pt>
                <c:pt idx="7">
                  <c:v>6.9748000000000004E-2</c:v>
                </c:pt>
                <c:pt idx="8">
                  <c:v>6.9947999999999996E-2</c:v>
                </c:pt>
                <c:pt idx="9">
                  <c:v>7.0148000000000002E-2</c:v>
                </c:pt>
                <c:pt idx="10">
                  <c:v>7.0347999999999994E-2</c:v>
                </c:pt>
                <c:pt idx="11">
                  <c:v>7.0548E-2</c:v>
                </c:pt>
                <c:pt idx="12">
                  <c:v>7.0748000000000005E-2</c:v>
                </c:pt>
                <c:pt idx="13">
                  <c:v>7.0947999999999997E-2</c:v>
                </c:pt>
                <c:pt idx="14">
                  <c:v>7.1148000000000003E-2</c:v>
                </c:pt>
                <c:pt idx="15">
                  <c:v>7.1347999999999995E-2</c:v>
                </c:pt>
                <c:pt idx="16">
                  <c:v>7.1548E-2</c:v>
                </c:pt>
                <c:pt idx="17">
                  <c:v>7.1748000000000006E-2</c:v>
                </c:pt>
                <c:pt idx="18">
                  <c:v>7.1947999999999998E-2</c:v>
                </c:pt>
                <c:pt idx="19">
                  <c:v>7.2148000000000004E-2</c:v>
                </c:pt>
                <c:pt idx="20">
                  <c:v>7.2347999999999996E-2</c:v>
                </c:pt>
                <c:pt idx="21">
                  <c:v>7.2548000000000001E-2</c:v>
                </c:pt>
                <c:pt idx="22">
                  <c:v>7.2748000000000007E-2</c:v>
                </c:pt>
                <c:pt idx="23">
                  <c:v>7.2947999999999999E-2</c:v>
                </c:pt>
                <c:pt idx="24">
                  <c:v>7.3148000000000005E-2</c:v>
                </c:pt>
                <c:pt idx="25">
                  <c:v>7.3347999999999997E-2</c:v>
                </c:pt>
                <c:pt idx="26">
                  <c:v>7.3548000000000002E-2</c:v>
                </c:pt>
                <c:pt idx="27">
                  <c:v>7.3747999999999994E-2</c:v>
                </c:pt>
                <c:pt idx="28">
                  <c:v>7.3948E-2</c:v>
                </c:pt>
                <c:pt idx="29">
                  <c:v>7.4148000000000006E-2</c:v>
                </c:pt>
                <c:pt idx="30">
                  <c:v>7.4347999999999997E-2</c:v>
                </c:pt>
                <c:pt idx="31">
                  <c:v>7.4548000000000003E-2</c:v>
                </c:pt>
                <c:pt idx="32">
                  <c:v>7.4747999999999995E-2</c:v>
                </c:pt>
                <c:pt idx="33">
                  <c:v>7.4948000000000001E-2</c:v>
                </c:pt>
                <c:pt idx="34">
                  <c:v>7.5148000000000006E-2</c:v>
                </c:pt>
                <c:pt idx="35">
                  <c:v>7.5347999999999998E-2</c:v>
                </c:pt>
                <c:pt idx="36">
                  <c:v>7.5548000000000004E-2</c:v>
                </c:pt>
                <c:pt idx="37">
                  <c:v>7.5747999999999996E-2</c:v>
                </c:pt>
                <c:pt idx="38">
                  <c:v>7.5948000000000002E-2</c:v>
                </c:pt>
                <c:pt idx="39">
                  <c:v>7.6147999999999993E-2</c:v>
                </c:pt>
                <c:pt idx="40">
                  <c:v>7.6347999999999999E-2</c:v>
                </c:pt>
                <c:pt idx="41">
                  <c:v>7.6548000000000005E-2</c:v>
                </c:pt>
                <c:pt idx="42">
                  <c:v>7.6747999999999997E-2</c:v>
                </c:pt>
                <c:pt idx="43">
                  <c:v>7.6948000000000003E-2</c:v>
                </c:pt>
                <c:pt idx="44">
                  <c:v>7.7147999999999994E-2</c:v>
                </c:pt>
                <c:pt idx="45">
                  <c:v>7.7348E-2</c:v>
                </c:pt>
                <c:pt idx="46">
                  <c:v>7.7548000000000006E-2</c:v>
                </c:pt>
                <c:pt idx="47">
                  <c:v>7.7747999999999998E-2</c:v>
                </c:pt>
                <c:pt idx="48">
                  <c:v>7.7948000000000003E-2</c:v>
                </c:pt>
                <c:pt idx="49">
                  <c:v>7.8147999999999995E-2</c:v>
                </c:pt>
                <c:pt idx="50">
                  <c:v>7.8348000000000001E-2</c:v>
                </c:pt>
                <c:pt idx="51">
                  <c:v>7.8548000000000007E-2</c:v>
                </c:pt>
                <c:pt idx="52">
                  <c:v>7.8747999999999999E-2</c:v>
                </c:pt>
                <c:pt idx="53">
                  <c:v>7.8948000000000004E-2</c:v>
                </c:pt>
                <c:pt idx="54">
                  <c:v>7.9147999999999996E-2</c:v>
                </c:pt>
                <c:pt idx="55">
                  <c:v>7.9348000000000002E-2</c:v>
                </c:pt>
                <c:pt idx="56">
                  <c:v>7.9548000000000008E-2</c:v>
                </c:pt>
                <c:pt idx="57">
                  <c:v>7.9747999999999999E-2</c:v>
                </c:pt>
                <c:pt idx="58">
                  <c:v>7.9948000000000005E-2</c:v>
                </c:pt>
                <c:pt idx="59">
                  <c:v>8.0147999999999997E-2</c:v>
                </c:pt>
                <c:pt idx="60">
                  <c:v>8.0348000000000003E-2</c:v>
                </c:pt>
                <c:pt idx="61">
                  <c:v>8.0547999999999995E-2</c:v>
                </c:pt>
                <c:pt idx="62">
                  <c:v>8.0748E-2</c:v>
                </c:pt>
                <c:pt idx="63">
                  <c:v>8.0947999999999992E-2</c:v>
                </c:pt>
                <c:pt idx="64">
                  <c:v>8.1147999999999998E-2</c:v>
                </c:pt>
                <c:pt idx="65">
                  <c:v>8.1348000000000004E-2</c:v>
                </c:pt>
                <c:pt idx="66">
                  <c:v>8.1547999999999995E-2</c:v>
                </c:pt>
                <c:pt idx="67">
                  <c:v>8.1748000000000001E-2</c:v>
                </c:pt>
                <c:pt idx="68">
                  <c:v>8.1948000000000007E-2</c:v>
                </c:pt>
                <c:pt idx="69">
                  <c:v>8.2147999999999999E-2</c:v>
                </c:pt>
                <c:pt idx="70">
                  <c:v>8.2348000000000005E-2</c:v>
                </c:pt>
                <c:pt idx="71">
                  <c:v>8.2547999999999996E-2</c:v>
                </c:pt>
                <c:pt idx="72">
                  <c:v>8.2748000000000002E-2</c:v>
                </c:pt>
                <c:pt idx="73">
                  <c:v>8.2947999999999994E-2</c:v>
                </c:pt>
                <c:pt idx="74">
                  <c:v>8.3148E-2</c:v>
                </c:pt>
                <c:pt idx="75">
                  <c:v>8.3348000000000005E-2</c:v>
                </c:pt>
                <c:pt idx="76">
                  <c:v>8.3547999999999997E-2</c:v>
                </c:pt>
                <c:pt idx="77">
                  <c:v>8.3748000000000003E-2</c:v>
                </c:pt>
                <c:pt idx="78">
                  <c:v>8.3947999999999995E-2</c:v>
                </c:pt>
                <c:pt idx="79">
                  <c:v>8.4148000000000001E-2</c:v>
                </c:pt>
                <c:pt idx="80">
                  <c:v>8.4348000000000006E-2</c:v>
                </c:pt>
                <c:pt idx="81">
                  <c:v>8.4547999999999998E-2</c:v>
                </c:pt>
                <c:pt idx="82">
                  <c:v>8.4748000000000004E-2</c:v>
                </c:pt>
                <c:pt idx="83">
                  <c:v>8.4947999999999996E-2</c:v>
                </c:pt>
                <c:pt idx="84">
                  <c:v>8.5148000000000001E-2</c:v>
                </c:pt>
                <c:pt idx="85">
                  <c:v>8.5348000000000007E-2</c:v>
                </c:pt>
                <c:pt idx="86">
                  <c:v>8.5547999999999999E-2</c:v>
                </c:pt>
                <c:pt idx="87">
                  <c:v>8.5747999999999991E-2</c:v>
                </c:pt>
                <c:pt idx="88">
                  <c:v>8.5947999999999997E-2</c:v>
                </c:pt>
                <c:pt idx="89">
                  <c:v>8.6148000000000002E-2</c:v>
                </c:pt>
                <c:pt idx="90">
                  <c:v>8.6348000000000008E-2</c:v>
                </c:pt>
                <c:pt idx="91">
                  <c:v>8.6548E-2</c:v>
                </c:pt>
                <c:pt idx="92">
                  <c:v>8.6748000000000006E-2</c:v>
                </c:pt>
                <c:pt idx="93">
                  <c:v>8.6947999999999998E-2</c:v>
                </c:pt>
                <c:pt idx="94">
                  <c:v>8.7148000000000003E-2</c:v>
                </c:pt>
                <c:pt idx="95">
                  <c:v>8.7347999999999995E-2</c:v>
                </c:pt>
                <c:pt idx="96">
                  <c:v>8.7548000000000001E-2</c:v>
                </c:pt>
                <c:pt idx="97">
                  <c:v>8.7747999999999993E-2</c:v>
                </c:pt>
                <c:pt idx="98">
                  <c:v>8.7947999999999998E-2</c:v>
                </c:pt>
                <c:pt idx="99">
                  <c:v>8.8148000000000004E-2</c:v>
                </c:pt>
                <c:pt idx="100">
                  <c:v>8.8347999999999996E-2</c:v>
                </c:pt>
                <c:pt idx="101">
                  <c:v>8.8548000000000002E-2</c:v>
                </c:pt>
                <c:pt idx="102">
                  <c:v>8.8747999999999994E-2</c:v>
                </c:pt>
                <c:pt idx="103">
                  <c:v>8.8947999999999999E-2</c:v>
                </c:pt>
                <c:pt idx="104">
                  <c:v>8.9148000000000005E-2</c:v>
                </c:pt>
                <c:pt idx="105">
                  <c:v>8.9347999999999997E-2</c:v>
                </c:pt>
                <c:pt idx="106">
                  <c:v>8.9548000000000003E-2</c:v>
                </c:pt>
                <c:pt idx="107">
                  <c:v>8.9747999999999994E-2</c:v>
                </c:pt>
                <c:pt idx="108">
                  <c:v>8.9948E-2</c:v>
                </c:pt>
                <c:pt idx="109">
                  <c:v>9.0148000000000006E-2</c:v>
                </c:pt>
                <c:pt idx="110">
                  <c:v>9.0347999999999998E-2</c:v>
                </c:pt>
                <c:pt idx="111">
                  <c:v>9.0548000000000003E-2</c:v>
                </c:pt>
                <c:pt idx="112">
                  <c:v>9.0747999999999995E-2</c:v>
                </c:pt>
                <c:pt idx="113">
                  <c:v>9.0948000000000001E-2</c:v>
                </c:pt>
                <c:pt idx="114">
                  <c:v>9.1148000000000007E-2</c:v>
                </c:pt>
                <c:pt idx="115">
                  <c:v>9.1347999999999999E-2</c:v>
                </c:pt>
                <c:pt idx="116">
                  <c:v>9.1548000000000004E-2</c:v>
                </c:pt>
                <c:pt idx="117">
                  <c:v>9.1747999999999996E-2</c:v>
                </c:pt>
                <c:pt idx="118">
                  <c:v>9.1948000000000002E-2</c:v>
                </c:pt>
                <c:pt idx="119">
                  <c:v>9.2148000000000008E-2</c:v>
                </c:pt>
                <c:pt idx="120">
                  <c:v>9.2348E-2</c:v>
                </c:pt>
                <c:pt idx="121">
                  <c:v>9.2547999999999991E-2</c:v>
                </c:pt>
                <c:pt idx="122">
                  <c:v>9.2747999999999997E-2</c:v>
                </c:pt>
                <c:pt idx="123">
                  <c:v>9.2948000000000003E-2</c:v>
                </c:pt>
                <c:pt idx="124">
                  <c:v>9.3147999999999995E-2</c:v>
                </c:pt>
                <c:pt idx="125">
                  <c:v>9.3348E-2</c:v>
                </c:pt>
                <c:pt idx="126">
                  <c:v>9.3547999999999992E-2</c:v>
                </c:pt>
                <c:pt idx="127">
                  <c:v>9.3747999999999998E-2</c:v>
                </c:pt>
                <c:pt idx="128">
                  <c:v>9.3948000000000004E-2</c:v>
                </c:pt>
                <c:pt idx="129">
                  <c:v>9.4147999999999996E-2</c:v>
                </c:pt>
                <c:pt idx="130">
                  <c:v>9.4348000000000001E-2</c:v>
                </c:pt>
                <c:pt idx="131">
                  <c:v>9.4548000000000007E-2</c:v>
                </c:pt>
                <c:pt idx="132">
                  <c:v>9.4747999999999999E-2</c:v>
                </c:pt>
                <c:pt idx="133">
                  <c:v>9.4948000000000005E-2</c:v>
                </c:pt>
                <c:pt idx="134">
                  <c:v>9.514800000000001E-2</c:v>
                </c:pt>
                <c:pt idx="135">
                  <c:v>9.5348000000000002E-2</c:v>
                </c:pt>
                <c:pt idx="136">
                  <c:v>9.5547999999999994E-2</c:v>
                </c:pt>
                <c:pt idx="137">
                  <c:v>9.5748E-2</c:v>
                </c:pt>
                <c:pt idx="138">
                  <c:v>9.5948000000000006E-2</c:v>
                </c:pt>
                <c:pt idx="139">
                  <c:v>9.6147999999999997E-2</c:v>
                </c:pt>
                <c:pt idx="140">
                  <c:v>9.6348000000000003E-2</c:v>
                </c:pt>
                <c:pt idx="141">
                  <c:v>9.6547999999999995E-2</c:v>
                </c:pt>
                <c:pt idx="142">
                  <c:v>9.6748000000000001E-2</c:v>
                </c:pt>
                <c:pt idx="143">
                  <c:v>9.6948000000000006E-2</c:v>
                </c:pt>
                <c:pt idx="144">
                  <c:v>9.7147999999999998E-2</c:v>
                </c:pt>
                <c:pt idx="145">
                  <c:v>9.734799999999999E-2</c:v>
                </c:pt>
                <c:pt idx="146">
                  <c:v>9.7547999999999996E-2</c:v>
                </c:pt>
                <c:pt idx="147">
                  <c:v>9.7748000000000002E-2</c:v>
                </c:pt>
                <c:pt idx="148">
                  <c:v>9.7947999999999993E-2</c:v>
                </c:pt>
                <c:pt idx="149">
                  <c:v>9.8147999999999999E-2</c:v>
                </c:pt>
              </c:numCache>
            </c:numRef>
          </c:yVal>
          <c:smooth val="1"/>
          <c:extLst>
            <c:ext xmlns:c16="http://schemas.microsoft.com/office/drawing/2014/chart" uri="{C3380CC4-5D6E-409C-BE32-E72D297353CC}">
              <c16:uniqueId val="{00000003-69CC-4988-AFE4-E8A64CD28783}"/>
            </c:ext>
          </c:extLst>
        </c:ser>
        <c:dLbls>
          <c:showLegendKey val="0"/>
          <c:showVal val="0"/>
          <c:showCatName val="0"/>
          <c:showSerName val="0"/>
          <c:showPercent val="0"/>
          <c:showBubbleSize val="0"/>
        </c:dLbls>
        <c:axId val="586288512"/>
        <c:axId val="586286592"/>
      </c:scatterChart>
      <c:valAx>
        <c:axId val="586594176"/>
        <c:scaling>
          <c:orientation val="minMax"/>
        </c:scaling>
        <c:delete val="0"/>
        <c:axPos val="b"/>
        <c:majorGridlines/>
        <c:numFmt formatCode="General" sourceLinked="1"/>
        <c:majorTickMark val="out"/>
        <c:minorTickMark val="none"/>
        <c:tickLblPos val="nextTo"/>
        <c:crossAx val="586595712"/>
        <c:crosses val="autoZero"/>
        <c:crossBetween val="midCat"/>
      </c:valAx>
      <c:valAx>
        <c:axId val="586595712"/>
        <c:scaling>
          <c:orientation val="minMax"/>
          <c:max val="100"/>
          <c:min val="60"/>
        </c:scaling>
        <c:delete val="0"/>
        <c:axPos val="l"/>
        <c:majorGridlines/>
        <c:title>
          <c:tx>
            <c:rich>
              <a:bodyPr rot="-5400000" vert="horz"/>
              <a:lstStyle/>
              <a:p>
                <a:pPr>
                  <a:defRPr sz="1400"/>
                </a:pPr>
                <a:r>
                  <a:rPr lang="en-US" sz="1400"/>
                  <a:t>Efficiency</a:t>
                </a:r>
                <a:r>
                  <a:rPr lang="en-US" sz="1400" baseline="0"/>
                  <a:t> (%)</a:t>
                </a:r>
                <a:endParaRPr lang="en-US" sz="1400"/>
              </a:p>
            </c:rich>
          </c:tx>
          <c:overlay val="0"/>
        </c:title>
        <c:numFmt formatCode="General" sourceLinked="1"/>
        <c:majorTickMark val="out"/>
        <c:minorTickMark val="none"/>
        <c:tickLblPos val="nextTo"/>
        <c:crossAx val="586594176"/>
        <c:crosses val="autoZero"/>
        <c:crossBetween val="midCat"/>
      </c:valAx>
      <c:valAx>
        <c:axId val="586286592"/>
        <c:scaling>
          <c:orientation val="minMax"/>
        </c:scaling>
        <c:delete val="0"/>
        <c:axPos val="r"/>
        <c:title>
          <c:tx>
            <c:rich>
              <a:bodyPr rot="-5400000" vert="horz"/>
              <a:lstStyle/>
              <a:p>
                <a:pPr>
                  <a:defRPr sz="1400"/>
                </a:pPr>
                <a:r>
                  <a:rPr lang="en-US" sz="1400"/>
                  <a:t>Losses</a:t>
                </a:r>
                <a:r>
                  <a:rPr lang="en-US" sz="1400" baseline="0"/>
                  <a:t> (W)</a:t>
                </a:r>
                <a:endParaRPr lang="en-US" sz="1400"/>
              </a:p>
            </c:rich>
          </c:tx>
          <c:overlay val="0"/>
        </c:title>
        <c:numFmt formatCode="General" sourceLinked="1"/>
        <c:majorTickMark val="out"/>
        <c:minorTickMark val="none"/>
        <c:tickLblPos val="nextTo"/>
        <c:crossAx val="586288512"/>
        <c:crosses val="max"/>
        <c:crossBetween val="midCat"/>
      </c:valAx>
      <c:valAx>
        <c:axId val="586288512"/>
        <c:scaling>
          <c:orientation val="minMax"/>
        </c:scaling>
        <c:delete val="1"/>
        <c:axPos val="b"/>
        <c:title>
          <c:tx>
            <c:rich>
              <a:bodyPr/>
              <a:lstStyle/>
              <a:p>
                <a:pPr>
                  <a:defRPr sz="1100"/>
                </a:pPr>
                <a:r>
                  <a:rPr lang="en-US" sz="1100"/>
                  <a:t>P</a:t>
                </a:r>
                <a:r>
                  <a:rPr lang="en-US" sz="1100" baseline="-25000"/>
                  <a:t>OUT</a:t>
                </a:r>
                <a:r>
                  <a:rPr lang="en-US" sz="1100"/>
                  <a:t> </a:t>
                </a:r>
                <a:r>
                  <a:rPr lang="en-US" sz="1100" baseline="0"/>
                  <a:t>(W)</a:t>
                </a:r>
                <a:endParaRPr lang="en-US" sz="1100"/>
              </a:p>
            </c:rich>
          </c:tx>
          <c:overlay val="0"/>
        </c:title>
        <c:numFmt formatCode="General" sourceLinked="1"/>
        <c:majorTickMark val="out"/>
        <c:minorTickMark val="none"/>
        <c:tickLblPos val="nextTo"/>
        <c:crossAx val="586286592"/>
        <c:crosses val="autoZero"/>
        <c:crossBetween val="midCat"/>
      </c:valAx>
    </c:plotArea>
    <c:legend>
      <c:legendPos val="r"/>
      <c:layout>
        <c:manualLayout>
          <c:xMode val="edge"/>
          <c:yMode val="edge"/>
          <c:x val="0.51894403926190358"/>
          <c:y val="6.4862204724409449E-3"/>
          <c:w val="0.39609572935704079"/>
          <c:h val="0.12183653099700564"/>
        </c:manualLayout>
      </c:layout>
      <c:overlay val="1"/>
    </c:legend>
    <c:plotVisOnly val="1"/>
    <c:dispBlanksAs val="gap"/>
    <c:showDLblsOverMax val="0"/>
  </c:chart>
  <c:spPr>
    <a:ln>
      <a:noFill/>
    </a:ln>
  </c:sp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lgn="l">
              <a:defRPr sz="2400"/>
            </a:pPr>
            <a:r>
              <a:rPr lang="el-GR" sz="2400"/>
              <a:t>η</a:t>
            </a:r>
            <a:endParaRPr lang="en-US" sz="2400"/>
          </a:p>
        </c:rich>
      </c:tx>
      <c:layout>
        <c:manualLayout>
          <c:xMode val="edge"/>
          <c:yMode val="edge"/>
          <c:x val="9.2321838295158831E-2"/>
          <c:y val="6.7069081153588199E-3"/>
        </c:manualLayout>
      </c:layout>
      <c:overlay val="1"/>
    </c:title>
    <c:autoTitleDeleted val="0"/>
    <c:plotArea>
      <c:layout>
        <c:manualLayout>
          <c:layoutTarget val="inner"/>
          <c:xMode val="edge"/>
          <c:yMode val="edge"/>
          <c:x val="9.4343575816580413E-2"/>
          <c:y val="0.12777504924560487"/>
          <c:w val="0.82170691922728745"/>
          <c:h val="0.74982770867653059"/>
        </c:manualLayout>
      </c:layout>
      <c:scatterChart>
        <c:scatterStyle val="smoothMarker"/>
        <c:varyColors val="0"/>
        <c:ser>
          <c:idx val="0"/>
          <c:order val="0"/>
          <c:tx>
            <c:v>Eff</c:v>
          </c:tx>
          <c:spPr>
            <a:ln>
              <a:solidFill>
                <a:srgbClr val="FF0000"/>
              </a:solidFill>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Eff_vs_IOUT!$BZ$7:$BZ$157</c:f>
              <c:numCache>
                <c:formatCode>General</c:formatCode>
                <c:ptCount val="151"/>
                <c:pt idx="0">
                  <c:v>0</c:v>
                </c:pt>
                <c:pt idx="1">
                  <c:v>6.9104349545433763</c:v>
                </c:pt>
                <c:pt idx="2">
                  <c:v>12.823387718048037</c:v>
                </c:pt>
                <c:pt idx="3">
                  <c:v>17.936188279221803</c:v>
                </c:pt>
                <c:pt idx="4">
                  <c:v>22.39533017891296</c:v>
                </c:pt>
                <c:pt idx="5">
                  <c:v>26.31372330334824</c:v>
                </c:pt>
                <c:pt idx="6">
                  <c:v>29.779916078636436</c:v>
                </c:pt>
                <c:pt idx="7">
                  <c:v>32.86432486734271</c:v>
                </c:pt>
                <c:pt idx="8">
                  <c:v>35.623629433264171</c:v>
                </c:pt>
                <c:pt idx="9">
                  <c:v>38.103948620865765</c:v>
                </c:pt>
                <c:pt idx="10">
                  <c:v>40.343176127472312</c:v>
                </c:pt>
                <c:pt idx="11">
                  <c:v>42.372724757692545</c:v>
                </c:pt>
                <c:pt idx="12">
                  <c:v>44.218846584222696</c:v>
                </c:pt>
                <c:pt idx="13">
                  <c:v>45.903644339307306</c:v>
                </c:pt>
                <c:pt idx="14">
                  <c:v>47.445854894128217</c:v>
                </c:pt>
                <c:pt idx="15">
                  <c:v>48.861462399161283</c:v>
                </c:pt>
                <c:pt idx="16">
                  <c:v>50.164182651357912</c:v>
                </c:pt>
                <c:pt idx="17">
                  <c:v>51.365849079078593</c:v>
                </c:pt>
                <c:pt idx="18">
                  <c:v>52.476722825238006</c:v>
                </c:pt>
                <c:pt idx="19">
                  <c:v>53.505743737850977</c:v>
                </c:pt>
                <c:pt idx="20">
                  <c:v>54.46073496321624</c:v>
                </c:pt>
                <c:pt idx="21">
                  <c:v>55.348570819959953</c:v>
                </c:pt>
                <c:pt idx="22">
                  <c:v>56.175315396956414</c:v>
                </c:pt>
                <c:pt idx="23">
                  <c:v>56.946337646304315</c:v>
                </c:pt>
                <c:pt idx="24">
                  <c:v>57.666407480843262</c:v>
                </c:pt>
                <c:pt idx="25">
                  <c:v>58.3397764254903</c:v>
                </c:pt>
                <c:pt idx="26">
                  <c:v>58.970245635108675</c:v>
                </c:pt>
                <c:pt idx="27">
                  <c:v>59.561223522364891</c:v>
                </c:pt>
                <c:pt idx="28">
                  <c:v>60.115774795960995</c:v>
                </c:pt>
                <c:pt idx="29">
                  <c:v>60.636662362460456</c:v>
                </c:pt>
                <c:pt idx="30">
                  <c:v>61.126383271168628</c:v>
                </c:pt>
                <c:pt idx="31">
                  <c:v>61.587199664356106</c:v>
                </c:pt>
                <c:pt idx="32">
                  <c:v>62.021165521839848</c:v>
                </c:pt>
                <c:pt idx="33">
                  <c:v>62.430149849931837</c:v>
                </c:pt>
                <c:pt idx="34">
                  <c:v>62.815856852673058</c:v>
                </c:pt>
                <c:pt idx="35">
                  <c:v>63.179843532428436</c:v>
                </c:pt>
                <c:pt idx="36">
                  <c:v>63.523535092951533</c:v>
                </c:pt>
                <c:pt idx="37">
                  <c:v>63.84823845752593</c:v>
                </c:pt>
                <c:pt idx="38">
                  <c:v>64.155154165088561</c:v>
                </c:pt>
                <c:pt idx="39">
                  <c:v>64.445386866240824</c:v>
                </c:pt>
                <c:pt idx="40">
                  <c:v>64.719954607097392</c:v>
                </c:pt>
                <c:pt idx="41">
                  <c:v>64.979797060693329</c:v>
                </c:pt>
                <c:pt idx="42">
                  <c:v>65.225782842114683</c:v>
                </c:pt>
                <c:pt idx="43">
                  <c:v>65.458716023793571</c:v>
                </c:pt>
                <c:pt idx="44">
                  <c:v>65.679341950836388</c:v>
                </c:pt>
                <c:pt idx="45">
                  <c:v>65.888352442284173</c:v>
                </c:pt>
                <c:pt idx="46">
                  <c:v>66.086390452391569</c:v>
                </c:pt>
                <c:pt idx="47">
                  <c:v>66.274054255991516</c:v>
                </c:pt>
                <c:pt idx="48">
                  <c:v>66.451901213490302</c:v>
                </c:pt>
                <c:pt idx="49">
                  <c:v>66.620025168744064</c:v>
                </c:pt>
                <c:pt idx="50">
                  <c:v>66.773980927015359</c:v>
                </c:pt>
                <c:pt idx="51">
                  <c:v>66.918005739604297</c:v>
                </c:pt>
                <c:pt idx="52">
                  <c:v>67.052582819143211</c:v>
                </c:pt>
                <c:pt idx="53">
                  <c:v>67.178166387681856</c:v>
                </c:pt>
                <c:pt idx="54">
                  <c:v>67.295183800111232</c:v>
                </c:pt>
                <c:pt idx="55">
                  <c:v>67.40403748388195</c:v>
                </c:pt>
                <c:pt idx="56">
                  <c:v>67.505106713291866</c:v>
                </c:pt>
                <c:pt idx="57">
                  <c:v>67.598749234569368</c:v>
                </c:pt>
                <c:pt idx="58">
                  <c:v>67.685302756184711</c:v>
                </c:pt>
                <c:pt idx="59">
                  <c:v>67.765086317248475</c:v>
                </c:pt>
                <c:pt idx="60">
                  <c:v>67.838401545472635</c:v>
                </c:pt>
                <c:pt idx="61">
                  <c:v>67.905533814952022</c:v>
                </c:pt>
                <c:pt idx="62">
                  <c:v>67.966753312948768</c:v>
                </c:pt>
                <c:pt idx="63">
                  <c:v>68.02231602391366</c:v>
                </c:pt>
                <c:pt idx="64">
                  <c:v>68.072464638137092</c:v>
                </c:pt>
                <c:pt idx="65">
                  <c:v>68.117429391677646</c:v>
                </c:pt>
                <c:pt idx="66">
                  <c:v>68.15742884355403</c:v>
                </c:pt>
                <c:pt idx="67">
                  <c:v>68.192670595598386</c:v>
                </c:pt>
                <c:pt idx="68">
                  <c:v>68.223351959843697</c:v>
                </c:pt>
                <c:pt idx="69">
                  <c:v>68.249660577851628</c:v>
                </c:pt>
                <c:pt idx="70">
                  <c:v>68.271774995967888</c:v>
                </c:pt>
                <c:pt idx="71">
                  <c:v>68.289865200120076</c:v>
                </c:pt>
                <c:pt idx="72">
                  <c:v>68.304093113436807</c:v>
                </c:pt>
                <c:pt idx="73">
                  <c:v>68.314613059667522</c:v>
                </c:pt>
                <c:pt idx="74">
                  <c:v>68.321572195112651</c:v>
                </c:pt>
                <c:pt idx="75">
                  <c:v>68.325110911530118</c:v>
                </c:pt>
                <c:pt idx="76">
                  <c:v>68.325363212267973</c:v>
                </c:pt>
                <c:pt idx="77">
                  <c:v>68.322457063673482</c:v>
                </c:pt>
                <c:pt idx="78">
                  <c:v>68.316514723653398</c:v>
                </c:pt>
                <c:pt idx="79">
                  <c:v>68.307653049098647</c:v>
                </c:pt>
                <c:pt idx="80">
                  <c:v>68.295983783741093</c:v>
                </c:pt>
                <c:pt idx="81">
                  <c:v>68.281613827879497</c:v>
                </c:pt>
                <c:pt idx="82">
                  <c:v>68.264645491291645</c:v>
                </c:pt>
                <c:pt idx="83">
                  <c:v>68.245176730541758</c:v>
                </c:pt>
                <c:pt idx="84">
                  <c:v>68.223301371793909</c:v>
                </c:pt>
                <c:pt idx="85">
                  <c:v>68.1991093201528</c:v>
                </c:pt>
                <c:pt idx="86">
                  <c:v>68.172686756471734</c:v>
                </c:pt>
                <c:pt idx="87">
                  <c:v>68.144116322493488</c:v>
                </c:pt>
                <c:pt idx="88">
                  <c:v>68.113477295122209</c:v>
                </c:pt>
                <c:pt idx="89">
                  <c:v>68.080845750562517</c:v>
                </c:pt>
                <c:pt idx="90">
                  <c:v>68.046294719005743</c:v>
                </c:pt>
                <c:pt idx="91">
                  <c:v>68.009894330491534</c:v>
                </c:pt>
                <c:pt idx="92">
                  <c:v>67.971711952525609</c:v>
                </c:pt>
                <c:pt idx="93">
                  <c:v>67.931812319991664</c:v>
                </c:pt>
                <c:pt idx="94">
                  <c:v>67.890257657855187</c:v>
                </c:pt>
                <c:pt idx="95">
                  <c:v>67.8471077971207</c:v>
                </c:pt>
                <c:pt idx="96">
                  <c:v>67.802420284470728</c:v>
                </c:pt>
                <c:pt idx="97">
                  <c:v>67.756250485983642</c:v>
                </c:pt>
                <c:pt idx="98">
                  <c:v>67.708651685299586</c:v>
                </c:pt>
                <c:pt idx="99">
                  <c:v>67.659675176577352</c:v>
                </c:pt>
                <c:pt idx="100">
                  <c:v>67.6093703525612</c:v>
                </c:pt>
                <c:pt idx="101">
                  <c:v>67.557784788054775</c:v>
                </c:pt>
                <c:pt idx="102">
                  <c:v>67.504964319078169</c:v>
                </c:pt>
                <c:pt idx="103">
                  <c:v>67.450953117966108</c:v>
                </c:pt>
                <c:pt idx="104">
                  <c:v>67.395793764647337</c:v>
                </c:pt>
                <c:pt idx="105">
                  <c:v>67.339527314329246</c:v>
                </c:pt>
                <c:pt idx="106">
                  <c:v>67.282193361797098</c:v>
                </c:pt>
                <c:pt idx="107">
                  <c:v>67.223830102523152</c:v>
                </c:pt>
                <c:pt idx="108">
                  <c:v>67.164474390768319</c:v>
                </c:pt>
                <c:pt idx="109">
                  <c:v>67.104161794847315</c:v>
                </c:pt>
                <c:pt idx="110">
                  <c:v>67.042926649716932</c:v>
                </c:pt>
                <c:pt idx="111">
                  <c:v>66.980802107037007</c:v>
                </c:pt>
                <c:pt idx="112">
                  <c:v>66.917820182844451</c:v>
                </c:pt>
                <c:pt idx="113">
                  <c:v>66.854011802971471</c:v>
                </c:pt>
                <c:pt idx="114">
                  <c:v>66.78940684633109</c:v>
                </c:pt>
                <c:pt idx="115">
                  <c:v>66.724034186185818</c:v>
                </c:pt>
                <c:pt idx="116">
                  <c:v>66.657921729507308</c:v>
                </c:pt>
                <c:pt idx="117">
                  <c:v>66.591096454529591</c:v>
                </c:pt>
                <c:pt idx="118">
                  <c:v>66.52358444659086</c:v>
                </c:pt>
                <c:pt idx="119">
                  <c:v>66.455410932354155</c:v>
                </c:pt>
                <c:pt idx="120">
                  <c:v>66.386600312491353</c:v>
                </c:pt>
                <c:pt idx="121">
                  <c:v>66.317176192910239</c:v>
                </c:pt>
                <c:pt idx="122">
                  <c:v>66.247161414599191</c:v>
                </c:pt>
                <c:pt idx="123">
                  <c:v>66.176578082160333</c:v>
                </c:pt>
                <c:pt idx="124">
                  <c:v>66.105447591097672</c:v>
                </c:pt>
                <c:pt idx="125">
                  <c:v>66.03379065392248</c:v>
                </c:pt>
                <c:pt idx="126">
                  <c:v>65.96162732513541</c:v>
                </c:pt>
                <c:pt idx="127">
                  <c:v>65.88897702514079</c:v>
                </c:pt>
                <c:pt idx="128">
                  <c:v>65.815858563145881</c:v>
                </c:pt>
                <c:pt idx="129">
                  <c:v>65.742290159094651</c:v>
                </c:pt>
                <c:pt idx="130">
                  <c:v>65.668289464682928</c:v>
                </c:pt>
                <c:pt idx="131">
                  <c:v>65.593873583499445</c:v>
                </c:pt>
                <c:pt idx="132">
                  <c:v>65.519059090334466</c:v>
                </c:pt>
                <c:pt idx="133">
                  <c:v>65.443862049695682</c:v>
                </c:pt>
                <c:pt idx="134">
                  <c:v>65.368298033569005</c:v>
                </c:pt>
                <c:pt idx="135">
                  <c:v>65.292382138459516</c:v>
                </c:pt>
                <c:pt idx="136">
                  <c:v>65.216129001746268</c:v>
                </c:pt>
                <c:pt idx="137">
                  <c:v>65.139552817382778</c:v>
                </c:pt>
                <c:pt idx="138">
                  <c:v>65.062667350973243</c:v>
                </c:pt>
                <c:pt idx="139">
                  <c:v>64.985485954253292</c:v>
                </c:pt>
                <c:pt idx="140">
                  <c:v>64.908021579001911</c:v>
                </c:pt>
                <c:pt idx="141">
                  <c:v>64.830286790410753</c:v>
                </c:pt>
                <c:pt idx="142">
                  <c:v>64.752293779934831</c:v>
                </c:pt>
                <c:pt idx="143">
                  <c:v>64.674054377647849</c:v>
                </c:pt>
                <c:pt idx="144">
                  <c:v>64.595580064124263</c:v>
                </c:pt>
                <c:pt idx="145">
                  <c:v>64.516881981868664</c:v>
                </c:pt>
                <c:pt idx="146">
                  <c:v>64.437970946312504</c:v>
                </c:pt>
                <c:pt idx="147">
                  <c:v>64.358857456396919</c:v>
                </c:pt>
                <c:pt idx="148">
                  <c:v>64.279551704759754</c:v>
                </c:pt>
                <c:pt idx="149">
                  <c:v>64.20006358754334</c:v>
                </c:pt>
                <c:pt idx="150">
                  <c:v>64.120402713839837</c:v>
                </c:pt>
              </c:numCache>
            </c:numRef>
          </c:yVal>
          <c:smooth val="0"/>
          <c:extLst>
            <c:ext xmlns:c16="http://schemas.microsoft.com/office/drawing/2014/chart" uri="{C3380CC4-5D6E-409C-BE32-E72D297353CC}">
              <c16:uniqueId val="{00000000-86B4-4474-A5C3-0D7FC9F5A368}"/>
            </c:ext>
          </c:extLst>
        </c:ser>
        <c:dLbls>
          <c:showLegendKey val="0"/>
          <c:showVal val="0"/>
          <c:showCatName val="0"/>
          <c:showSerName val="0"/>
          <c:showPercent val="0"/>
          <c:showBubbleSize val="0"/>
        </c:dLbls>
        <c:axId val="586339072"/>
        <c:axId val="586340608"/>
      </c:scatterChart>
      <c:scatterChart>
        <c:scatterStyle val="smoothMarker"/>
        <c:varyColors val="0"/>
        <c:ser>
          <c:idx val="1"/>
          <c:order val="1"/>
          <c:tx>
            <c:v>MOSFET</c:v>
          </c:tx>
          <c:spPr>
            <a:ln>
              <a:solidFill>
                <a:schemeClr val="tx2">
                  <a:lumMod val="75000"/>
                </a:schemeClr>
              </a:solidFill>
              <a:prstDash val="dash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Eff_vs_IOUT!$AJ$7:$AJ$157</c:f>
              <c:numCache>
                <c:formatCode>General</c:formatCode>
                <c:ptCount val="151"/>
                <c:pt idx="0">
                  <c:v>0</c:v>
                </c:pt>
                <c:pt idx="1">
                  <c:v>7.4557462442911371E-4</c:v>
                </c:pt>
                <c:pt idx="2">
                  <c:v>1.0545451610377296E-3</c:v>
                </c:pt>
                <c:pt idx="3">
                  <c:v>1.2917244249182444E-3</c:v>
                </c:pt>
                <c:pt idx="4">
                  <c:v>1.4917577089069744E-3</c:v>
                </c:pt>
                <c:pt idx="5">
                  <c:v>1.6680625812094346E-3</c:v>
                </c:pt>
                <c:pt idx="6">
                  <c:v>1.8275194088921171E-3</c:v>
                </c:pt>
                <c:pt idx="7">
                  <c:v>1.9742148740515201E-3</c:v>
                </c:pt>
                <c:pt idx="8">
                  <c:v>2.110811306981659E-3</c:v>
                </c:pt>
                <c:pt idx="9">
                  <c:v>2.2391577134823295E-3</c:v>
                </c:pt>
                <c:pt idx="10">
                  <c:v>2.3606001582495021E-3</c:v>
                </c:pt>
                <c:pt idx="11">
                  <c:v>2.4761546719108737E-3</c:v>
                </c:pt>
                <c:pt idx="12">
                  <c:v>2.5866105009929048E-3</c:v>
                </c:pt>
                <c:pt idx="13">
                  <c:v>2.6925952058736323E-3</c:v>
                </c:pt>
                <c:pt idx="14">
                  <c:v>2.7946175404642937E-3</c:v>
                </c:pt>
                <c:pt idx="15">
                  <c:v>2.8930967335852745E-3</c:v>
                </c:pt>
                <c:pt idx="16">
                  <c:v>2.9883830982039227E-3</c:v>
                </c:pt>
                <c:pt idx="17">
                  <c:v>3.0807729151013244E-3</c:v>
                </c:pt>
                <c:pt idx="18">
                  <c:v>3.1705194227379875E-3</c:v>
                </c:pt>
                <c:pt idx="19">
                  <c:v>3.257841090345806E-3</c:v>
                </c:pt>
                <c:pt idx="20">
                  <c:v>3.3429279525718225E-3</c:v>
                </c:pt>
                <c:pt idx="21">
                  <c:v>3.425946533453815E-3</c:v>
                </c:pt>
                <c:pt idx="22">
                  <c:v>3.5070437256532775E-3</c:v>
                </c:pt>
                <c:pt idx="23">
                  <c:v>3.5863498837215256E-3</c:v>
                </c:pt>
                <c:pt idx="24">
                  <c:v>3.6639813176740257E-3</c:v>
                </c:pt>
                <c:pt idx="25">
                  <c:v>3.7400423231205055E-3</c:v>
                </c:pt>
                <c:pt idx="26">
                  <c:v>3.8146268490611697E-3</c:v>
                </c:pt>
                <c:pt idx="27">
                  <c:v>3.887819879380396E-3</c:v>
                </c:pt>
                <c:pt idx="28">
                  <c:v>3.9596985859049558E-3</c:v>
                </c:pt>
                <c:pt idx="29">
                  <c:v>4.0303332975597959E-3</c:v>
                </c:pt>
                <c:pt idx="30">
                  <c:v>4.0997883202445792E-3</c:v>
                </c:pt>
                <c:pt idx="31">
                  <c:v>4.1681226346048901E-3</c:v>
                </c:pt>
                <c:pt idx="32">
                  <c:v>4.2353904932129162E-3</c:v>
                </c:pt>
                <c:pt idx="33">
                  <c:v>4.3016419343311282E-3</c:v>
                </c:pt>
                <c:pt idx="34">
                  <c:v>4.3669232260714922E-3</c:v>
                </c:pt>
                <c:pt idx="35">
                  <c:v>4.4312772521387196E-3</c:v>
                </c:pt>
                <c:pt idx="36">
                  <c:v>4.4947438482808222E-3</c:v>
                </c:pt>
                <c:pt idx="37">
                  <c:v>4.5573600969327837E-3</c:v>
                </c:pt>
                <c:pt idx="38">
                  <c:v>4.6191605862317391E-3</c:v>
                </c:pt>
                <c:pt idx="39">
                  <c:v>4.6801776385311383E-3</c:v>
                </c:pt>
                <c:pt idx="40">
                  <c:v>4.740441512691573E-3</c:v>
                </c:pt>
                <c:pt idx="41">
                  <c:v>4.7999805837345534E-3</c:v>
                </c:pt>
                <c:pt idx="42">
                  <c:v>4.8588215028799158E-3</c:v>
                </c:pt>
                <c:pt idx="43">
                  <c:v>4.9169893405225235E-3</c:v>
                </c:pt>
                <c:pt idx="44">
                  <c:v>4.9745077143195059E-3</c:v>
                </c:pt>
                <c:pt idx="45">
                  <c:v>5.0313989042401171E-3</c:v>
                </c:pt>
                <c:pt idx="46">
                  <c:v>5.0876839561640585E-3</c:v>
                </c:pt>
                <c:pt idx="47">
                  <c:v>5.1433827753910944E-3</c:v>
                </c:pt>
                <c:pt idx="48">
                  <c:v>5.1985142112371359E-3</c:v>
                </c:pt>
                <c:pt idx="49">
                  <c:v>5.2577269379148117E-3</c:v>
                </c:pt>
                <c:pt idx="50">
                  <c:v>5.3653942417740191E-3</c:v>
                </c:pt>
                <c:pt idx="51">
                  <c:v>5.4730832956332272E-3</c:v>
                </c:pt>
                <c:pt idx="52">
                  <c:v>5.5807940994924343E-3</c:v>
                </c:pt>
                <c:pt idx="53">
                  <c:v>5.6885266533516421E-3</c:v>
                </c:pt>
                <c:pt idx="54">
                  <c:v>5.7962809572108497E-3</c:v>
                </c:pt>
                <c:pt idx="55">
                  <c:v>5.9040570110700579E-3</c:v>
                </c:pt>
                <c:pt idx="56">
                  <c:v>6.0118548149292652E-3</c:v>
                </c:pt>
                <c:pt idx="57">
                  <c:v>6.1196743687884731E-3</c:v>
                </c:pt>
                <c:pt idx="58">
                  <c:v>6.2275156726476801E-3</c:v>
                </c:pt>
                <c:pt idx="59">
                  <c:v>6.3353787265068885E-3</c:v>
                </c:pt>
                <c:pt idx="60">
                  <c:v>6.4432635303660933E-3</c:v>
                </c:pt>
                <c:pt idx="61">
                  <c:v>6.5511700842253023E-3</c:v>
                </c:pt>
                <c:pt idx="62">
                  <c:v>6.6590983880845112E-3</c:v>
                </c:pt>
                <c:pt idx="63">
                  <c:v>6.7670484419437181E-3</c:v>
                </c:pt>
                <c:pt idx="64">
                  <c:v>6.8750202458029265E-3</c:v>
                </c:pt>
                <c:pt idx="65">
                  <c:v>6.9830137996621348E-3</c:v>
                </c:pt>
                <c:pt idx="66">
                  <c:v>7.0910291035213404E-3</c:v>
                </c:pt>
                <c:pt idx="67">
                  <c:v>7.1990661573805483E-3</c:v>
                </c:pt>
                <c:pt idx="68">
                  <c:v>7.3071249612397552E-3</c:v>
                </c:pt>
                <c:pt idx="69">
                  <c:v>7.4152055150989637E-3</c:v>
                </c:pt>
                <c:pt idx="70">
                  <c:v>7.5233078189581729E-3</c:v>
                </c:pt>
                <c:pt idx="71">
                  <c:v>7.6314318728173784E-3</c:v>
                </c:pt>
                <c:pt idx="72">
                  <c:v>7.7395776766765855E-3</c:v>
                </c:pt>
                <c:pt idx="73">
                  <c:v>7.8477452305357933E-3</c:v>
                </c:pt>
                <c:pt idx="74">
                  <c:v>7.9559345343950018E-3</c:v>
                </c:pt>
                <c:pt idx="75">
                  <c:v>8.0641455882542075E-3</c:v>
                </c:pt>
                <c:pt idx="76">
                  <c:v>8.1723783921134156E-3</c:v>
                </c:pt>
                <c:pt idx="77">
                  <c:v>8.2806329459726227E-3</c:v>
                </c:pt>
                <c:pt idx="78">
                  <c:v>8.3889092498318323E-3</c:v>
                </c:pt>
                <c:pt idx="79">
                  <c:v>8.4972073036910407E-3</c:v>
                </c:pt>
                <c:pt idx="80">
                  <c:v>8.6055271075502447E-3</c:v>
                </c:pt>
                <c:pt idx="81">
                  <c:v>8.7138686614094546E-3</c:v>
                </c:pt>
                <c:pt idx="82">
                  <c:v>8.8222319652686617E-3</c:v>
                </c:pt>
                <c:pt idx="83">
                  <c:v>8.9306170191278695E-3</c:v>
                </c:pt>
                <c:pt idx="84">
                  <c:v>9.039023822987078E-3</c:v>
                </c:pt>
                <c:pt idx="85">
                  <c:v>9.1474523768462854E-3</c:v>
                </c:pt>
                <c:pt idx="86">
                  <c:v>9.2559026807054936E-3</c:v>
                </c:pt>
                <c:pt idx="87">
                  <c:v>9.3643747345647007E-3</c:v>
                </c:pt>
                <c:pt idx="88">
                  <c:v>9.4728685384239068E-3</c:v>
                </c:pt>
                <c:pt idx="89">
                  <c:v>9.5813840922831153E-3</c:v>
                </c:pt>
                <c:pt idx="90">
                  <c:v>9.6899213961423245E-3</c:v>
                </c:pt>
                <c:pt idx="91">
                  <c:v>9.7984804500015309E-3</c:v>
                </c:pt>
                <c:pt idx="92">
                  <c:v>9.9070612538607397E-3</c:v>
                </c:pt>
                <c:pt idx="93">
                  <c:v>1.0015663807719948E-2</c:v>
                </c:pt>
                <c:pt idx="94">
                  <c:v>1.0124288111579154E-2</c:v>
                </c:pt>
                <c:pt idx="95">
                  <c:v>1.0232934165438362E-2</c:v>
                </c:pt>
                <c:pt idx="96">
                  <c:v>1.0341601969297566E-2</c:v>
                </c:pt>
                <c:pt idx="97">
                  <c:v>1.0450291523156775E-2</c:v>
                </c:pt>
                <c:pt idx="98">
                  <c:v>1.0559002827015983E-2</c:v>
                </c:pt>
                <c:pt idx="99">
                  <c:v>1.0667735880875192E-2</c:v>
                </c:pt>
                <c:pt idx="100">
                  <c:v>1.0776490684734397E-2</c:v>
                </c:pt>
                <c:pt idx="101">
                  <c:v>1.0885267238593605E-2</c:v>
                </c:pt>
                <c:pt idx="102">
                  <c:v>1.0994065542452814E-2</c:v>
                </c:pt>
                <c:pt idx="103">
                  <c:v>1.1102885596312022E-2</c:v>
                </c:pt>
                <c:pt idx="104">
                  <c:v>1.1211727400171229E-2</c:v>
                </c:pt>
                <c:pt idx="105">
                  <c:v>1.1320590954030438E-2</c:v>
                </c:pt>
                <c:pt idx="106">
                  <c:v>1.1429476257889645E-2</c:v>
                </c:pt>
                <c:pt idx="107">
                  <c:v>1.1538383311748852E-2</c:v>
                </c:pt>
                <c:pt idx="108">
                  <c:v>1.164731211560806E-2</c:v>
                </c:pt>
                <c:pt idx="109">
                  <c:v>1.1756262669467266E-2</c:v>
                </c:pt>
                <c:pt idx="110">
                  <c:v>1.1865234973326476E-2</c:v>
                </c:pt>
                <c:pt idx="111">
                  <c:v>1.1974229027185682E-2</c:v>
                </c:pt>
                <c:pt idx="112">
                  <c:v>1.2083244831044891E-2</c:v>
                </c:pt>
                <c:pt idx="113">
                  <c:v>1.2192282384904097E-2</c:v>
                </c:pt>
                <c:pt idx="114">
                  <c:v>1.2301341688763307E-2</c:v>
                </c:pt>
                <c:pt idx="115">
                  <c:v>1.2410422742622515E-2</c:v>
                </c:pt>
                <c:pt idx="116">
                  <c:v>1.2519525546481719E-2</c:v>
                </c:pt>
                <c:pt idx="117">
                  <c:v>1.2628650100340928E-2</c:v>
                </c:pt>
                <c:pt idx="118">
                  <c:v>1.2737796404200138E-2</c:v>
                </c:pt>
                <c:pt idx="119">
                  <c:v>1.2846964458059341E-2</c:v>
                </c:pt>
                <c:pt idx="120">
                  <c:v>1.2956154261918547E-2</c:v>
                </c:pt>
                <c:pt idx="121">
                  <c:v>1.3065365815777759E-2</c:v>
                </c:pt>
                <c:pt idx="122">
                  <c:v>1.3174599119636964E-2</c:v>
                </c:pt>
                <c:pt idx="123">
                  <c:v>1.3283854173496172E-2</c:v>
                </c:pt>
                <c:pt idx="124">
                  <c:v>1.3393130977355382E-2</c:v>
                </c:pt>
                <c:pt idx="125">
                  <c:v>1.3502429531214589E-2</c:v>
                </c:pt>
                <c:pt idx="126">
                  <c:v>1.3611749835073796E-2</c:v>
                </c:pt>
                <c:pt idx="127">
                  <c:v>1.3721091888933005E-2</c:v>
                </c:pt>
                <c:pt idx="128">
                  <c:v>1.3830455692792213E-2</c:v>
                </c:pt>
                <c:pt idx="129">
                  <c:v>1.3939841246651419E-2</c:v>
                </c:pt>
                <c:pt idx="130">
                  <c:v>1.404924855051063E-2</c:v>
                </c:pt>
                <c:pt idx="131">
                  <c:v>1.4158677604369837E-2</c:v>
                </c:pt>
                <c:pt idx="132">
                  <c:v>1.4268128408229041E-2</c:v>
                </c:pt>
                <c:pt idx="133">
                  <c:v>1.4377600962088248E-2</c:v>
                </c:pt>
                <c:pt idx="134">
                  <c:v>1.4487095265947457E-2</c:v>
                </c:pt>
                <c:pt idx="135">
                  <c:v>1.4596611319806664E-2</c:v>
                </c:pt>
                <c:pt idx="136">
                  <c:v>1.4706149123665871E-2</c:v>
                </c:pt>
                <c:pt idx="137">
                  <c:v>1.4815708677525082E-2</c:v>
                </c:pt>
                <c:pt idx="138">
                  <c:v>1.4925289981384288E-2</c:v>
                </c:pt>
                <c:pt idx="139">
                  <c:v>1.5034893035243494E-2</c:v>
                </c:pt>
                <c:pt idx="140">
                  <c:v>1.5144517839102705E-2</c:v>
                </c:pt>
                <c:pt idx="141">
                  <c:v>1.5254164392961907E-2</c:v>
                </c:pt>
                <c:pt idx="142">
                  <c:v>1.5363832696821117E-2</c:v>
                </c:pt>
                <c:pt idx="143">
                  <c:v>1.5473522750680323E-2</c:v>
                </c:pt>
                <c:pt idx="144">
                  <c:v>1.558323455453953E-2</c:v>
                </c:pt>
                <c:pt idx="145">
                  <c:v>1.5692968108398739E-2</c:v>
                </c:pt>
                <c:pt idx="146">
                  <c:v>1.5802723412257948E-2</c:v>
                </c:pt>
                <c:pt idx="147">
                  <c:v>1.5912500466117155E-2</c:v>
                </c:pt>
                <c:pt idx="148">
                  <c:v>1.6022299269976361E-2</c:v>
                </c:pt>
                <c:pt idx="149">
                  <c:v>1.613211982383557E-2</c:v>
                </c:pt>
                <c:pt idx="150">
                  <c:v>1.6241962127694777E-2</c:v>
                </c:pt>
              </c:numCache>
            </c:numRef>
          </c:yVal>
          <c:smooth val="1"/>
          <c:extLst>
            <c:ext xmlns:c16="http://schemas.microsoft.com/office/drawing/2014/chart" uri="{C3380CC4-5D6E-409C-BE32-E72D297353CC}">
              <c16:uniqueId val="{00000001-86B4-4474-A5C3-0D7FC9F5A368}"/>
            </c:ext>
          </c:extLst>
        </c:ser>
        <c:ser>
          <c:idx val="3"/>
          <c:order val="2"/>
          <c:tx>
            <c:v>RS</c:v>
          </c:tx>
          <c:spPr>
            <a:ln>
              <a:solidFill>
                <a:schemeClr val="accent5">
                  <a:lumMod val="75000"/>
                </a:schemeClr>
              </a:solidFill>
              <a:prstDash val="lgDashDot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Eff_vs_IOUT!$BU$7:$BU$157</c:f>
              <c:numCache>
                <c:formatCode>General</c:formatCode>
                <c:ptCount val="151"/>
                <c:pt idx="0">
                  <c:v>0</c:v>
                </c:pt>
                <c:pt idx="1">
                  <c:v>2.3312645545853737E-7</c:v>
                </c:pt>
                <c:pt idx="2">
                  <c:v>6.5938119011486142E-7</c:v>
                </c:pt>
                <c:pt idx="3">
                  <c:v>1.2113605963278881E-6</c:v>
                </c:pt>
                <c:pt idx="4">
                  <c:v>1.8650116436682988E-6</c:v>
                </c:pt>
                <c:pt idx="5">
                  <c:v>2.6064330087943323E-6</c:v>
                </c:pt>
                <c:pt idx="6">
                  <c:v>3.4262451685025187E-6</c:v>
                </c:pt>
                <c:pt idx="7">
                  <c:v>4.3175623762128643E-6</c:v>
                </c:pt>
                <c:pt idx="8">
                  <c:v>5.2750495209188914E-6</c:v>
                </c:pt>
                <c:pt idx="9">
                  <c:v>6.2944142973805057E-6</c:v>
                </c:pt>
                <c:pt idx="10">
                  <c:v>7.3721058209077132E-6</c:v>
                </c:pt>
                <c:pt idx="11">
                  <c:v>8.5051227960761595E-6</c:v>
                </c:pt>
                <c:pt idx="12">
                  <c:v>9.6908847706231065E-6</c:v>
                </c:pt>
                <c:pt idx="13">
                  <c:v>1.0927142054698068E-5</c:v>
                </c:pt>
                <c:pt idx="14">
                  <c:v>1.2211910537664075E-5</c:v>
                </c:pt>
                <c:pt idx="15">
                  <c:v>1.3543423193269199E-5</c:v>
                </c:pt>
                <c:pt idx="16">
                  <c:v>1.4920093149346392E-5</c:v>
                </c:pt>
                <c:pt idx="17">
                  <c:v>1.6340484999683805E-5</c:v>
                </c:pt>
                <c:pt idx="18">
                  <c:v>1.7803292133101257E-5</c:v>
                </c:pt>
                <c:pt idx="19">
                  <c:v>1.9307318547782407E-5</c:v>
                </c:pt>
                <c:pt idx="20">
                  <c:v>2.0851464070354648E-5</c:v>
                </c:pt>
                <c:pt idx="21">
                  <c:v>2.2434712201345454E-5</c:v>
                </c:pt>
                <c:pt idx="22">
                  <c:v>2.4056120015718959E-5</c:v>
                </c:pt>
                <c:pt idx="23">
                  <c:v>2.5714809692142867E-5</c:v>
                </c:pt>
                <c:pt idx="24">
                  <c:v>2.7409961348020149E-5</c:v>
                </c:pt>
                <c:pt idx="25">
                  <c:v>2.9140806932317165E-5</c:v>
                </c:pt>
                <c:pt idx="26">
                  <c:v>3.0906624983462815E-5</c:v>
                </c:pt>
                <c:pt idx="27">
                  <c:v>3.2706736100852989E-5</c:v>
                </c:pt>
                <c:pt idx="28">
                  <c:v>3.4540499009702915E-5</c:v>
                </c:pt>
                <c:pt idx="29">
                  <c:v>3.6407307122872407E-5</c:v>
                </c:pt>
                <c:pt idx="30">
                  <c:v>3.8306585521759288E-5</c:v>
                </c:pt>
                <c:pt idx="31">
                  <c:v>4.0237788292782661E-5</c:v>
                </c:pt>
                <c:pt idx="32">
                  <c:v>4.2200396167351131E-5</c:v>
                </c:pt>
                <c:pt idx="33">
                  <c:v>4.4193914422248542E-5</c:v>
                </c:pt>
                <c:pt idx="34">
                  <c:v>4.6217871004613908E-5</c:v>
                </c:pt>
                <c:pt idx="35">
                  <c:v>4.82718148515374E-5</c:v>
                </c:pt>
                <c:pt idx="36">
                  <c:v>5.035531437904406E-5</c:v>
                </c:pt>
                <c:pt idx="37">
                  <c:v>5.246795611912382E-5</c:v>
                </c:pt>
                <c:pt idx="38">
                  <c:v>5.4609343486662973E-5</c:v>
                </c:pt>
                <c:pt idx="39">
                  <c:v>5.6779095660778886E-5</c:v>
                </c:pt>
                <c:pt idx="40">
                  <c:v>5.8976846567261712E-5</c:v>
                </c:pt>
                <c:pt idx="41">
                  <c:v>6.120224395066818E-5</c:v>
                </c:pt>
                <c:pt idx="42">
                  <c:v>6.3454948526159817E-5</c:v>
                </c:pt>
                <c:pt idx="43">
                  <c:v>6.5734633202484862E-5</c:v>
                </c:pt>
                <c:pt idx="44">
                  <c:v>6.8040982368609262E-5</c:v>
                </c:pt>
                <c:pt idx="45">
                  <c:v>7.0373691237446973E-5</c:v>
                </c:pt>
                <c:pt idx="46">
                  <c:v>7.2732465240943163E-5</c:v>
                </c:pt>
                <c:pt idx="47">
                  <c:v>7.5117019471456991E-5</c:v>
                </c:pt>
                <c:pt idx="48">
                  <c:v>7.7527078164984839E-5</c:v>
                </c:pt>
                <c:pt idx="49">
                  <c:v>7.9962468537103637E-5</c:v>
                </c:pt>
                <c:pt idx="50">
                  <c:v>8.243746853710363E-5</c:v>
                </c:pt>
                <c:pt idx="51">
                  <c:v>8.4962468537103596E-5</c:v>
                </c:pt>
                <c:pt idx="52">
                  <c:v>8.7537468537103605E-5</c:v>
                </c:pt>
                <c:pt idx="53">
                  <c:v>9.0162468537103628E-5</c:v>
                </c:pt>
                <c:pt idx="54">
                  <c:v>9.2837468537103652E-5</c:v>
                </c:pt>
                <c:pt idx="55">
                  <c:v>9.556246853710361E-5</c:v>
                </c:pt>
                <c:pt idx="56">
                  <c:v>9.8337468537103623E-5</c:v>
                </c:pt>
                <c:pt idx="57">
                  <c:v>1.0116246853710364E-4</c:v>
                </c:pt>
                <c:pt idx="58">
                  <c:v>1.0403746853710359E-4</c:v>
                </c:pt>
                <c:pt idx="59">
                  <c:v>1.0696246853710359E-4</c:v>
                </c:pt>
                <c:pt idx="60">
                  <c:v>1.0993746853710365E-4</c:v>
                </c:pt>
                <c:pt idx="61">
                  <c:v>1.1296246853710356E-4</c:v>
                </c:pt>
                <c:pt idx="62">
                  <c:v>1.1603746853710354E-4</c:v>
                </c:pt>
                <c:pt idx="63">
                  <c:v>1.1916246853710357E-4</c:v>
                </c:pt>
                <c:pt idx="64">
                  <c:v>1.223374685371036E-4</c:v>
                </c:pt>
                <c:pt idx="65">
                  <c:v>1.2556246853710363E-4</c:v>
                </c:pt>
                <c:pt idx="66">
                  <c:v>1.2883746853710367E-4</c:v>
                </c:pt>
                <c:pt idx="67">
                  <c:v>1.3216246853710361E-4</c:v>
                </c:pt>
                <c:pt idx="68">
                  <c:v>1.3553746853710362E-4</c:v>
                </c:pt>
                <c:pt idx="69">
                  <c:v>1.3896246853710363E-4</c:v>
                </c:pt>
                <c:pt idx="70">
                  <c:v>1.4243746853710362E-4</c:v>
                </c:pt>
                <c:pt idx="71">
                  <c:v>1.4596246853710359E-4</c:v>
                </c:pt>
                <c:pt idx="72">
                  <c:v>1.4953746853710358E-4</c:v>
                </c:pt>
                <c:pt idx="73">
                  <c:v>1.531624685371036E-4</c:v>
                </c:pt>
                <c:pt idx="74">
                  <c:v>1.5683746853710357E-4</c:v>
                </c:pt>
                <c:pt idx="75">
                  <c:v>1.6056246853710356E-4</c:v>
                </c:pt>
                <c:pt idx="76">
                  <c:v>1.6433746853710351E-4</c:v>
                </c:pt>
                <c:pt idx="77">
                  <c:v>1.6816246853710359E-4</c:v>
                </c:pt>
                <c:pt idx="78">
                  <c:v>1.7203746853710361E-4</c:v>
                </c:pt>
                <c:pt idx="79">
                  <c:v>1.7596246853710356E-4</c:v>
                </c:pt>
                <c:pt idx="80">
                  <c:v>1.7993746853710361E-4</c:v>
                </c:pt>
                <c:pt idx="81">
                  <c:v>1.8396246853710359E-4</c:v>
                </c:pt>
                <c:pt idx="82">
                  <c:v>1.8803746853710357E-4</c:v>
                </c:pt>
                <c:pt idx="83">
                  <c:v>1.9216246853710365E-4</c:v>
                </c:pt>
                <c:pt idx="84">
                  <c:v>1.9633746853710361E-4</c:v>
                </c:pt>
                <c:pt idx="85">
                  <c:v>2.0056246853710356E-4</c:v>
                </c:pt>
                <c:pt idx="86">
                  <c:v>2.0483746853710365E-4</c:v>
                </c:pt>
                <c:pt idx="87">
                  <c:v>2.0916246853710363E-4</c:v>
                </c:pt>
                <c:pt idx="88">
                  <c:v>2.1353746853710362E-4</c:v>
                </c:pt>
                <c:pt idx="89">
                  <c:v>2.1796246853710358E-4</c:v>
                </c:pt>
                <c:pt idx="90">
                  <c:v>2.2243746853710367E-4</c:v>
                </c:pt>
                <c:pt idx="91">
                  <c:v>2.2696246853710363E-4</c:v>
                </c:pt>
                <c:pt idx="92">
                  <c:v>2.3153746853710362E-4</c:v>
                </c:pt>
                <c:pt idx="93">
                  <c:v>2.3616246853710364E-4</c:v>
                </c:pt>
                <c:pt idx="94">
                  <c:v>2.4083746853710371E-4</c:v>
                </c:pt>
                <c:pt idx="95">
                  <c:v>2.4556246853710365E-4</c:v>
                </c:pt>
                <c:pt idx="96">
                  <c:v>2.5033746853710354E-4</c:v>
                </c:pt>
                <c:pt idx="97">
                  <c:v>2.551624685371035E-4</c:v>
                </c:pt>
                <c:pt idx="98">
                  <c:v>2.6003746853710356E-4</c:v>
                </c:pt>
                <c:pt idx="99">
                  <c:v>2.6496246853710358E-4</c:v>
                </c:pt>
                <c:pt idx="100">
                  <c:v>2.6993746853710358E-4</c:v>
                </c:pt>
                <c:pt idx="101">
                  <c:v>2.7496246853710361E-4</c:v>
                </c:pt>
                <c:pt idx="102">
                  <c:v>2.8003746853710361E-4</c:v>
                </c:pt>
                <c:pt idx="103">
                  <c:v>2.8516246853710364E-4</c:v>
                </c:pt>
                <c:pt idx="104">
                  <c:v>2.9033746853710359E-4</c:v>
                </c:pt>
                <c:pt idx="105">
                  <c:v>2.9556246853710357E-4</c:v>
                </c:pt>
                <c:pt idx="106">
                  <c:v>3.0083746853710357E-4</c:v>
                </c:pt>
                <c:pt idx="107">
                  <c:v>3.0616246853710361E-4</c:v>
                </c:pt>
                <c:pt idx="108">
                  <c:v>3.1153746853710372E-4</c:v>
                </c:pt>
                <c:pt idx="109">
                  <c:v>3.1696246853710376E-4</c:v>
                </c:pt>
                <c:pt idx="110">
                  <c:v>3.2243746853710355E-4</c:v>
                </c:pt>
                <c:pt idx="111">
                  <c:v>3.279624685371037E-4</c:v>
                </c:pt>
                <c:pt idx="112">
                  <c:v>3.3353746853710355E-4</c:v>
                </c:pt>
                <c:pt idx="113">
                  <c:v>3.391624685371037E-4</c:v>
                </c:pt>
                <c:pt idx="114">
                  <c:v>3.4483746853710372E-4</c:v>
                </c:pt>
                <c:pt idx="115">
                  <c:v>3.5056246853710355E-4</c:v>
                </c:pt>
                <c:pt idx="116">
                  <c:v>3.5633746853710362E-4</c:v>
                </c:pt>
                <c:pt idx="117">
                  <c:v>3.6216246853710361E-4</c:v>
                </c:pt>
                <c:pt idx="118">
                  <c:v>3.6803746853710358E-4</c:v>
                </c:pt>
                <c:pt idx="119">
                  <c:v>3.7396246853710341E-4</c:v>
                </c:pt>
                <c:pt idx="120">
                  <c:v>3.7993746853710354E-4</c:v>
                </c:pt>
                <c:pt idx="121">
                  <c:v>3.8596246853710354E-4</c:v>
                </c:pt>
                <c:pt idx="122">
                  <c:v>3.9203746853710351E-4</c:v>
                </c:pt>
                <c:pt idx="123">
                  <c:v>3.9816246853710362E-4</c:v>
                </c:pt>
                <c:pt idx="124">
                  <c:v>4.0433746853710359E-4</c:v>
                </c:pt>
                <c:pt idx="125">
                  <c:v>4.1056246853710381E-4</c:v>
                </c:pt>
                <c:pt idx="126">
                  <c:v>4.1683746853710346E-4</c:v>
                </c:pt>
                <c:pt idx="127">
                  <c:v>4.2316246853710341E-4</c:v>
                </c:pt>
                <c:pt idx="128">
                  <c:v>4.2953746853710366E-4</c:v>
                </c:pt>
                <c:pt idx="129">
                  <c:v>4.3596246853710345E-4</c:v>
                </c:pt>
                <c:pt idx="130">
                  <c:v>4.4243746853710349E-4</c:v>
                </c:pt>
                <c:pt idx="131">
                  <c:v>4.4896246853710366E-4</c:v>
                </c:pt>
                <c:pt idx="132">
                  <c:v>4.5553746853710375E-4</c:v>
                </c:pt>
                <c:pt idx="133">
                  <c:v>4.6216246853710371E-4</c:v>
                </c:pt>
                <c:pt idx="134">
                  <c:v>4.688374685371037E-4</c:v>
                </c:pt>
                <c:pt idx="135">
                  <c:v>4.7556246853710371E-4</c:v>
                </c:pt>
                <c:pt idx="136">
                  <c:v>4.823374685371037E-4</c:v>
                </c:pt>
                <c:pt idx="137">
                  <c:v>4.8916246853710355E-4</c:v>
                </c:pt>
                <c:pt idx="138">
                  <c:v>4.960374685371036E-4</c:v>
                </c:pt>
                <c:pt idx="139">
                  <c:v>5.0296246853710367E-4</c:v>
                </c:pt>
                <c:pt idx="140">
                  <c:v>5.0993746853710378E-4</c:v>
                </c:pt>
                <c:pt idx="141">
                  <c:v>5.1696246853710336E-4</c:v>
                </c:pt>
                <c:pt idx="142">
                  <c:v>5.240374685371033E-4</c:v>
                </c:pt>
                <c:pt idx="143">
                  <c:v>5.3116246853710349E-4</c:v>
                </c:pt>
                <c:pt idx="144">
                  <c:v>5.383374685371036E-4</c:v>
                </c:pt>
                <c:pt idx="145">
                  <c:v>5.4556246853710362E-4</c:v>
                </c:pt>
                <c:pt idx="146">
                  <c:v>5.5283746853710325E-4</c:v>
                </c:pt>
                <c:pt idx="147">
                  <c:v>5.6016246853710355E-4</c:v>
                </c:pt>
                <c:pt idx="148">
                  <c:v>5.6753746853710344E-4</c:v>
                </c:pt>
                <c:pt idx="149">
                  <c:v>5.7496246853710369E-4</c:v>
                </c:pt>
                <c:pt idx="150">
                  <c:v>5.8243746853710375E-4</c:v>
                </c:pt>
              </c:numCache>
            </c:numRef>
          </c:yVal>
          <c:smooth val="1"/>
          <c:extLst>
            <c:ext xmlns:c16="http://schemas.microsoft.com/office/drawing/2014/chart" uri="{C3380CC4-5D6E-409C-BE32-E72D297353CC}">
              <c16:uniqueId val="{00000002-86B4-4474-A5C3-0D7FC9F5A368}"/>
            </c:ext>
          </c:extLst>
        </c:ser>
        <c:ser>
          <c:idx val="2"/>
          <c:order val="3"/>
          <c:tx>
            <c:v>D1</c:v>
          </c:tx>
          <c:spPr>
            <a:ln>
              <a:solidFill>
                <a:schemeClr val="bg2">
                  <a:lumMod val="50000"/>
                </a:schemeClr>
              </a:solidFill>
              <a:prstDash val="sysDash"/>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Eff_vs_IOUT!$AY$8:$AY$157</c:f>
              <c:numCache>
                <c:formatCode>General</c:formatCode>
                <c:ptCount val="150"/>
                <c:pt idx="0">
                  <c:v>6.8348000000000006E-2</c:v>
                </c:pt>
                <c:pt idx="1">
                  <c:v>6.8547999999999998E-2</c:v>
                </c:pt>
                <c:pt idx="2">
                  <c:v>6.8748000000000004E-2</c:v>
                </c:pt>
                <c:pt idx="3">
                  <c:v>6.8947999999999995E-2</c:v>
                </c:pt>
                <c:pt idx="4">
                  <c:v>6.9148000000000001E-2</c:v>
                </c:pt>
                <c:pt idx="5">
                  <c:v>6.9348000000000007E-2</c:v>
                </c:pt>
                <c:pt idx="6">
                  <c:v>6.9547999999999999E-2</c:v>
                </c:pt>
                <c:pt idx="7">
                  <c:v>6.9748000000000004E-2</c:v>
                </c:pt>
                <c:pt idx="8">
                  <c:v>6.9947999999999996E-2</c:v>
                </c:pt>
                <c:pt idx="9">
                  <c:v>7.0148000000000002E-2</c:v>
                </c:pt>
                <c:pt idx="10">
                  <c:v>7.0347999999999994E-2</c:v>
                </c:pt>
                <c:pt idx="11">
                  <c:v>7.0548E-2</c:v>
                </c:pt>
                <c:pt idx="12">
                  <c:v>7.0748000000000005E-2</c:v>
                </c:pt>
                <c:pt idx="13">
                  <c:v>7.0947999999999997E-2</c:v>
                </c:pt>
                <c:pt idx="14">
                  <c:v>7.1148000000000003E-2</c:v>
                </c:pt>
                <c:pt idx="15">
                  <c:v>7.1347999999999995E-2</c:v>
                </c:pt>
                <c:pt idx="16">
                  <c:v>7.1548E-2</c:v>
                </c:pt>
                <c:pt idx="17">
                  <c:v>7.1748000000000006E-2</c:v>
                </c:pt>
                <c:pt idx="18">
                  <c:v>7.1947999999999998E-2</c:v>
                </c:pt>
                <c:pt idx="19">
                  <c:v>7.2148000000000004E-2</c:v>
                </c:pt>
                <c:pt idx="20">
                  <c:v>7.2347999999999996E-2</c:v>
                </c:pt>
                <c:pt idx="21">
                  <c:v>7.2548000000000001E-2</c:v>
                </c:pt>
                <c:pt idx="22">
                  <c:v>7.2748000000000007E-2</c:v>
                </c:pt>
                <c:pt idx="23">
                  <c:v>7.2947999999999999E-2</c:v>
                </c:pt>
                <c:pt idx="24">
                  <c:v>7.3148000000000005E-2</c:v>
                </c:pt>
                <c:pt idx="25">
                  <c:v>7.3347999999999997E-2</c:v>
                </c:pt>
                <c:pt idx="26">
                  <c:v>7.3548000000000002E-2</c:v>
                </c:pt>
                <c:pt idx="27">
                  <c:v>7.3747999999999994E-2</c:v>
                </c:pt>
                <c:pt idx="28">
                  <c:v>7.3948E-2</c:v>
                </c:pt>
                <c:pt idx="29">
                  <c:v>7.4148000000000006E-2</c:v>
                </c:pt>
                <c:pt idx="30">
                  <c:v>7.4347999999999997E-2</c:v>
                </c:pt>
                <c:pt idx="31">
                  <c:v>7.4548000000000003E-2</c:v>
                </c:pt>
                <c:pt idx="32">
                  <c:v>7.4747999999999995E-2</c:v>
                </c:pt>
                <c:pt idx="33">
                  <c:v>7.4948000000000001E-2</c:v>
                </c:pt>
                <c:pt idx="34">
                  <c:v>7.5148000000000006E-2</c:v>
                </c:pt>
                <c:pt idx="35">
                  <c:v>7.5347999999999998E-2</c:v>
                </c:pt>
                <c:pt idx="36">
                  <c:v>7.5548000000000004E-2</c:v>
                </c:pt>
                <c:pt idx="37">
                  <c:v>7.5747999999999996E-2</c:v>
                </c:pt>
                <c:pt idx="38">
                  <c:v>7.5948000000000002E-2</c:v>
                </c:pt>
                <c:pt idx="39">
                  <c:v>7.6147999999999993E-2</c:v>
                </c:pt>
                <c:pt idx="40">
                  <c:v>7.6347999999999999E-2</c:v>
                </c:pt>
                <c:pt idx="41">
                  <c:v>7.6548000000000005E-2</c:v>
                </c:pt>
                <c:pt idx="42">
                  <c:v>7.6747999999999997E-2</c:v>
                </c:pt>
                <c:pt idx="43">
                  <c:v>7.6948000000000003E-2</c:v>
                </c:pt>
                <c:pt idx="44">
                  <c:v>7.7147999999999994E-2</c:v>
                </c:pt>
                <c:pt idx="45">
                  <c:v>7.7348E-2</c:v>
                </c:pt>
                <c:pt idx="46">
                  <c:v>7.7548000000000006E-2</c:v>
                </c:pt>
                <c:pt idx="47">
                  <c:v>7.7747999999999998E-2</c:v>
                </c:pt>
                <c:pt idx="48">
                  <c:v>7.7948000000000003E-2</c:v>
                </c:pt>
                <c:pt idx="49">
                  <c:v>7.8147999999999995E-2</c:v>
                </c:pt>
                <c:pt idx="50">
                  <c:v>7.8348000000000001E-2</c:v>
                </c:pt>
                <c:pt idx="51">
                  <c:v>7.8548000000000007E-2</c:v>
                </c:pt>
                <c:pt idx="52">
                  <c:v>7.8747999999999999E-2</c:v>
                </c:pt>
                <c:pt idx="53">
                  <c:v>7.8948000000000004E-2</c:v>
                </c:pt>
                <c:pt idx="54">
                  <c:v>7.9147999999999996E-2</c:v>
                </c:pt>
                <c:pt idx="55">
                  <c:v>7.9348000000000002E-2</c:v>
                </c:pt>
                <c:pt idx="56">
                  <c:v>7.9548000000000008E-2</c:v>
                </c:pt>
                <c:pt idx="57">
                  <c:v>7.9747999999999999E-2</c:v>
                </c:pt>
                <c:pt idx="58">
                  <c:v>7.9948000000000005E-2</c:v>
                </c:pt>
                <c:pt idx="59">
                  <c:v>8.0147999999999997E-2</c:v>
                </c:pt>
                <c:pt idx="60">
                  <c:v>8.0348000000000003E-2</c:v>
                </c:pt>
                <c:pt idx="61">
                  <c:v>8.0547999999999995E-2</c:v>
                </c:pt>
                <c:pt idx="62">
                  <c:v>8.0748E-2</c:v>
                </c:pt>
                <c:pt idx="63">
                  <c:v>8.0947999999999992E-2</c:v>
                </c:pt>
                <c:pt idx="64">
                  <c:v>8.1147999999999998E-2</c:v>
                </c:pt>
                <c:pt idx="65">
                  <c:v>8.1348000000000004E-2</c:v>
                </c:pt>
                <c:pt idx="66">
                  <c:v>8.1547999999999995E-2</c:v>
                </c:pt>
                <c:pt idx="67">
                  <c:v>8.1748000000000001E-2</c:v>
                </c:pt>
                <c:pt idx="68">
                  <c:v>8.1948000000000007E-2</c:v>
                </c:pt>
                <c:pt idx="69">
                  <c:v>8.2147999999999999E-2</c:v>
                </c:pt>
                <c:pt idx="70">
                  <c:v>8.2348000000000005E-2</c:v>
                </c:pt>
                <c:pt idx="71">
                  <c:v>8.2547999999999996E-2</c:v>
                </c:pt>
                <c:pt idx="72">
                  <c:v>8.2748000000000002E-2</c:v>
                </c:pt>
                <c:pt idx="73">
                  <c:v>8.2947999999999994E-2</c:v>
                </c:pt>
                <c:pt idx="74">
                  <c:v>8.3148E-2</c:v>
                </c:pt>
                <c:pt idx="75">
                  <c:v>8.3348000000000005E-2</c:v>
                </c:pt>
                <c:pt idx="76">
                  <c:v>8.3547999999999997E-2</c:v>
                </c:pt>
                <c:pt idx="77">
                  <c:v>8.3748000000000003E-2</c:v>
                </c:pt>
                <c:pt idx="78">
                  <c:v>8.3947999999999995E-2</c:v>
                </c:pt>
                <c:pt idx="79">
                  <c:v>8.4148000000000001E-2</c:v>
                </c:pt>
                <c:pt idx="80">
                  <c:v>8.4348000000000006E-2</c:v>
                </c:pt>
                <c:pt idx="81">
                  <c:v>8.4547999999999998E-2</c:v>
                </c:pt>
                <c:pt idx="82">
                  <c:v>8.4748000000000004E-2</c:v>
                </c:pt>
                <c:pt idx="83">
                  <c:v>8.4947999999999996E-2</c:v>
                </c:pt>
                <c:pt idx="84">
                  <c:v>8.5148000000000001E-2</c:v>
                </c:pt>
                <c:pt idx="85">
                  <c:v>8.5348000000000007E-2</c:v>
                </c:pt>
                <c:pt idx="86">
                  <c:v>8.5547999999999999E-2</c:v>
                </c:pt>
                <c:pt idx="87">
                  <c:v>8.5747999999999991E-2</c:v>
                </c:pt>
                <c:pt idx="88">
                  <c:v>8.5947999999999997E-2</c:v>
                </c:pt>
                <c:pt idx="89">
                  <c:v>8.6148000000000002E-2</c:v>
                </c:pt>
                <c:pt idx="90">
                  <c:v>8.6348000000000008E-2</c:v>
                </c:pt>
                <c:pt idx="91">
                  <c:v>8.6548E-2</c:v>
                </c:pt>
                <c:pt idx="92">
                  <c:v>8.6748000000000006E-2</c:v>
                </c:pt>
                <c:pt idx="93">
                  <c:v>8.6947999999999998E-2</c:v>
                </c:pt>
                <c:pt idx="94">
                  <c:v>8.7148000000000003E-2</c:v>
                </c:pt>
                <c:pt idx="95">
                  <c:v>8.7347999999999995E-2</c:v>
                </c:pt>
                <c:pt idx="96">
                  <c:v>8.7548000000000001E-2</c:v>
                </c:pt>
                <c:pt idx="97">
                  <c:v>8.7747999999999993E-2</c:v>
                </c:pt>
                <c:pt idx="98">
                  <c:v>8.7947999999999998E-2</c:v>
                </c:pt>
                <c:pt idx="99">
                  <c:v>8.8148000000000004E-2</c:v>
                </c:pt>
                <c:pt idx="100">
                  <c:v>8.8347999999999996E-2</c:v>
                </c:pt>
                <c:pt idx="101">
                  <c:v>8.8548000000000002E-2</c:v>
                </c:pt>
                <c:pt idx="102">
                  <c:v>8.8747999999999994E-2</c:v>
                </c:pt>
                <c:pt idx="103">
                  <c:v>8.8947999999999999E-2</c:v>
                </c:pt>
                <c:pt idx="104">
                  <c:v>8.9148000000000005E-2</c:v>
                </c:pt>
                <c:pt idx="105">
                  <c:v>8.9347999999999997E-2</c:v>
                </c:pt>
                <c:pt idx="106">
                  <c:v>8.9548000000000003E-2</c:v>
                </c:pt>
                <c:pt idx="107">
                  <c:v>8.9747999999999994E-2</c:v>
                </c:pt>
                <c:pt idx="108">
                  <c:v>8.9948E-2</c:v>
                </c:pt>
                <c:pt idx="109">
                  <c:v>9.0148000000000006E-2</c:v>
                </c:pt>
                <c:pt idx="110">
                  <c:v>9.0347999999999998E-2</c:v>
                </c:pt>
                <c:pt idx="111">
                  <c:v>9.0548000000000003E-2</c:v>
                </c:pt>
                <c:pt idx="112">
                  <c:v>9.0747999999999995E-2</c:v>
                </c:pt>
                <c:pt idx="113">
                  <c:v>9.0948000000000001E-2</c:v>
                </c:pt>
                <c:pt idx="114">
                  <c:v>9.1148000000000007E-2</c:v>
                </c:pt>
                <c:pt idx="115">
                  <c:v>9.1347999999999999E-2</c:v>
                </c:pt>
                <c:pt idx="116">
                  <c:v>9.1548000000000004E-2</c:v>
                </c:pt>
                <c:pt idx="117">
                  <c:v>9.1747999999999996E-2</c:v>
                </c:pt>
                <c:pt idx="118">
                  <c:v>9.1948000000000002E-2</c:v>
                </c:pt>
                <c:pt idx="119">
                  <c:v>9.2148000000000008E-2</c:v>
                </c:pt>
                <c:pt idx="120">
                  <c:v>9.2348E-2</c:v>
                </c:pt>
                <c:pt idx="121">
                  <c:v>9.2547999999999991E-2</c:v>
                </c:pt>
                <c:pt idx="122">
                  <c:v>9.2747999999999997E-2</c:v>
                </c:pt>
                <c:pt idx="123">
                  <c:v>9.2948000000000003E-2</c:v>
                </c:pt>
                <c:pt idx="124">
                  <c:v>9.3147999999999995E-2</c:v>
                </c:pt>
                <c:pt idx="125">
                  <c:v>9.3348E-2</c:v>
                </c:pt>
                <c:pt idx="126">
                  <c:v>9.3547999999999992E-2</c:v>
                </c:pt>
                <c:pt idx="127">
                  <c:v>9.3747999999999998E-2</c:v>
                </c:pt>
                <c:pt idx="128">
                  <c:v>9.3948000000000004E-2</c:v>
                </c:pt>
                <c:pt idx="129">
                  <c:v>9.4147999999999996E-2</c:v>
                </c:pt>
                <c:pt idx="130">
                  <c:v>9.4348000000000001E-2</c:v>
                </c:pt>
                <c:pt idx="131">
                  <c:v>9.4548000000000007E-2</c:v>
                </c:pt>
                <c:pt idx="132">
                  <c:v>9.4747999999999999E-2</c:v>
                </c:pt>
                <c:pt idx="133">
                  <c:v>9.4948000000000005E-2</c:v>
                </c:pt>
                <c:pt idx="134">
                  <c:v>9.514800000000001E-2</c:v>
                </c:pt>
                <c:pt idx="135">
                  <c:v>9.5348000000000002E-2</c:v>
                </c:pt>
                <c:pt idx="136">
                  <c:v>9.5547999999999994E-2</c:v>
                </c:pt>
                <c:pt idx="137">
                  <c:v>9.5748E-2</c:v>
                </c:pt>
                <c:pt idx="138">
                  <c:v>9.5948000000000006E-2</c:v>
                </c:pt>
                <c:pt idx="139">
                  <c:v>9.6147999999999997E-2</c:v>
                </c:pt>
                <c:pt idx="140">
                  <c:v>9.6348000000000003E-2</c:v>
                </c:pt>
                <c:pt idx="141">
                  <c:v>9.6547999999999995E-2</c:v>
                </c:pt>
                <c:pt idx="142">
                  <c:v>9.6748000000000001E-2</c:v>
                </c:pt>
                <c:pt idx="143">
                  <c:v>9.6948000000000006E-2</c:v>
                </c:pt>
                <c:pt idx="144">
                  <c:v>9.7147999999999998E-2</c:v>
                </c:pt>
                <c:pt idx="145">
                  <c:v>9.734799999999999E-2</c:v>
                </c:pt>
                <c:pt idx="146">
                  <c:v>9.7547999999999996E-2</c:v>
                </c:pt>
                <c:pt idx="147">
                  <c:v>9.7748000000000002E-2</c:v>
                </c:pt>
                <c:pt idx="148">
                  <c:v>9.7947999999999993E-2</c:v>
                </c:pt>
                <c:pt idx="149">
                  <c:v>9.8147999999999999E-2</c:v>
                </c:pt>
              </c:numCache>
            </c:numRef>
          </c:yVal>
          <c:smooth val="1"/>
          <c:extLst>
            <c:ext xmlns:c16="http://schemas.microsoft.com/office/drawing/2014/chart" uri="{C3380CC4-5D6E-409C-BE32-E72D297353CC}">
              <c16:uniqueId val="{00000003-86B4-4474-A5C3-0D7FC9F5A368}"/>
            </c:ext>
          </c:extLst>
        </c:ser>
        <c:ser>
          <c:idx val="4"/>
          <c:order val="4"/>
          <c:tx>
            <c:v>D2</c:v>
          </c:tx>
          <c:marker>
            <c:symbol val="none"/>
          </c:marker>
          <c:xVal>
            <c:numRef>
              <c:f>Eff_vs_IOUT!$R$8:$R$157</c:f>
              <c:numCache>
                <c:formatCode>General</c:formatCode>
                <c:ptCount val="150"/>
                <c:pt idx="0">
                  <c:v>0.01</c:v>
                </c:pt>
                <c:pt idx="1">
                  <c:v>0.02</c:v>
                </c:pt>
                <c:pt idx="2">
                  <c:v>0.03</c:v>
                </c:pt>
                <c:pt idx="3">
                  <c:v>0.04</c:v>
                </c:pt>
                <c:pt idx="4">
                  <c:v>0.05</c:v>
                </c:pt>
                <c:pt idx="5">
                  <c:v>0.06</c:v>
                </c:pt>
                <c:pt idx="6">
                  <c:v>7.0000000000000007E-2</c:v>
                </c:pt>
                <c:pt idx="7">
                  <c:v>0.08</c:v>
                </c:pt>
                <c:pt idx="8">
                  <c:v>0.09</c:v>
                </c:pt>
                <c:pt idx="9">
                  <c:v>0.1</c:v>
                </c:pt>
                <c:pt idx="10">
                  <c:v>0.11</c:v>
                </c:pt>
                <c:pt idx="11">
                  <c:v>0.12</c:v>
                </c:pt>
                <c:pt idx="12">
                  <c:v>0.13</c:v>
                </c:pt>
                <c:pt idx="13">
                  <c:v>0.14000000000000001</c:v>
                </c:pt>
                <c:pt idx="14">
                  <c:v>0.15</c:v>
                </c:pt>
                <c:pt idx="15">
                  <c:v>0.16</c:v>
                </c:pt>
                <c:pt idx="16">
                  <c:v>0.17</c:v>
                </c:pt>
                <c:pt idx="17">
                  <c:v>0.18</c:v>
                </c:pt>
                <c:pt idx="18">
                  <c:v>0.19</c:v>
                </c:pt>
                <c:pt idx="19">
                  <c:v>0.2</c:v>
                </c:pt>
                <c:pt idx="20">
                  <c:v>0.21</c:v>
                </c:pt>
                <c:pt idx="21">
                  <c:v>0.22</c:v>
                </c:pt>
                <c:pt idx="22">
                  <c:v>0.23</c:v>
                </c:pt>
                <c:pt idx="23">
                  <c:v>0.24</c:v>
                </c:pt>
                <c:pt idx="24">
                  <c:v>0.25</c:v>
                </c:pt>
                <c:pt idx="25">
                  <c:v>0.26</c:v>
                </c:pt>
                <c:pt idx="26">
                  <c:v>0.27</c:v>
                </c:pt>
                <c:pt idx="27">
                  <c:v>0.28000000000000003</c:v>
                </c:pt>
                <c:pt idx="28">
                  <c:v>0.28999999999999998</c:v>
                </c:pt>
                <c:pt idx="29">
                  <c:v>0.3</c:v>
                </c:pt>
                <c:pt idx="30">
                  <c:v>0.31</c:v>
                </c:pt>
                <c:pt idx="31">
                  <c:v>0.32</c:v>
                </c:pt>
                <c:pt idx="32">
                  <c:v>0.33</c:v>
                </c:pt>
                <c:pt idx="33">
                  <c:v>0.34</c:v>
                </c:pt>
                <c:pt idx="34">
                  <c:v>0.35000000000000003</c:v>
                </c:pt>
                <c:pt idx="35">
                  <c:v>0.36</c:v>
                </c:pt>
                <c:pt idx="36">
                  <c:v>0.37</c:v>
                </c:pt>
                <c:pt idx="37">
                  <c:v>0.38</c:v>
                </c:pt>
                <c:pt idx="38">
                  <c:v>0.39</c:v>
                </c:pt>
                <c:pt idx="39">
                  <c:v>0.4</c:v>
                </c:pt>
                <c:pt idx="40">
                  <c:v>0.41000000000000003</c:v>
                </c:pt>
                <c:pt idx="41">
                  <c:v>0.42</c:v>
                </c:pt>
                <c:pt idx="42">
                  <c:v>0.43</c:v>
                </c:pt>
                <c:pt idx="43">
                  <c:v>0.44</c:v>
                </c:pt>
                <c:pt idx="44">
                  <c:v>0.45</c:v>
                </c:pt>
                <c:pt idx="45">
                  <c:v>0.46</c:v>
                </c:pt>
                <c:pt idx="46">
                  <c:v>0.47000000000000003</c:v>
                </c:pt>
                <c:pt idx="47">
                  <c:v>0.48</c:v>
                </c:pt>
                <c:pt idx="48">
                  <c:v>0.49</c:v>
                </c:pt>
                <c:pt idx="49">
                  <c:v>0.5</c:v>
                </c:pt>
                <c:pt idx="50">
                  <c:v>0.51</c:v>
                </c:pt>
                <c:pt idx="51">
                  <c:v>0.52</c:v>
                </c:pt>
                <c:pt idx="52">
                  <c:v>0.53</c:v>
                </c:pt>
                <c:pt idx="53">
                  <c:v>0.54</c:v>
                </c:pt>
                <c:pt idx="54">
                  <c:v>0.55000000000000004</c:v>
                </c:pt>
                <c:pt idx="55">
                  <c:v>0.56000000000000005</c:v>
                </c:pt>
                <c:pt idx="56">
                  <c:v>0.57000000000000006</c:v>
                </c:pt>
                <c:pt idx="57">
                  <c:v>0.57999999999999996</c:v>
                </c:pt>
                <c:pt idx="58">
                  <c:v>0.59</c:v>
                </c:pt>
                <c:pt idx="59">
                  <c:v>0.6</c:v>
                </c:pt>
                <c:pt idx="60">
                  <c:v>0.61</c:v>
                </c:pt>
                <c:pt idx="61">
                  <c:v>0.62</c:v>
                </c:pt>
                <c:pt idx="62">
                  <c:v>0.63</c:v>
                </c:pt>
                <c:pt idx="63">
                  <c:v>0.64</c:v>
                </c:pt>
                <c:pt idx="64">
                  <c:v>0.65</c:v>
                </c:pt>
                <c:pt idx="65">
                  <c:v>0.66</c:v>
                </c:pt>
                <c:pt idx="66">
                  <c:v>0.67</c:v>
                </c:pt>
                <c:pt idx="67">
                  <c:v>0.68</c:v>
                </c:pt>
                <c:pt idx="68">
                  <c:v>0.69000000000000006</c:v>
                </c:pt>
                <c:pt idx="69">
                  <c:v>0.70000000000000007</c:v>
                </c:pt>
                <c:pt idx="70">
                  <c:v>0.71</c:v>
                </c:pt>
                <c:pt idx="71">
                  <c:v>0.72</c:v>
                </c:pt>
                <c:pt idx="72">
                  <c:v>0.73</c:v>
                </c:pt>
                <c:pt idx="73">
                  <c:v>0.74</c:v>
                </c:pt>
                <c:pt idx="74">
                  <c:v>0.75</c:v>
                </c:pt>
                <c:pt idx="75">
                  <c:v>0.76</c:v>
                </c:pt>
                <c:pt idx="76">
                  <c:v>0.77</c:v>
                </c:pt>
                <c:pt idx="77">
                  <c:v>0.78</c:v>
                </c:pt>
                <c:pt idx="78">
                  <c:v>0.79</c:v>
                </c:pt>
                <c:pt idx="79">
                  <c:v>0.8</c:v>
                </c:pt>
                <c:pt idx="80">
                  <c:v>0.81</c:v>
                </c:pt>
                <c:pt idx="81">
                  <c:v>0.82000000000000006</c:v>
                </c:pt>
                <c:pt idx="82">
                  <c:v>0.83000000000000007</c:v>
                </c:pt>
                <c:pt idx="83">
                  <c:v>0.84</c:v>
                </c:pt>
                <c:pt idx="84">
                  <c:v>0.85</c:v>
                </c:pt>
                <c:pt idx="85">
                  <c:v>0.86</c:v>
                </c:pt>
                <c:pt idx="86">
                  <c:v>0.87</c:v>
                </c:pt>
                <c:pt idx="87">
                  <c:v>0.88</c:v>
                </c:pt>
                <c:pt idx="88">
                  <c:v>0.89</c:v>
                </c:pt>
                <c:pt idx="89">
                  <c:v>0.9</c:v>
                </c:pt>
                <c:pt idx="90">
                  <c:v>0.91</c:v>
                </c:pt>
                <c:pt idx="91">
                  <c:v>0.92</c:v>
                </c:pt>
                <c:pt idx="92">
                  <c:v>0.93</c:v>
                </c:pt>
                <c:pt idx="93">
                  <c:v>0.94000000000000006</c:v>
                </c:pt>
                <c:pt idx="94">
                  <c:v>0.95000000000000007</c:v>
                </c:pt>
                <c:pt idx="95">
                  <c:v>0.96</c:v>
                </c:pt>
                <c:pt idx="96">
                  <c:v>0.97</c:v>
                </c:pt>
                <c:pt idx="97">
                  <c:v>0.98</c:v>
                </c:pt>
                <c:pt idx="98">
                  <c:v>0.99</c:v>
                </c:pt>
                <c:pt idx="99">
                  <c:v>1</c:v>
                </c:pt>
                <c:pt idx="100">
                  <c:v>1.01</c:v>
                </c:pt>
                <c:pt idx="101">
                  <c:v>1.02</c:v>
                </c:pt>
                <c:pt idx="102">
                  <c:v>1.03</c:v>
                </c:pt>
                <c:pt idx="103">
                  <c:v>1.04</c:v>
                </c:pt>
                <c:pt idx="104">
                  <c:v>1.05</c:v>
                </c:pt>
                <c:pt idx="105">
                  <c:v>1.06</c:v>
                </c:pt>
                <c:pt idx="106">
                  <c:v>1.07</c:v>
                </c:pt>
                <c:pt idx="107">
                  <c:v>1.08</c:v>
                </c:pt>
                <c:pt idx="108">
                  <c:v>1.0900000000000001</c:v>
                </c:pt>
                <c:pt idx="109">
                  <c:v>1.1000000000000001</c:v>
                </c:pt>
                <c:pt idx="110">
                  <c:v>1.1100000000000001</c:v>
                </c:pt>
                <c:pt idx="111">
                  <c:v>1.1200000000000001</c:v>
                </c:pt>
                <c:pt idx="112">
                  <c:v>1.1300000000000001</c:v>
                </c:pt>
                <c:pt idx="113">
                  <c:v>1.1400000000000001</c:v>
                </c:pt>
                <c:pt idx="114">
                  <c:v>1.1500000000000001</c:v>
                </c:pt>
                <c:pt idx="115">
                  <c:v>1.1599999999999999</c:v>
                </c:pt>
                <c:pt idx="116">
                  <c:v>1.17</c:v>
                </c:pt>
                <c:pt idx="117">
                  <c:v>1.18</c:v>
                </c:pt>
                <c:pt idx="118">
                  <c:v>1.19</c:v>
                </c:pt>
                <c:pt idx="119">
                  <c:v>1.2</c:v>
                </c:pt>
                <c:pt idx="120">
                  <c:v>1.21</c:v>
                </c:pt>
                <c:pt idx="121">
                  <c:v>1.22</c:v>
                </c:pt>
                <c:pt idx="122">
                  <c:v>1.23</c:v>
                </c:pt>
                <c:pt idx="123">
                  <c:v>1.24</c:v>
                </c:pt>
                <c:pt idx="124">
                  <c:v>1.25</c:v>
                </c:pt>
                <c:pt idx="125">
                  <c:v>1.26</c:v>
                </c:pt>
                <c:pt idx="126">
                  <c:v>1.27</c:v>
                </c:pt>
                <c:pt idx="127">
                  <c:v>1.28</c:v>
                </c:pt>
                <c:pt idx="128">
                  <c:v>1.29</c:v>
                </c:pt>
                <c:pt idx="129">
                  <c:v>1.3</c:v>
                </c:pt>
                <c:pt idx="130">
                  <c:v>1.31</c:v>
                </c:pt>
                <c:pt idx="131">
                  <c:v>1.32</c:v>
                </c:pt>
                <c:pt idx="132">
                  <c:v>1.33</c:v>
                </c:pt>
                <c:pt idx="133">
                  <c:v>1.34</c:v>
                </c:pt>
                <c:pt idx="134">
                  <c:v>1.35</c:v>
                </c:pt>
                <c:pt idx="135">
                  <c:v>1.36</c:v>
                </c:pt>
                <c:pt idx="136">
                  <c:v>1.37</c:v>
                </c:pt>
                <c:pt idx="137">
                  <c:v>1.3800000000000001</c:v>
                </c:pt>
                <c:pt idx="138">
                  <c:v>1.3900000000000001</c:v>
                </c:pt>
                <c:pt idx="139">
                  <c:v>1.4000000000000001</c:v>
                </c:pt>
                <c:pt idx="140">
                  <c:v>1.41</c:v>
                </c:pt>
                <c:pt idx="141">
                  <c:v>1.42</c:v>
                </c:pt>
                <c:pt idx="142">
                  <c:v>1.43</c:v>
                </c:pt>
                <c:pt idx="143">
                  <c:v>1.44</c:v>
                </c:pt>
                <c:pt idx="144">
                  <c:v>1.45</c:v>
                </c:pt>
                <c:pt idx="145">
                  <c:v>1.46</c:v>
                </c:pt>
                <c:pt idx="146">
                  <c:v>1.47</c:v>
                </c:pt>
                <c:pt idx="147">
                  <c:v>1.48</c:v>
                </c:pt>
                <c:pt idx="148">
                  <c:v>1.49</c:v>
                </c:pt>
                <c:pt idx="149">
                  <c:v>1.5</c:v>
                </c:pt>
              </c:numCache>
            </c:numRef>
          </c:xVal>
          <c:yVal>
            <c:numRef>
              <c:f>Eff_vs_IOUT!$BI$8:$BI$157</c:f>
              <c:numCache>
                <c:formatCode>General</c:formatCode>
                <c:ptCount val="15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numCache>
            </c:numRef>
          </c:yVal>
          <c:smooth val="1"/>
          <c:extLst>
            <c:ext xmlns:c16="http://schemas.microsoft.com/office/drawing/2014/chart" uri="{C3380CC4-5D6E-409C-BE32-E72D297353CC}">
              <c16:uniqueId val="{00000004-86B4-4474-A5C3-0D7FC9F5A368}"/>
            </c:ext>
          </c:extLst>
        </c:ser>
        <c:dLbls>
          <c:showLegendKey val="0"/>
          <c:showVal val="0"/>
          <c:showCatName val="0"/>
          <c:showSerName val="0"/>
          <c:showPercent val="0"/>
          <c:showBubbleSize val="0"/>
        </c:dLbls>
        <c:axId val="586422528"/>
        <c:axId val="586420608"/>
      </c:scatterChart>
      <c:valAx>
        <c:axId val="586339072"/>
        <c:scaling>
          <c:orientation val="minMax"/>
        </c:scaling>
        <c:delete val="0"/>
        <c:axPos val="b"/>
        <c:majorGridlines/>
        <c:numFmt formatCode="General" sourceLinked="1"/>
        <c:majorTickMark val="out"/>
        <c:minorTickMark val="none"/>
        <c:tickLblPos val="nextTo"/>
        <c:crossAx val="586340608"/>
        <c:crosses val="autoZero"/>
        <c:crossBetween val="midCat"/>
      </c:valAx>
      <c:valAx>
        <c:axId val="586340608"/>
        <c:scaling>
          <c:orientation val="minMax"/>
          <c:max val="100"/>
          <c:min val="60"/>
        </c:scaling>
        <c:delete val="0"/>
        <c:axPos val="l"/>
        <c:majorGridlines/>
        <c:title>
          <c:tx>
            <c:rich>
              <a:bodyPr rot="-5400000" vert="horz"/>
              <a:lstStyle/>
              <a:p>
                <a:pPr>
                  <a:defRPr sz="1400"/>
                </a:pPr>
                <a:r>
                  <a:rPr lang="en-US" sz="1400"/>
                  <a:t>Efficiency</a:t>
                </a:r>
                <a:r>
                  <a:rPr lang="en-US" sz="1400" baseline="0"/>
                  <a:t> (%)</a:t>
                </a:r>
                <a:endParaRPr lang="en-US" sz="1400"/>
              </a:p>
            </c:rich>
          </c:tx>
          <c:overlay val="0"/>
        </c:title>
        <c:numFmt formatCode="General" sourceLinked="1"/>
        <c:majorTickMark val="out"/>
        <c:minorTickMark val="none"/>
        <c:tickLblPos val="nextTo"/>
        <c:crossAx val="586339072"/>
        <c:crosses val="autoZero"/>
        <c:crossBetween val="midCat"/>
      </c:valAx>
      <c:valAx>
        <c:axId val="586420608"/>
        <c:scaling>
          <c:orientation val="minMax"/>
        </c:scaling>
        <c:delete val="0"/>
        <c:axPos val="r"/>
        <c:title>
          <c:tx>
            <c:rich>
              <a:bodyPr rot="-5400000" vert="horz"/>
              <a:lstStyle/>
              <a:p>
                <a:pPr>
                  <a:defRPr sz="1400"/>
                </a:pPr>
                <a:r>
                  <a:rPr lang="en-US" sz="1400"/>
                  <a:t>Losses</a:t>
                </a:r>
                <a:r>
                  <a:rPr lang="en-US" sz="1400" baseline="0"/>
                  <a:t> (W)</a:t>
                </a:r>
                <a:endParaRPr lang="en-US" sz="1400"/>
              </a:p>
            </c:rich>
          </c:tx>
          <c:overlay val="0"/>
        </c:title>
        <c:numFmt formatCode="General" sourceLinked="1"/>
        <c:majorTickMark val="out"/>
        <c:minorTickMark val="none"/>
        <c:tickLblPos val="nextTo"/>
        <c:crossAx val="586422528"/>
        <c:crosses val="max"/>
        <c:crossBetween val="midCat"/>
      </c:valAx>
      <c:valAx>
        <c:axId val="586422528"/>
        <c:scaling>
          <c:orientation val="minMax"/>
        </c:scaling>
        <c:delete val="1"/>
        <c:axPos val="b"/>
        <c:title>
          <c:tx>
            <c:rich>
              <a:bodyPr/>
              <a:lstStyle/>
              <a:p>
                <a:pPr>
                  <a:defRPr sz="1200"/>
                </a:pPr>
                <a:r>
                  <a:rPr lang="en-US" sz="1200" b="1" i="0" baseline="0">
                    <a:effectLst/>
                  </a:rPr>
                  <a:t>P</a:t>
                </a:r>
                <a:r>
                  <a:rPr lang="en-US" sz="1200" b="1" i="0" baseline="-25000">
                    <a:effectLst/>
                  </a:rPr>
                  <a:t>OUT</a:t>
                </a:r>
                <a:r>
                  <a:rPr lang="en-US" sz="1200" b="1" i="0" baseline="0">
                    <a:effectLst/>
                  </a:rPr>
                  <a:t> (W)</a:t>
                </a:r>
                <a:endParaRPr lang="en-US" sz="1200">
                  <a:effectLst/>
                </a:endParaRPr>
              </a:p>
            </c:rich>
          </c:tx>
          <c:overlay val="0"/>
        </c:title>
        <c:numFmt formatCode="General" sourceLinked="1"/>
        <c:majorTickMark val="out"/>
        <c:minorTickMark val="none"/>
        <c:tickLblPos val="nextTo"/>
        <c:crossAx val="586420608"/>
        <c:crosses val="autoZero"/>
        <c:crossBetween val="midCat"/>
      </c:valAx>
    </c:plotArea>
    <c:legend>
      <c:legendPos val="r"/>
      <c:layout>
        <c:manualLayout>
          <c:xMode val="edge"/>
          <c:yMode val="edge"/>
          <c:x val="0.49339941826540429"/>
          <c:y val="6.4862204724409449E-3"/>
          <c:w val="0.42227913565687919"/>
          <c:h val="0.1165233360670469"/>
        </c:manualLayout>
      </c:layout>
      <c:overlay val="1"/>
    </c:legend>
    <c:plotVisOnly val="1"/>
    <c:dispBlanksAs val="gap"/>
    <c:showDLblsOverMax val="0"/>
  </c:chart>
  <c:spPr>
    <a:ln>
      <a:noFill/>
    </a:ln>
  </c:sp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lgn="l">
              <a:defRPr sz="2400"/>
            </a:pPr>
            <a:r>
              <a:rPr lang="el-GR" sz="2400"/>
              <a:t>η</a:t>
            </a:r>
            <a:endParaRPr lang="en-US" sz="2400"/>
          </a:p>
        </c:rich>
      </c:tx>
      <c:layout>
        <c:manualLayout>
          <c:xMode val="edge"/>
          <c:yMode val="edge"/>
          <c:x val="9.2321838295158831E-2"/>
          <c:y val="6.7069081153588199E-3"/>
        </c:manualLayout>
      </c:layout>
      <c:overlay val="1"/>
    </c:title>
    <c:autoTitleDeleted val="0"/>
    <c:plotArea>
      <c:layout>
        <c:manualLayout>
          <c:layoutTarget val="inner"/>
          <c:xMode val="edge"/>
          <c:yMode val="edge"/>
          <c:x val="9.4343575816580413E-2"/>
          <c:y val="0.12777504924560487"/>
          <c:w val="0.82170691922728745"/>
          <c:h val="0.74982770867653059"/>
        </c:manualLayout>
      </c:layout>
      <c:scatterChart>
        <c:scatterStyle val="smoothMarker"/>
        <c:varyColors val="0"/>
        <c:ser>
          <c:idx val="0"/>
          <c:order val="0"/>
          <c:tx>
            <c:v>Eff</c:v>
          </c:tx>
          <c:spPr>
            <a:ln>
              <a:solidFill>
                <a:srgbClr val="FF0000"/>
              </a:solidFill>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Eff_vs_IOUT!$BZ$7:$BZ$157</c:f>
              <c:numCache>
                <c:formatCode>General</c:formatCode>
                <c:ptCount val="151"/>
                <c:pt idx="0">
                  <c:v>0</c:v>
                </c:pt>
                <c:pt idx="1">
                  <c:v>6.9104349545433763</c:v>
                </c:pt>
                <c:pt idx="2">
                  <c:v>12.823387718048037</c:v>
                </c:pt>
                <c:pt idx="3">
                  <c:v>17.936188279221803</c:v>
                </c:pt>
                <c:pt idx="4">
                  <c:v>22.39533017891296</c:v>
                </c:pt>
                <c:pt idx="5">
                  <c:v>26.31372330334824</c:v>
                </c:pt>
                <c:pt idx="6">
                  <c:v>29.779916078636436</c:v>
                </c:pt>
                <c:pt idx="7">
                  <c:v>32.86432486734271</c:v>
                </c:pt>
                <c:pt idx="8">
                  <c:v>35.623629433264171</c:v>
                </c:pt>
                <c:pt idx="9">
                  <c:v>38.103948620865765</c:v>
                </c:pt>
                <c:pt idx="10">
                  <c:v>40.343176127472312</c:v>
                </c:pt>
                <c:pt idx="11">
                  <c:v>42.372724757692545</c:v>
                </c:pt>
                <c:pt idx="12">
                  <c:v>44.218846584222696</c:v>
                </c:pt>
                <c:pt idx="13">
                  <c:v>45.903644339307306</c:v>
                </c:pt>
                <c:pt idx="14">
                  <c:v>47.445854894128217</c:v>
                </c:pt>
                <c:pt idx="15">
                  <c:v>48.861462399161283</c:v>
                </c:pt>
                <c:pt idx="16">
                  <c:v>50.164182651357912</c:v>
                </c:pt>
                <c:pt idx="17">
                  <c:v>51.365849079078593</c:v>
                </c:pt>
                <c:pt idx="18">
                  <c:v>52.476722825238006</c:v>
                </c:pt>
                <c:pt idx="19">
                  <c:v>53.505743737850977</c:v>
                </c:pt>
                <c:pt idx="20">
                  <c:v>54.46073496321624</c:v>
                </c:pt>
                <c:pt idx="21">
                  <c:v>55.348570819959953</c:v>
                </c:pt>
                <c:pt idx="22">
                  <c:v>56.175315396956414</c:v>
                </c:pt>
                <c:pt idx="23">
                  <c:v>56.946337646304315</c:v>
                </c:pt>
                <c:pt idx="24">
                  <c:v>57.666407480843262</c:v>
                </c:pt>
                <c:pt idx="25">
                  <c:v>58.3397764254903</c:v>
                </c:pt>
                <c:pt idx="26">
                  <c:v>58.970245635108675</c:v>
                </c:pt>
                <c:pt idx="27">
                  <c:v>59.561223522364891</c:v>
                </c:pt>
                <c:pt idx="28">
                  <c:v>60.115774795960995</c:v>
                </c:pt>
                <c:pt idx="29">
                  <c:v>60.636662362460456</c:v>
                </c:pt>
                <c:pt idx="30">
                  <c:v>61.126383271168628</c:v>
                </c:pt>
                <c:pt idx="31">
                  <c:v>61.587199664356106</c:v>
                </c:pt>
                <c:pt idx="32">
                  <c:v>62.021165521839848</c:v>
                </c:pt>
                <c:pt idx="33">
                  <c:v>62.430149849931837</c:v>
                </c:pt>
                <c:pt idx="34">
                  <c:v>62.815856852673058</c:v>
                </c:pt>
                <c:pt idx="35">
                  <c:v>63.179843532428436</c:v>
                </c:pt>
                <c:pt idx="36">
                  <c:v>63.523535092951533</c:v>
                </c:pt>
                <c:pt idx="37">
                  <c:v>63.84823845752593</c:v>
                </c:pt>
                <c:pt idx="38">
                  <c:v>64.155154165088561</c:v>
                </c:pt>
                <c:pt idx="39">
                  <c:v>64.445386866240824</c:v>
                </c:pt>
                <c:pt idx="40">
                  <c:v>64.719954607097392</c:v>
                </c:pt>
                <c:pt idx="41">
                  <c:v>64.979797060693329</c:v>
                </c:pt>
                <c:pt idx="42">
                  <c:v>65.225782842114683</c:v>
                </c:pt>
                <c:pt idx="43">
                  <c:v>65.458716023793571</c:v>
                </c:pt>
                <c:pt idx="44">
                  <c:v>65.679341950836388</c:v>
                </c:pt>
                <c:pt idx="45">
                  <c:v>65.888352442284173</c:v>
                </c:pt>
                <c:pt idx="46">
                  <c:v>66.086390452391569</c:v>
                </c:pt>
                <c:pt idx="47">
                  <c:v>66.274054255991516</c:v>
                </c:pt>
                <c:pt idx="48">
                  <c:v>66.451901213490302</c:v>
                </c:pt>
                <c:pt idx="49">
                  <c:v>66.620025168744064</c:v>
                </c:pt>
                <c:pt idx="50">
                  <c:v>66.773980927015359</c:v>
                </c:pt>
                <c:pt idx="51">
                  <c:v>66.918005739604297</c:v>
                </c:pt>
                <c:pt idx="52">
                  <c:v>67.052582819143211</c:v>
                </c:pt>
                <c:pt idx="53">
                  <c:v>67.178166387681856</c:v>
                </c:pt>
                <c:pt idx="54">
                  <c:v>67.295183800111232</c:v>
                </c:pt>
                <c:pt idx="55">
                  <c:v>67.40403748388195</c:v>
                </c:pt>
                <c:pt idx="56">
                  <c:v>67.505106713291866</c:v>
                </c:pt>
                <c:pt idx="57">
                  <c:v>67.598749234569368</c:v>
                </c:pt>
                <c:pt idx="58">
                  <c:v>67.685302756184711</c:v>
                </c:pt>
                <c:pt idx="59">
                  <c:v>67.765086317248475</c:v>
                </c:pt>
                <c:pt idx="60">
                  <c:v>67.838401545472635</c:v>
                </c:pt>
                <c:pt idx="61">
                  <c:v>67.905533814952022</c:v>
                </c:pt>
                <c:pt idx="62">
                  <c:v>67.966753312948768</c:v>
                </c:pt>
                <c:pt idx="63">
                  <c:v>68.02231602391366</c:v>
                </c:pt>
                <c:pt idx="64">
                  <c:v>68.072464638137092</c:v>
                </c:pt>
                <c:pt idx="65">
                  <c:v>68.117429391677646</c:v>
                </c:pt>
                <c:pt idx="66">
                  <c:v>68.15742884355403</c:v>
                </c:pt>
                <c:pt idx="67">
                  <c:v>68.192670595598386</c:v>
                </c:pt>
                <c:pt idx="68">
                  <c:v>68.223351959843697</c:v>
                </c:pt>
                <c:pt idx="69">
                  <c:v>68.249660577851628</c:v>
                </c:pt>
                <c:pt idx="70">
                  <c:v>68.271774995967888</c:v>
                </c:pt>
                <c:pt idx="71">
                  <c:v>68.289865200120076</c:v>
                </c:pt>
                <c:pt idx="72">
                  <c:v>68.304093113436807</c:v>
                </c:pt>
                <c:pt idx="73">
                  <c:v>68.314613059667522</c:v>
                </c:pt>
                <c:pt idx="74">
                  <c:v>68.321572195112651</c:v>
                </c:pt>
                <c:pt idx="75">
                  <c:v>68.325110911530118</c:v>
                </c:pt>
                <c:pt idx="76">
                  <c:v>68.325363212267973</c:v>
                </c:pt>
                <c:pt idx="77">
                  <c:v>68.322457063673482</c:v>
                </c:pt>
                <c:pt idx="78">
                  <c:v>68.316514723653398</c:v>
                </c:pt>
                <c:pt idx="79">
                  <c:v>68.307653049098647</c:v>
                </c:pt>
                <c:pt idx="80">
                  <c:v>68.295983783741093</c:v>
                </c:pt>
                <c:pt idx="81">
                  <c:v>68.281613827879497</c:v>
                </c:pt>
                <c:pt idx="82">
                  <c:v>68.264645491291645</c:v>
                </c:pt>
                <c:pt idx="83">
                  <c:v>68.245176730541758</c:v>
                </c:pt>
                <c:pt idx="84">
                  <c:v>68.223301371793909</c:v>
                </c:pt>
                <c:pt idx="85">
                  <c:v>68.1991093201528</c:v>
                </c:pt>
                <c:pt idx="86">
                  <c:v>68.172686756471734</c:v>
                </c:pt>
                <c:pt idx="87">
                  <c:v>68.144116322493488</c:v>
                </c:pt>
                <c:pt idx="88">
                  <c:v>68.113477295122209</c:v>
                </c:pt>
                <c:pt idx="89">
                  <c:v>68.080845750562517</c:v>
                </c:pt>
                <c:pt idx="90">
                  <c:v>68.046294719005743</c:v>
                </c:pt>
                <c:pt idx="91">
                  <c:v>68.009894330491534</c:v>
                </c:pt>
                <c:pt idx="92">
                  <c:v>67.971711952525609</c:v>
                </c:pt>
                <c:pt idx="93">
                  <c:v>67.931812319991664</c:v>
                </c:pt>
                <c:pt idx="94">
                  <c:v>67.890257657855187</c:v>
                </c:pt>
                <c:pt idx="95">
                  <c:v>67.8471077971207</c:v>
                </c:pt>
                <c:pt idx="96">
                  <c:v>67.802420284470728</c:v>
                </c:pt>
                <c:pt idx="97">
                  <c:v>67.756250485983642</c:v>
                </c:pt>
                <c:pt idx="98">
                  <c:v>67.708651685299586</c:v>
                </c:pt>
                <c:pt idx="99">
                  <c:v>67.659675176577352</c:v>
                </c:pt>
                <c:pt idx="100">
                  <c:v>67.6093703525612</c:v>
                </c:pt>
                <c:pt idx="101">
                  <c:v>67.557784788054775</c:v>
                </c:pt>
                <c:pt idx="102">
                  <c:v>67.504964319078169</c:v>
                </c:pt>
                <c:pt idx="103">
                  <c:v>67.450953117966108</c:v>
                </c:pt>
                <c:pt idx="104">
                  <c:v>67.395793764647337</c:v>
                </c:pt>
                <c:pt idx="105">
                  <c:v>67.339527314329246</c:v>
                </c:pt>
                <c:pt idx="106">
                  <c:v>67.282193361797098</c:v>
                </c:pt>
                <c:pt idx="107">
                  <c:v>67.223830102523152</c:v>
                </c:pt>
                <c:pt idx="108">
                  <c:v>67.164474390768319</c:v>
                </c:pt>
                <c:pt idx="109">
                  <c:v>67.104161794847315</c:v>
                </c:pt>
                <c:pt idx="110">
                  <c:v>67.042926649716932</c:v>
                </c:pt>
                <c:pt idx="111">
                  <c:v>66.980802107037007</c:v>
                </c:pt>
                <c:pt idx="112">
                  <c:v>66.917820182844451</c:v>
                </c:pt>
                <c:pt idx="113">
                  <c:v>66.854011802971471</c:v>
                </c:pt>
                <c:pt idx="114">
                  <c:v>66.78940684633109</c:v>
                </c:pt>
                <c:pt idx="115">
                  <c:v>66.724034186185818</c:v>
                </c:pt>
                <c:pt idx="116">
                  <c:v>66.657921729507308</c:v>
                </c:pt>
                <c:pt idx="117">
                  <c:v>66.591096454529591</c:v>
                </c:pt>
                <c:pt idx="118">
                  <c:v>66.52358444659086</c:v>
                </c:pt>
                <c:pt idx="119">
                  <c:v>66.455410932354155</c:v>
                </c:pt>
                <c:pt idx="120">
                  <c:v>66.386600312491353</c:v>
                </c:pt>
                <c:pt idx="121">
                  <c:v>66.317176192910239</c:v>
                </c:pt>
                <c:pt idx="122">
                  <c:v>66.247161414599191</c:v>
                </c:pt>
                <c:pt idx="123">
                  <c:v>66.176578082160333</c:v>
                </c:pt>
                <c:pt idx="124">
                  <c:v>66.105447591097672</c:v>
                </c:pt>
                <c:pt idx="125">
                  <c:v>66.03379065392248</c:v>
                </c:pt>
                <c:pt idx="126">
                  <c:v>65.96162732513541</c:v>
                </c:pt>
                <c:pt idx="127">
                  <c:v>65.88897702514079</c:v>
                </c:pt>
                <c:pt idx="128">
                  <c:v>65.815858563145881</c:v>
                </c:pt>
                <c:pt idx="129">
                  <c:v>65.742290159094651</c:v>
                </c:pt>
                <c:pt idx="130">
                  <c:v>65.668289464682928</c:v>
                </c:pt>
                <c:pt idx="131">
                  <c:v>65.593873583499445</c:v>
                </c:pt>
                <c:pt idx="132">
                  <c:v>65.519059090334466</c:v>
                </c:pt>
                <c:pt idx="133">
                  <c:v>65.443862049695682</c:v>
                </c:pt>
                <c:pt idx="134">
                  <c:v>65.368298033569005</c:v>
                </c:pt>
                <c:pt idx="135">
                  <c:v>65.292382138459516</c:v>
                </c:pt>
                <c:pt idx="136">
                  <c:v>65.216129001746268</c:v>
                </c:pt>
                <c:pt idx="137">
                  <c:v>65.139552817382778</c:v>
                </c:pt>
                <c:pt idx="138">
                  <c:v>65.062667350973243</c:v>
                </c:pt>
                <c:pt idx="139">
                  <c:v>64.985485954253292</c:v>
                </c:pt>
                <c:pt idx="140">
                  <c:v>64.908021579001911</c:v>
                </c:pt>
                <c:pt idx="141">
                  <c:v>64.830286790410753</c:v>
                </c:pt>
                <c:pt idx="142">
                  <c:v>64.752293779934831</c:v>
                </c:pt>
                <c:pt idx="143">
                  <c:v>64.674054377647849</c:v>
                </c:pt>
                <c:pt idx="144">
                  <c:v>64.595580064124263</c:v>
                </c:pt>
                <c:pt idx="145">
                  <c:v>64.516881981868664</c:v>
                </c:pt>
                <c:pt idx="146">
                  <c:v>64.437970946312504</c:v>
                </c:pt>
                <c:pt idx="147">
                  <c:v>64.358857456396919</c:v>
                </c:pt>
                <c:pt idx="148">
                  <c:v>64.279551704759754</c:v>
                </c:pt>
                <c:pt idx="149">
                  <c:v>64.20006358754334</c:v>
                </c:pt>
                <c:pt idx="150">
                  <c:v>64.120402713839837</c:v>
                </c:pt>
              </c:numCache>
            </c:numRef>
          </c:yVal>
          <c:smooth val="0"/>
          <c:extLst>
            <c:ext xmlns:c16="http://schemas.microsoft.com/office/drawing/2014/chart" uri="{C3380CC4-5D6E-409C-BE32-E72D297353CC}">
              <c16:uniqueId val="{00000000-72A2-4B07-805C-57B094D8F6D8}"/>
            </c:ext>
          </c:extLst>
        </c:ser>
        <c:dLbls>
          <c:showLegendKey val="0"/>
          <c:showVal val="0"/>
          <c:showCatName val="0"/>
          <c:showSerName val="0"/>
          <c:showPercent val="0"/>
          <c:showBubbleSize val="0"/>
        </c:dLbls>
        <c:axId val="586473472"/>
        <c:axId val="586475008"/>
      </c:scatterChart>
      <c:scatterChart>
        <c:scatterStyle val="smoothMarker"/>
        <c:varyColors val="0"/>
        <c:ser>
          <c:idx val="1"/>
          <c:order val="1"/>
          <c:tx>
            <c:v>MOSFET</c:v>
          </c:tx>
          <c:spPr>
            <a:ln>
              <a:solidFill>
                <a:schemeClr val="tx2">
                  <a:lumMod val="75000"/>
                </a:schemeClr>
              </a:solidFill>
              <a:prstDash val="dash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Eff_vs_IOUT!$AJ$7:$AJ$157</c:f>
              <c:numCache>
                <c:formatCode>General</c:formatCode>
                <c:ptCount val="151"/>
                <c:pt idx="0">
                  <c:v>0</c:v>
                </c:pt>
                <c:pt idx="1">
                  <c:v>7.4557462442911371E-4</c:v>
                </c:pt>
                <c:pt idx="2">
                  <c:v>1.0545451610377296E-3</c:v>
                </c:pt>
                <c:pt idx="3">
                  <c:v>1.2917244249182444E-3</c:v>
                </c:pt>
                <c:pt idx="4">
                  <c:v>1.4917577089069744E-3</c:v>
                </c:pt>
                <c:pt idx="5">
                  <c:v>1.6680625812094346E-3</c:v>
                </c:pt>
                <c:pt idx="6">
                  <c:v>1.8275194088921171E-3</c:v>
                </c:pt>
                <c:pt idx="7">
                  <c:v>1.9742148740515201E-3</c:v>
                </c:pt>
                <c:pt idx="8">
                  <c:v>2.110811306981659E-3</c:v>
                </c:pt>
                <c:pt idx="9">
                  <c:v>2.2391577134823295E-3</c:v>
                </c:pt>
                <c:pt idx="10">
                  <c:v>2.3606001582495021E-3</c:v>
                </c:pt>
                <c:pt idx="11">
                  <c:v>2.4761546719108737E-3</c:v>
                </c:pt>
                <c:pt idx="12">
                  <c:v>2.5866105009929048E-3</c:v>
                </c:pt>
                <c:pt idx="13">
                  <c:v>2.6925952058736323E-3</c:v>
                </c:pt>
                <c:pt idx="14">
                  <c:v>2.7946175404642937E-3</c:v>
                </c:pt>
                <c:pt idx="15">
                  <c:v>2.8930967335852745E-3</c:v>
                </c:pt>
                <c:pt idx="16">
                  <c:v>2.9883830982039227E-3</c:v>
                </c:pt>
                <c:pt idx="17">
                  <c:v>3.0807729151013244E-3</c:v>
                </c:pt>
                <c:pt idx="18">
                  <c:v>3.1705194227379875E-3</c:v>
                </c:pt>
                <c:pt idx="19">
                  <c:v>3.257841090345806E-3</c:v>
                </c:pt>
                <c:pt idx="20">
                  <c:v>3.3429279525718225E-3</c:v>
                </c:pt>
                <c:pt idx="21">
                  <c:v>3.425946533453815E-3</c:v>
                </c:pt>
                <c:pt idx="22">
                  <c:v>3.5070437256532775E-3</c:v>
                </c:pt>
                <c:pt idx="23">
                  <c:v>3.5863498837215256E-3</c:v>
                </c:pt>
                <c:pt idx="24">
                  <c:v>3.6639813176740257E-3</c:v>
                </c:pt>
                <c:pt idx="25">
                  <c:v>3.7400423231205055E-3</c:v>
                </c:pt>
                <c:pt idx="26">
                  <c:v>3.8146268490611697E-3</c:v>
                </c:pt>
                <c:pt idx="27">
                  <c:v>3.887819879380396E-3</c:v>
                </c:pt>
                <c:pt idx="28">
                  <c:v>3.9596985859049558E-3</c:v>
                </c:pt>
                <c:pt idx="29">
                  <c:v>4.0303332975597959E-3</c:v>
                </c:pt>
                <c:pt idx="30">
                  <c:v>4.0997883202445792E-3</c:v>
                </c:pt>
                <c:pt idx="31">
                  <c:v>4.1681226346048901E-3</c:v>
                </c:pt>
                <c:pt idx="32">
                  <c:v>4.2353904932129162E-3</c:v>
                </c:pt>
                <c:pt idx="33">
                  <c:v>4.3016419343311282E-3</c:v>
                </c:pt>
                <c:pt idx="34">
                  <c:v>4.3669232260714922E-3</c:v>
                </c:pt>
                <c:pt idx="35">
                  <c:v>4.4312772521387196E-3</c:v>
                </c:pt>
                <c:pt idx="36">
                  <c:v>4.4947438482808222E-3</c:v>
                </c:pt>
                <c:pt idx="37">
                  <c:v>4.5573600969327837E-3</c:v>
                </c:pt>
                <c:pt idx="38">
                  <c:v>4.6191605862317391E-3</c:v>
                </c:pt>
                <c:pt idx="39">
                  <c:v>4.6801776385311383E-3</c:v>
                </c:pt>
                <c:pt idx="40">
                  <c:v>4.740441512691573E-3</c:v>
                </c:pt>
                <c:pt idx="41">
                  <c:v>4.7999805837345534E-3</c:v>
                </c:pt>
                <c:pt idx="42">
                  <c:v>4.8588215028799158E-3</c:v>
                </c:pt>
                <c:pt idx="43">
                  <c:v>4.9169893405225235E-3</c:v>
                </c:pt>
                <c:pt idx="44">
                  <c:v>4.9745077143195059E-3</c:v>
                </c:pt>
                <c:pt idx="45">
                  <c:v>5.0313989042401171E-3</c:v>
                </c:pt>
                <c:pt idx="46">
                  <c:v>5.0876839561640585E-3</c:v>
                </c:pt>
                <c:pt idx="47">
                  <c:v>5.1433827753910944E-3</c:v>
                </c:pt>
                <c:pt idx="48">
                  <c:v>5.1985142112371359E-3</c:v>
                </c:pt>
                <c:pt idx="49">
                  <c:v>5.2577269379148117E-3</c:v>
                </c:pt>
                <c:pt idx="50">
                  <c:v>5.3653942417740191E-3</c:v>
                </c:pt>
                <c:pt idx="51">
                  <c:v>5.4730832956332272E-3</c:v>
                </c:pt>
                <c:pt idx="52">
                  <c:v>5.5807940994924343E-3</c:v>
                </c:pt>
                <c:pt idx="53">
                  <c:v>5.6885266533516421E-3</c:v>
                </c:pt>
                <c:pt idx="54">
                  <c:v>5.7962809572108497E-3</c:v>
                </c:pt>
                <c:pt idx="55">
                  <c:v>5.9040570110700579E-3</c:v>
                </c:pt>
                <c:pt idx="56">
                  <c:v>6.0118548149292652E-3</c:v>
                </c:pt>
                <c:pt idx="57">
                  <c:v>6.1196743687884731E-3</c:v>
                </c:pt>
                <c:pt idx="58">
                  <c:v>6.2275156726476801E-3</c:v>
                </c:pt>
                <c:pt idx="59">
                  <c:v>6.3353787265068885E-3</c:v>
                </c:pt>
                <c:pt idx="60">
                  <c:v>6.4432635303660933E-3</c:v>
                </c:pt>
                <c:pt idx="61">
                  <c:v>6.5511700842253023E-3</c:v>
                </c:pt>
                <c:pt idx="62">
                  <c:v>6.6590983880845112E-3</c:v>
                </c:pt>
                <c:pt idx="63">
                  <c:v>6.7670484419437181E-3</c:v>
                </c:pt>
                <c:pt idx="64">
                  <c:v>6.8750202458029265E-3</c:v>
                </c:pt>
                <c:pt idx="65">
                  <c:v>6.9830137996621348E-3</c:v>
                </c:pt>
                <c:pt idx="66">
                  <c:v>7.0910291035213404E-3</c:v>
                </c:pt>
                <c:pt idx="67">
                  <c:v>7.1990661573805483E-3</c:v>
                </c:pt>
                <c:pt idx="68">
                  <c:v>7.3071249612397552E-3</c:v>
                </c:pt>
                <c:pt idx="69">
                  <c:v>7.4152055150989637E-3</c:v>
                </c:pt>
                <c:pt idx="70">
                  <c:v>7.5233078189581729E-3</c:v>
                </c:pt>
                <c:pt idx="71">
                  <c:v>7.6314318728173784E-3</c:v>
                </c:pt>
                <c:pt idx="72">
                  <c:v>7.7395776766765855E-3</c:v>
                </c:pt>
                <c:pt idx="73">
                  <c:v>7.8477452305357933E-3</c:v>
                </c:pt>
                <c:pt idx="74">
                  <c:v>7.9559345343950018E-3</c:v>
                </c:pt>
                <c:pt idx="75">
                  <c:v>8.0641455882542075E-3</c:v>
                </c:pt>
                <c:pt idx="76">
                  <c:v>8.1723783921134156E-3</c:v>
                </c:pt>
                <c:pt idx="77">
                  <c:v>8.2806329459726227E-3</c:v>
                </c:pt>
                <c:pt idx="78">
                  <c:v>8.3889092498318323E-3</c:v>
                </c:pt>
                <c:pt idx="79">
                  <c:v>8.4972073036910407E-3</c:v>
                </c:pt>
                <c:pt idx="80">
                  <c:v>8.6055271075502447E-3</c:v>
                </c:pt>
                <c:pt idx="81">
                  <c:v>8.7138686614094546E-3</c:v>
                </c:pt>
                <c:pt idx="82">
                  <c:v>8.8222319652686617E-3</c:v>
                </c:pt>
                <c:pt idx="83">
                  <c:v>8.9306170191278695E-3</c:v>
                </c:pt>
                <c:pt idx="84">
                  <c:v>9.039023822987078E-3</c:v>
                </c:pt>
                <c:pt idx="85">
                  <c:v>9.1474523768462854E-3</c:v>
                </c:pt>
                <c:pt idx="86">
                  <c:v>9.2559026807054936E-3</c:v>
                </c:pt>
                <c:pt idx="87">
                  <c:v>9.3643747345647007E-3</c:v>
                </c:pt>
                <c:pt idx="88">
                  <c:v>9.4728685384239068E-3</c:v>
                </c:pt>
                <c:pt idx="89">
                  <c:v>9.5813840922831153E-3</c:v>
                </c:pt>
                <c:pt idx="90">
                  <c:v>9.6899213961423245E-3</c:v>
                </c:pt>
                <c:pt idx="91">
                  <c:v>9.7984804500015309E-3</c:v>
                </c:pt>
                <c:pt idx="92">
                  <c:v>9.9070612538607397E-3</c:v>
                </c:pt>
                <c:pt idx="93">
                  <c:v>1.0015663807719948E-2</c:v>
                </c:pt>
                <c:pt idx="94">
                  <c:v>1.0124288111579154E-2</c:v>
                </c:pt>
                <c:pt idx="95">
                  <c:v>1.0232934165438362E-2</c:v>
                </c:pt>
                <c:pt idx="96">
                  <c:v>1.0341601969297566E-2</c:v>
                </c:pt>
                <c:pt idx="97">
                  <c:v>1.0450291523156775E-2</c:v>
                </c:pt>
                <c:pt idx="98">
                  <c:v>1.0559002827015983E-2</c:v>
                </c:pt>
                <c:pt idx="99">
                  <c:v>1.0667735880875192E-2</c:v>
                </c:pt>
                <c:pt idx="100">
                  <c:v>1.0776490684734397E-2</c:v>
                </c:pt>
                <c:pt idx="101">
                  <c:v>1.0885267238593605E-2</c:v>
                </c:pt>
                <c:pt idx="102">
                  <c:v>1.0994065542452814E-2</c:v>
                </c:pt>
                <c:pt idx="103">
                  <c:v>1.1102885596312022E-2</c:v>
                </c:pt>
                <c:pt idx="104">
                  <c:v>1.1211727400171229E-2</c:v>
                </c:pt>
                <c:pt idx="105">
                  <c:v>1.1320590954030438E-2</c:v>
                </c:pt>
                <c:pt idx="106">
                  <c:v>1.1429476257889645E-2</c:v>
                </c:pt>
                <c:pt idx="107">
                  <c:v>1.1538383311748852E-2</c:v>
                </c:pt>
                <c:pt idx="108">
                  <c:v>1.164731211560806E-2</c:v>
                </c:pt>
                <c:pt idx="109">
                  <c:v>1.1756262669467266E-2</c:v>
                </c:pt>
                <c:pt idx="110">
                  <c:v>1.1865234973326476E-2</c:v>
                </c:pt>
                <c:pt idx="111">
                  <c:v>1.1974229027185682E-2</c:v>
                </c:pt>
                <c:pt idx="112">
                  <c:v>1.2083244831044891E-2</c:v>
                </c:pt>
                <c:pt idx="113">
                  <c:v>1.2192282384904097E-2</c:v>
                </c:pt>
                <c:pt idx="114">
                  <c:v>1.2301341688763307E-2</c:v>
                </c:pt>
                <c:pt idx="115">
                  <c:v>1.2410422742622515E-2</c:v>
                </c:pt>
                <c:pt idx="116">
                  <c:v>1.2519525546481719E-2</c:v>
                </c:pt>
                <c:pt idx="117">
                  <c:v>1.2628650100340928E-2</c:v>
                </c:pt>
                <c:pt idx="118">
                  <c:v>1.2737796404200138E-2</c:v>
                </c:pt>
                <c:pt idx="119">
                  <c:v>1.2846964458059341E-2</c:v>
                </c:pt>
                <c:pt idx="120">
                  <c:v>1.2956154261918547E-2</c:v>
                </c:pt>
                <c:pt idx="121">
                  <c:v>1.3065365815777759E-2</c:v>
                </c:pt>
                <c:pt idx="122">
                  <c:v>1.3174599119636964E-2</c:v>
                </c:pt>
                <c:pt idx="123">
                  <c:v>1.3283854173496172E-2</c:v>
                </c:pt>
                <c:pt idx="124">
                  <c:v>1.3393130977355382E-2</c:v>
                </c:pt>
                <c:pt idx="125">
                  <c:v>1.3502429531214589E-2</c:v>
                </c:pt>
                <c:pt idx="126">
                  <c:v>1.3611749835073796E-2</c:v>
                </c:pt>
                <c:pt idx="127">
                  <c:v>1.3721091888933005E-2</c:v>
                </c:pt>
                <c:pt idx="128">
                  <c:v>1.3830455692792213E-2</c:v>
                </c:pt>
                <c:pt idx="129">
                  <c:v>1.3939841246651419E-2</c:v>
                </c:pt>
                <c:pt idx="130">
                  <c:v>1.404924855051063E-2</c:v>
                </c:pt>
                <c:pt idx="131">
                  <c:v>1.4158677604369837E-2</c:v>
                </c:pt>
                <c:pt idx="132">
                  <c:v>1.4268128408229041E-2</c:v>
                </c:pt>
                <c:pt idx="133">
                  <c:v>1.4377600962088248E-2</c:v>
                </c:pt>
                <c:pt idx="134">
                  <c:v>1.4487095265947457E-2</c:v>
                </c:pt>
                <c:pt idx="135">
                  <c:v>1.4596611319806664E-2</c:v>
                </c:pt>
                <c:pt idx="136">
                  <c:v>1.4706149123665871E-2</c:v>
                </c:pt>
                <c:pt idx="137">
                  <c:v>1.4815708677525082E-2</c:v>
                </c:pt>
                <c:pt idx="138">
                  <c:v>1.4925289981384288E-2</c:v>
                </c:pt>
                <c:pt idx="139">
                  <c:v>1.5034893035243494E-2</c:v>
                </c:pt>
                <c:pt idx="140">
                  <c:v>1.5144517839102705E-2</c:v>
                </c:pt>
                <c:pt idx="141">
                  <c:v>1.5254164392961907E-2</c:v>
                </c:pt>
                <c:pt idx="142">
                  <c:v>1.5363832696821117E-2</c:v>
                </c:pt>
                <c:pt idx="143">
                  <c:v>1.5473522750680323E-2</c:v>
                </c:pt>
                <c:pt idx="144">
                  <c:v>1.558323455453953E-2</c:v>
                </c:pt>
                <c:pt idx="145">
                  <c:v>1.5692968108398739E-2</c:v>
                </c:pt>
                <c:pt idx="146">
                  <c:v>1.5802723412257948E-2</c:v>
                </c:pt>
                <c:pt idx="147">
                  <c:v>1.5912500466117155E-2</c:v>
                </c:pt>
                <c:pt idx="148">
                  <c:v>1.6022299269976361E-2</c:v>
                </c:pt>
                <c:pt idx="149">
                  <c:v>1.613211982383557E-2</c:v>
                </c:pt>
                <c:pt idx="150">
                  <c:v>1.6241962127694777E-2</c:v>
                </c:pt>
              </c:numCache>
            </c:numRef>
          </c:yVal>
          <c:smooth val="1"/>
          <c:extLst>
            <c:ext xmlns:c16="http://schemas.microsoft.com/office/drawing/2014/chart" uri="{C3380CC4-5D6E-409C-BE32-E72D297353CC}">
              <c16:uniqueId val="{00000001-72A2-4B07-805C-57B094D8F6D8}"/>
            </c:ext>
          </c:extLst>
        </c:ser>
        <c:ser>
          <c:idx val="3"/>
          <c:order val="2"/>
          <c:tx>
            <c:v>RS</c:v>
          </c:tx>
          <c:spPr>
            <a:ln>
              <a:solidFill>
                <a:schemeClr val="accent5">
                  <a:lumMod val="75000"/>
                </a:schemeClr>
              </a:solidFill>
              <a:prstDash val="lgDashDot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Eff_vs_IOUT!$BU$7:$BU$157</c:f>
              <c:numCache>
                <c:formatCode>General</c:formatCode>
                <c:ptCount val="151"/>
                <c:pt idx="0">
                  <c:v>0</c:v>
                </c:pt>
                <c:pt idx="1">
                  <c:v>2.3312645545853737E-7</c:v>
                </c:pt>
                <c:pt idx="2">
                  <c:v>6.5938119011486142E-7</c:v>
                </c:pt>
                <c:pt idx="3">
                  <c:v>1.2113605963278881E-6</c:v>
                </c:pt>
                <c:pt idx="4">
                  <c:v>1.8650116436682988E-6</c:v>
                </c:pt>
                <c:pt idx="5">
                  <c:v>2.6064330087943323E-6</c:v>
                </c:pt>
                <c:pt idx="6">
                  <c:v>3.4262451685025187E-6</c:v>
                </c:pt>
                <c:pt idx="7">
                  <c:v>4.3175623762128643E-6</c:v>
                </c:pt>
                <c:pt idx="8">
                  <c:v>5.2750495209188914E-6</c:v>
                </c:pt>
                <c:pt idx="9">
                  <c:v>6.2944142973805057E-6</c:v>
                </c:pt>
                <c:pt idx="10">
                  <c:v>7.3721058209077132E-6</c:v>
                </c:pt>
                <c:pt idx="11">
                  <c:v>8.5051227960761595E-6</c:v>
                </c:pt>
                <c:pt idx="12">
                  <c:v>9.6908847706231065E-6</c:v>
                </c:pt>
                <c:pt idx="13">
                  <c:v>1.0927142054698068E-5</c:v>
                </c:pt>
                <c:pt idx="14">
                  <c:v>1.2211910537664075E-5</c:v>
                </c:pt>
                <c:pt idx="15">
                  <c:v>1.3543423193269199E-5</c:v>
                </c:pt>
                <c:pt idx="16">
                  <c:v>1.4920093149346392E-5</c:v>
                </c:pt>
                <c:pt idx="17">
                  <c:v>1.6340484999683805E-5</c:v>
                </c:pt>
                <c:pt idx="18">
                  <c:v>1.7803292133101257E-5</c:v>
                </c:pt>
                <c:pt idx="19">
                  <c:v>1.9307318547782407E-5</c:v>
                </c:pt>
                <c:pt idx="20">
                  <c:v>2.0851464070354648E-5</c:v>
                </c:pt>
                <c:pt idx="21">
                  <c:v>2.2434712201345454E-5</c:v>
                </c:pt>
                <c:pt idx="22">
                  <c:v>2.4056120015718959E-5</c:v>
                </c:pt>
                <c:pt idx="23">
                  <c:v>2.5714809692142867E-5</c:v>
                </c:pt>
                <c:pt idx="24">
                  <c:v>2.7409961348020149E-5</c:v>
                </c:pt>
                <c:pt idx="25">
                  <c:v>2.9140806932317165E-5</c:v>
                </c:pt>
                <c:pt idx="26">
                  <c:v>3.0906624983462815E-5</c:v>
                </c:pt>
                <c:pt idx="27">
                  <c:v>3.2706736100852989E-5</c:v>
                </c:pt>
                <c:pt idx="28">
                  <c:v>3.4540499009702915E-5</c:v>
                </c:pt>
                <c:pt idx="29">
                  <c:v>3.6407307122872407E-5</c:v>
                </c:pt>
                <c:pt idx="30">
                  <c:v>3.8306585521759288E-5</c:v>
                </c:pt>
                <c:pt idx="31">
                  <c:v>4.0237788292782661E-5</c:v>
                </c:pt>
                <c:pt idx="32">
                  <c:v>4.2200396167351131E-5</c:v>
                </c:pt>
                <c:pt idx="33">
                  <c:v>4.4193914422248542E-5</c:v>
                </c:pt>
                <c:pt idx="34">
                  <c:v>4.6217871004613908E-5</c:v>
                </c:pt>
                <c:pt idx="35">
                  <c:v>4.82718148515374E-5</c:v>
                </c:pt>
                <c:pt idx="36">
                  <c:v>5.035531437904406E-5</c:v>
                </c:pt>
                <c:pt idx="37">
                  <c:v>5.246795611912382E-5</c:v>
                </c:pt>
                <c:pt idx="38">
                  <c:v>5.4609343486662973E-5</c:v>
                </c:pt>
                <c:pt idx="39">
                  <c:v>5.6779095660778886E-5</c:v>
                </c:pt>
                <c:pt idx="40">
                  <c:v>5.8976846567261712E-5</c:v>
                </c:pt>
                <c:pt idx="41">
                  <c:v>6.120224395066818E-5</c:v>
                </c:pt>
                <c:pt idx="42">
                  <c:v>6.3454948526159817E-5</c:v>
                </c:pt>
                <c:pt idx="43">
                  <c:v>6.5734633202484862E-5</c:v>
                </c:pt>
                <c:pt idx="44">
                  <c:v>6.8040982368609262E-5</c:v>
                </c:pt>
                <c:pt idx="45">
                  <c:v>7.0373691237446973E-5</c:v>
                </c:pt>
                <c:pt idx="46">
                  <c:v>7.2732465240943163E-5</c:v>
                </c:pt>
                <c:pt idx="47">
                  <c:v>7.5117019471456991E-5</c:v>
                </c:pt>
                <c:pt idx="48">
                  <c:v>7.7527078164984839E-5</c:v>
                </c:pt>
                <c:pt idx="49">
                  <c:v>7.9962468537103637E-5</c:v>
                </c:pt>
                <c:pt idx="50">
                  <c:v>8.243746853710363E-5</c:v>
                </c:pt>
                <c:pt idx="51">
                  <c:v>8.4962468537103596E-5</c:v>
                </c:pt>
                <c:pt idx="52">
                  <c:v>8.7537468537103605E-5</c:v>
                </c:pt>
                <c:pt idx="53">
                  <c:v>9.0162468537103628E-5</c:v>
                </c:pt>
                <c:pt idx="54">
                  <c:v>9.2837468537103652E-5</c:v>
                </c:pt>
                <c:pt idx="55">
                  <c:v>9.556246853710361E-5</c:v>
                </c:pt>
                <c:pt idx="56">
                  <c:v>9.8337468537103623E-5</c:v>
                </c:pt>
                <c:pt idx="57">
                  <c:v>1.0116246853710364E-4</c:v>
                </c:pt>
                <c:pt idx="58">
                  <c:v>1.0403746853710359E-4</c:v>
                </c:pt>
                <c:pt idx="59">
                  <c:v>1.0696246853710359E-4</c:v>
                </c:pt>
                <c:pt idx="60">
                  <c:v>1.0993746853710365E-4</c:v>
                </c:pt>
                <c:pt idx="61">
                  <c:v>1.1296246853710356E-4</c:v>
                </c:pt>
                <c:pt idx="62">
                  <c:v>1.1603746853710354E-4</c:v>
                </c:pt>
                <c:pt idx="63">
                  <c:v>1.1916246853710357E-4</c:v>
                </c:pt>
                <c:pt idx="64">
                  <c:v>1.223374685371036E-4</c:v>
                </c:pt>
                <c:pt idx="65">
                  <c:v>1.2556246853710363E-4</c:v>
                </c:pt>
                <c:pt idx="66">
                  <c:v>1.2883746853710367E-4</c:v>
                </c:pt>
                <c:pt idx="67">
                  <c:v>1.3216246853710361E-4</c:v>
                </c:pt>
                <c:pt idx="68">
                  <c:v>1.3553746853710362E-4</c:v>
                </c:pt>
                <c:pt idx="69">
                  <c:v>1.3896246853710363E-4</c:v>
                </c:pt>
                <c:pt idx="70">
                  <c:v>1.4243746853710362E-4</c:v>
                </c:pt>
                <c:pt idx="71">
                  <c:v>1.4596246853710359E-4</c:v>
                </c:pt>
                <c:pt idx="72">
                  <c:v>1.4953746853710358E-4</c:v>
                </c:pt>
                <c:pt idx="73">
                  <c:v>1.531624685371036E-4</c:v>
                </c:pt>
                <c:pt idx="74">
                  <c:v>1.5683746853710357E-4</c:v>
                </c:pt>
                <c:pt idx="75">
                  <c:v>1.6056246853710356E-4</c:v>
                </c:pt>
                <c:pt idx="76">
                  <c:v>1.6433746853710351E-4</c:v>
                </c:pt>
                <c:pt idx="77">
                  <c:v>1.6816246853710359E-4</c:v>
                </c:pt>
                <c:pt idx="78">
                  <c:v>1.7203746853710361E-4</c:v>
                </c:pt>
                <c:pt idx="79">
                  <c:v>1.7596246853710356E-4</c:v>
                </c:pt>
                <c:pt idx="80">
                  <c:v>1.7993746853710361E-4</c:v>
                </c:pt>
                <c:pt idx="81">
                  <c:v>1.8396246853710359E-4</c:v>
                </c:pt>
                <c:pt idx="82">
                  <c:v>1.8803746853710357E-4</c:v>
                </c:pt>
                <c:pt idx="83">
                  <c:v>1.9216246853710365E-4</c:v>
                </c:pt>
                <c:pt idx="84">
                  <c:v>1.9633746853710361E-4</c:v>
                </c:pt>
                <c:pt idx="85">
                  <c:v>2.0056246853710356E-4</c:v>
                </c:pt>
                <c:pt idx="86">
                  <c:v>2.0483746853710365E-4</c:v>
                </c:pt>
                <c:pt idx="87">
                  <c:v>2.0916246853710363E-4</c:v>
                </c:pt>
                <c:pt idx="88">
                  <c:v>2.1353746853710362E-4</c:v>
                </c:pt>
                <c:pt idx="89">
                  <c:v>2.1796246853710358E-4</c:v>
                </c:pt>
                <c:pt idx="90">
                  <c:v>2.2243746853710367E-4</c:v>
                </c:pt>
                <c:pt idx="91">
                  <c:v>2.2696246853710363E-4</c:v>
                </c:pt>
                <c:pt idx="92">
                  <c:v>2.3153746853710362E-4</c:v>
                </c:pt>
                <c:pt idx="93">
                  <c:v>2.3616246853710364E-4</c:v>
                </c:pt>
                <c:pt idx="94">
                  <c:v>2.4083746853710371E-4</c:v>
                </c:pt>
                <c:pt idx="95">
                  <c:v>2.4556246853710365E-4</c:v>
                </c:pt>
                <c:pt idx="96">
                  <c:v>2.5033746853710354E-4</c:v>
                </c:pt>
                <c:pt idx="97">
                  <c:v>2.551624685371035E-4</c:v>
                </c:pt>
                <c:pt idx="98">
                  <c:v>2.6003746853710356E-4</c:v>
                </c:pt>
                <c:pt idx="99">
                  <c:v>2.6496246853710358E-4</c:v>
                </c:pt>
                <c:pt idx="100">
                  <c:v>2.6993746853710358E-4</c:v>
                </c:pt>
                <c:pt idx="101">
                  <c:v>2.7496246853710361E-4</c:v>
                </c:pt>
                <c:pt idx="102">
                  <c:v>2.8003746853710361E-4</c:v>
                </c:pt>
                <c:pt idx="103">
                  <c:v>2.8516246853710364E-4</c:v>
                </c:pt>
                <c:pt idx="104">
                  <c:v>2.9033746853710359E-4</c:v>
                </c:pt>
                <c:pt idx="105">
                  <c:v>2.9556246853710357E-4</c:v>
                </c:pt>
                <c:pt idx="106">
                  <c:v>3.0083746853710357E-4</c:v>
                </c:pt>
                <c:pt idx="107">
                  <c:v>3.0616246853710361E-4</c:v>
                </c:pt>
                <c:pt idx="108">
                  <c:v>3.1153746853710372E-4</c:v>
                </c:pt>
                <c:pt idx="109">
                  <c:v>3.1696246853710376E-4</c:v>
                </c:pt>
                <c:pt idx="110">
                  <c:v>3.2243746853710355E-4</c:v>
                </c:pt>
                <c:pt idx="111">
                  <c:v>3.279624685371037E-4</c:v>
                </c:pt>
                <c:pt idx="112">
                  <c:v>3.3353746853710355E-4</c:v>
                </c:pt>
                <c:pt idx="113">
                  <c:v>3.391624685371037E-4</c:v>
                </c:pt>
                <c:pt idx="114">
                  <c:v>3.4483746853710372E-4</c:v>
                </c:pt>
                <c:pt idx="115">
                  <c:v>3.5056246853710355E-4</c:v>
                </c:pt>
                <c:pt idx="116">
                  <c:v>3.5633746853710362E-4</c:v>
                </c:pt>
                <c:pt idx="117">
                  <c:v>3.6216246853710361E-4</c:v>
                </c:pt>
                <c:pt idx="118">
                  <c:v>3.6803746853710358E-4</c:v>
                </c:pt>
                <c:pt idx="119">
                  <c:v>3.7396246853710341E-4</c:v>
                </c:pt>
                <c:pt idx="120">
                  <c:v>3.7993746853710354E-4</c:v>
                </c:pt>
                <c:pt idx="121">
                  <c:v>3.8596246853710354E-4</c:v>
                </c:pt>
                <c:pt idx="122">
                  <c:v>3.9203746853710351E-4</c:v>
                </c:pt>
                <c:pt idx="123">
                  <c:v>3.9816246853710362E-4</c:v>
                </c:pt>
                <c:pt idx="124">
                  <c:v>4.0433746853710359E-4</c:v>
                </c:pt>
                <c:pt idx="125">
                  <c:v>4.1056246853710381E-4</c:v>
                </c:pt>
                <c:pt idx="126">
                  <c:v>4.1683746853710346E-4</c:v>
                </c:pt>
                <c:pt idx="127">
                  <c:v>4.2316246853710341E-4</c:v>
                </c:pt>
                <c:pt idx="128">
                  <c:v>4.2953746853710366E-4</c:v>
                </c:pt>
                <c:pt idx="129">
                  <c:v>4.3596246853710345E-4</c:v>
                </c:pt>
                <c:pt idx="130">
                  <c:v>4.4243746853710349E-4</c:v>
                </c:pt>
                <c:pt idx="131">
                  <c:v>4.4896246853710366E-4</c:v>
                </c:pt>
                <c:pt idx="132">
                  <c:v>4.5553746853710375E-4</c:v>
                </c:pt>
                <c:pt idx="133">
                  <c:v>4.6216246853710371E-4</c:v>
                </c:pt>
                <c:pt idx="134">
                  <c:v>4.688374685371037E-4</c:v>
                </c:pt>
                <c:pt idx="135">
                  <c:v>4.7556246853710371E-4</c:v>
                </c:pt>
                <c:pt idx="136">
                  <c:v>4.823374685371037E-4</c:v>
                </c:pt>
                <c:pt idx="137">
                  <c:v>4.8916246853710355E-4</c:v>
                </c:pt>
                <c:pt idx="138">
                  <c:v>4.960374685371036E-4</c:v>
                </c:pt>
                <c:pt idx="139">
                  <c:v>5.0296246853710367E-4</c:v>
                </c:pt>
                <c:pt idx="140">
                  <c:v>5.0993746853710378E-4</c:v>
                </c:pt>
                <c:pt idx="141">
                  <c:v>5.1696246853710336E-4</c:v>
                </c:pt>
                <c:pt idx="142">
                  <c:v>5.240374685371033E-4</c:v>
                </c:pt>
                <c:pt idx="143">
                  <c:v>5.3116246853710349E-4</c:v>
                </c:pt>
                <c:pt idx="144">
                  <c:v>5.383374685371036E-4</c:v>
                </c:pt>
                <c:pt idx="145">
                  <c:v>5.4556246853710362E-4</c:v>
                </c:pt>
                <c:pt idx="146">
                  <c:v>5.5283746853710325E-4</c:v>
                </c:pt>
                <c:pt idx="147">
                  <c:v>5.6016246853710355E-4</c:v>
                </c:pt>
                <c:pt idx="148">
                  <c:v>5.6753746853710344E-4</c:v>
                </c:pt>
                <c:pt idx="149">
                  <c:v>5.7496246853710369E-4</c:v>
                </c:pt>
                <c:pt idx="150">
                  <c:v>5.8243746853710375E-4</c:v>
                </c:pt>
              </c:numCache>
            </c:numRef>
          </c:yVal>
          <c:smooth val="1"/>
          <c:extLst>
            <c:ext xmlns:c16="http://schemas.microsoft.com/office/drawing/2014/chart" uri="{C3380CC4-5D6E-409C-BE32-E72D297353CC}">
              <c16:uniqueId val="{00000002-72A2-4B07-805C-57B094D8F6D8}"/>
            </c:ext>
          </c:extLst>
        </c:ser>
        <c:ser>
          <c:idx val="2"/>
          <c:order val="3"/>
          <c:tx>
            <c:v>D1</c:v>
          </c:tx>
          <c:spPr>
            <a:ln>
              <a:solidFill>
                <a:schemeClr val="bg2">
                  <a:lumMod val="50000"/>
                </a:schemeClr>
              </a:solidFill>
              <a:prstDash val="sysDash"/>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Eff_vs_IOUT!$AY$8:$AY$157</c:f>
              <c:numCache>
                <c:formatCode>General</c:formatCode>
                <c:ptCount val="150"/>
                <c:pt idx="0">
                  <c:v>6.8348000000000006E-2</c:v>
                </c:pt>
                <c:pt idx="1">
                  <c:v>6.8547999999999998E-2</c:v>
                </c:pt>
                <c:pt idx="2">
                  <c:v>6.8748000000000004E-2</c:v>
                </c:pt>
                <c:pt idx="3">
                  <c:v>6.8947999999999995E-2</c:v>
                </c:pt>
                <c:pt idx="4">
                  <c:v>6.9148000000000001E-2</c:v>
                </c:pt>
                <c:pt idx="5">
                  <c:v>6.9348000000000007E-2</c:v>
                </c:pt>
                <c:pt idx="6">
                  <c:v>6.9547999999999999E-2</c:v>
                </c:pt>
                <c:pt idx="7">
                  <c:v>6.9748000000000004E-2</c:v>
                </c:pt>
                <c:pt idx="8">
                  <c:v>6.9947999999999996E-2</c:v>
                </c:pt>
                <c:pt idx="9">
                  <c:v>7.0148000000000002E-2</c:v>
                </c:pt>
                <c:pt idx="10">
                  <c:v>7.0347999999999994E-2</c:v>
                </c:pt>
                <c:pt idx="11">
                  <c:v>7.0548E-2</c:v>
                </c:pt>
                <c:pt idx="12">
                  <c:v>7.0748000000000005E-2</c:v>
                </c:pt>
                <c:pt idx="13">
                  <c:v>7.0947999999999997E-2</c:v>
                </c:pt>
                <c:pt idx="14">
                  <c:v>7.1148000000000003E-2</c:v>
                </c:pt>
                <c:pt idx="15">
                  <c:v>7.1347999999999995E-2</c:v>
                </c:pt>
                <c:pt idx="16">
                  <c:v>7.1548E-2</c:v>
                </c:pt>
                <c:pt idx="17">
                  <c:v>7.1748000000000006E-2</c:v>
                </c:pt>
                <c:pt idx="18">
                  <c:v>7.1947999999999998E-2</c:v>
                </c:pt>
                <c:pt idx="19">
                  <c:v>7.2148000000000004E-2</c:v>
                </c:pt>
                <c:pt idx="20">
                  <c:v>7.2347999999999996E-2</c:v>
                </c:pt>
                <c:pt idx="21">
                  <c:v>7.2548000000000001E-2</c:v>
                </c:pt>
                <c:pt idx="22">
                  <c:v>7.2748000000000007E-2</c:v>
                </c:pt>
                <c:pt idx="23">
                  <c:v>7.2947999999999999E-2</c:v>
                </c:pt>
                <c:pt idx="24">
                  <c:v>7.3148000000000005E-2</c:v>
                </c:pt>
                <c:pt idx="25">
                  <c:v>7.3347999999999997E-2</c:v>
                </c:pt>
                <c:pt idx="26">
                  <c:v>7.3548000000000002E-2</c:v>
                </c:pt>
                <c:pt idx="27">
                  <c:v>7.3747999999999994E-2</c:v>
                </c:pt>
                <c:pt idx="28">
                  <c:v>7.3948E-2</c:v>
                </c:pt>
                <c:pt idx="29">
                  <c:v>7.4148000000000006E-2</c:v>
                </c:pt>
                <c:pt idx="30">
                  <c:v>7.4347999999999997E-2</c:v>
                </c:pt>
                <c:pt idx="31">
                  <c:v>7.4548000000000003E-2</c:v>
                </c:pt>
                <c:pt idx="32">
                  <c:v>7.4747999999999995E-2</c:v>
                </c:pt>
                <c:pt idx="33">
                  <c:v>7.4948000000000001E-2</c:v>
                </c:pt>
                <c:pt idx="34">
                  <c:v>7.5148000000000006E-2</c:v>
                </c:pt>
                <c:pt idx="35">
                  <c:v>7.5347999999999998E-2</c:v>
                </c:pt>
                <c:pt idx="36">
                  <c:v>7.5548000000000004E-2</c:v>
                </c:pt>
                <c:pt idx="37">
                  <c:v>7.5747999999999996E-2</c:v>
                </c:pt>
                <c:pt idx="38">
                  <c:v>7.5948000000000002E-2</c:v>
                </c:pt>
                <c:pt idx="39">
                  <c:v>7.6147999999999993E-2</c:v>
                </c:pt>
                <c:pt idx="40">
                  <c:v>7.6347999999999999E-2</c:v>
                </c:pt>
                <c:pt idx="41">
                  <c:v>7.6548000000000005E-2</c:v>
                </c:pt>
                <c:pt idx="42">
                  <c:v>7.6747999999999997E-2</c:v>
                </c:pt>
                <c:pt idx="43">
                  <c:v>7.6948000000000003E-2</c:v>
                </c:pt>
                <c:pt idx="44">
                  <c:v>7.7147999999999994E-2</c:v>
                </c:pt>
                <c:pt idx="45">
                  <c:v>7.7348E-2</c:v>
                </c:pt>
                <c:pt idx="46">
                  <c:v>7.7548000000000006E-2</c:v>
                </c:pt>
                <c:pt idx="47">
                  <c:v>7.7747999999999998E-2</c:v>
                </c:pt>
                <c:pt idx="48">
                  <c:v>7.7948000000000003E-2</c:v>
                </c:pt>
                <c:pt idx="49">
                  <c:v>7.8147999999999995E-2</c:v>
                </c:pt>
                <c:pt idx="50">
                  <c:v>7.8348000000000001E-2</c:v>
                </c:pt>
                <c:pt idx="51">
                  <c:v>7.8548000000000007E-2</c:v>
                </c:pt>
                <c:pt idx="52">
                  <c:v>7.8747999999999999E-2</c:v>
                </c:pt>
                <c:pt idx="53">
                  <c:v>7.8948000000000004E-2</c:v>
                </c:pt>
                <c:pt idx="54">
                  <c:v>7.9147999999999996E-2</c:v>
                </c:pt>
                <c:pt idx="55">
                  <c:v>7.9348000000000002E-2</c:v>
                </c:pt>
                <c:pt idx="56">
                  <c:v>7.9548000000000008E-2</c:v>
                </c:pt>
                <c:pt idx="57">
                  <c:v>7.9747999999999999E-2</c:v>
                </c:pt>
                <c:pt idx="58">
                  <c:v>7.9948000000000005E-2</c:v>
                </c:pt>
                <c:pt idx="59">
                  <c:v>8.0147999999999997E-2</c:v>
                </c:pt>
                <c:pt idx="60">
                  <c:v>8.0348000000000003E-2</c:v>
                </c:pt>
                <c:pt idx="61">
                  <c:v>8.0547999999999995E-2</c:v>
                </c:pt>
                <c:pt idx="62">
                  <c:v>8.0748E-2</c:v>
                </c:pt>
                <c:pt idx="63">
                  <c:v>8.0947999999999992E-2</c:v>
                </c:pt>
                <c:pt idx="64">
                  <c:v>8.1147999999999998E-2</c:v>
                </c:pt>
                <c:pt idx="65">
                  <c:v>8.1348000000000004E-2</c:v>
                </c:pt>
                <c:pt idx="66">
                  <c:v>8.1547999999999995E-2</c:v>
                </c:pt>
                <c:pt idx="67">
                  <c:v>8.1748000000000001E-2</c:v>
                </c:pt>
                <c:pt idx="68">
                  <c:v>8.1948000000000007E-2</c:v>
                </c:pt>
                <c:pt idx="69">
                  <c:v>8.2147999999999999E-2</c:v>
                </c:pt>
                <c:pt idx="70">
                  <c:v>8.2348000000000005E-2</c:v>
                </c:pt>
                <c:pt idx="71">
                  <c:v>8.2547999999999996E-2</c:v>
                </c:pt>
                <c:pt idx="72">
                  <c:v>8.2748000000000002E-2</c:v>
                </c:pt>
                <c:pt idx="73">
                  <c:v>8.2947999999999994E-2</c:v>
                </c:pt>
                <c:pt idx="74">
                  <c:v>8.3148E-2</c:v>
                </c:pt>
                <c:pt idx="75">
                  <c:v>8.3348000000000005E-2</c:v>
                </c:pt>
                <c:pt idx="76">
                  <c:v>8.3547999999999997E-2</c:v>
                </c:pt>
                <c:pt idx="77">
                  <c:v>8.3748000000000003E-2</c:v>
                </c:pt>
                <c:pt idx="78">
                  <c:v>8.3947999999999995E-2</c:v>
                </c:pt>
                <c:pt idx="79">
                  <c:v>8.4148000000000001E-2</c:v>
                </c:pt>
                <c:pt idx="80">
                  <c:v>8.4348000000000006E-2</c:v>
                </c:pt>
                <c:pt idx="81">
                  <c:v>8.4547999999999998E-2</c:v>
                </c:pt>
                <c:pt idx="82">
                  <c:v>8.4748000000000004E-2</c:v>
                </c:pt>
                <c:pt idx="83">
                  <c:v>8.4947999999999996E-2</c:v>
                </c:pt>
                <c:pt idx="84">
                  <c:v>8.5148000000000001E-2</c:v>
                </c:pt>
                <c:pt idx="85">
                  <c:v>8.5348000000000007E-2</c:v>
                </c:pt>
                <c:pt idx="86">
                  <c:v>8.5547999999999999E-2</c:v>
                </c:pt>
                <c:pt idx="87">
                  <c:v>8.5747999999999991E-2</c:v>
                </c:pt>
                <c:pt idx="88">
                  <c:v>8.5947999999999997E-2</c:v>
                </c:pt>
                <c:pt idx="89">
                  <c:v>8.6148000000000002E-2</c:v>
                </c:pt>
                <c:pt idx="90">
                  <c:v>8.6348000000000008E-2</c:v>
                </c:pt>
                <c:pt idx="91">
                  <c:v>8.6548E-2</c:v>
                </c:pt>
                <c:pt idx="92">
                  <c:v>8.6748000000000006E-2</c:v>
                </c:pt>
                <c:pt idx="93">
                  <c:v>8.6947999999999998E-2</c:v>
                </c:pt>
                <c:pt idx="94">
                  <c:v>8.7148000000000003E-2</c:v>
                </c:pt>
                <c:pt idx="95">
                  <c:v>8.7347999999999995E-2</c:v>
                </c:pt>
                <c:pt idx="96">
                  <c:v>8.7548000000000001E-2</c:v>
                </c:pt>
                <c:pt idx="97">
                  <c:v>8.7747999999999993E-2</c:v>
                </c:pt>
                <c:pt idx="98">
                  <c:v>8.7947999999999998E-2</c:v>
                </c:pt>
                <c:pt idx="99">
                  <c:v>8.8148000000000004E-2</c:v>
                </c:pt>
                <c:pt idx="100">
                  <c:v>8.8347999999999996E-2</c:v>
                </c:pt>
                <c:pt idx="101">
                  <c:v>8.8548000000000002E-2</c:v>
                </c:pt>
                <c:pt idx="102">
                  <c:v>8.8747999999999994E-2</c:v>
                </c:pt>
                <c:pt idx="103">
                  <c:v>8.8947999999999999E-2</c:v>
                </c:pt>
                <c:pt idx="104">
                  <c:v>8.9148000000000005E-2</c:v>
                </c:pt>
                <c:pt idx="105">
                  <c:v>8.9347999999999997E-2</c:v>
                </c:pt>
                <c:pt idx="106">
                  <c:v>8.9548000000000003E-2</c:v>
                </c:pt>
                <c:pt idx="107">
                  <c:v>8.9747999999999994E-2</c:v>
                </c:pt>
                <c:pt idx="108">
                  <c:v>8.9948E-2</c:v>
                </c:pt>
                <c:pt idx="109">
                  <c:v>9.0148000000000006E-2</c:v>
                </c:pt>
                <c:pt idx="110">
                  <c:v>9.0347999999999998E-2</c:v>
                </c:pt>
                <c:pt idx="111">
                  <c:v>9.0548000000000003E-2</c:v>
                </c:pt>
                <c:pt idx="112">
                  <c:v>9.0747999999999995E-2</c:v>
                </c:pt>
                <c:pt idx="113">
                  <c:v>9.0948000000000001E-2</c:v>
                </c:pt>
                <c:pt idx="114">
                  <c:v>9.1148000000000007E-2</c:v>
                </c:pt>
                <c:pt idx="115">
                  <c:v>9.1347999999999999E-2</c:v>
                </c:pt>
                <c:pt idx="116">
                  <c:v>9.1548000000000004E-2</c:v>
                </c:pt>
                <c:pt idx="117">
                  <c:v>9.1747999999999996E-2</c:v>
                </c:pt>
                <c:pt idx="118">
                  <c:v>9.1948000000000002E-2</c:v>
                </c:pt>
                <c:pt idx="119">
                  <c:v>9.2148000000000008E-2</c:v>
                </c:pt>
                <c:pt idx="120">
                  <c:v>9.2348E-2</c:v>
                </c:pt>
                <c:pt idx="121">
                  <c:v>9.2547999999999991E-2</c:v>
                </c:pt>
                <c:pt idx="122">
                  <c:v>9.2747999999999997E-2</c:v>
                </c:pt>
                <c:pt idx="123">
                  <c:v>9.2948000000000003E-2</c:v>
                </c:pt>
                <c:pt idx="124">
                  <c:v>9.3147999999999995E-2</c:v>
                </c:pt>
                <c:pt idx="125">
                  <c:v>9.3348E-2</c:v>
                </c:pt>
                <c:pt idx="126">
                  <c:v>9.3547999999999992E-2</c:v>
                </c:pt>
                <c:pt idx="127">
                  <c:v>9.3747999999999998E-2</c:v>
                </c:pt>
                <c:pt idx="128">
                  <c:v>9.3948000000000004E-2</c:v>
                </c:pt>
                <c:pt idx="129">
                  <c:v>9.4147999999999996E-2</c:v>
                </c:pt>
                <c:pt idx="130">
                  <c:v>9.4348000000000001E-2</c:v>
                </c:pt>
                <c:pt idx="131">
                  <c:v>9.4548000000000007E-2</c:v>
                </c:pt>
                <c:pt idx="132">
                  <c:v>9.4747999999999999E-2</c:v>
                </c:pt>
                <c:pt idx="133">
                  <c:v>9.4948000000000005E-2</c:v>
                </c:pt>
                <c:pt idx="134">
                  <c:v>9.514800000000001E-2</c:v>
                </c:pt>
                <c:pt idx="135">
                  <c:v>9.5348000000000002E-2</c:v>
                </c:pt>
                <c:pt idx="136">
                  <c:v>9.5547999999999994E-2</c:v>
                </c:pt>
                <c:pt idx="137">
                  <c:v>9.5748E-2</c:v>
                </c:pt>
                <c:pt idx="138">
                  <c:v>9.5948000000000006E-2</c:v>
                </c:pt>
                <c:pt idx="139">
                  <c:v>9.6147999999999997E-2</c:v>
                </c:pt>
                <c:pt idx="140">
                  <c:v>9.6348000000000003E-2</c:v>
                </c:pt>
                <c:pt idx="141">
                  <c:v>9.6547999999999995E-2</c:v>
                </c:pt>
                <c:pt idx="142">
                  <c:v>9.6748000000000001E-2</c:v>
                </c:pt>
                <c:pt idx="143">
                  <c:v>9.6948000000000006E-2</c:v>
                </c:pt>
                <c:pt idx="144">
                  <c:v>9.7147999999999998E-2</c:v>
                </c:pt>
                <c:pt idx="145">
                  <c:v>9.734799999999999E-2</c:v>
                </c:pt>
                <c:pt idx="146">
                  <c:v>9.7547999999999996E-2</c:v>
                </c:pt>
                <c:pt idx="147">
                  <c:v>9.7748000000000002E-2</c:v>
                </c:pt>
                <c:pt idx="148">
                  <c:v>9.7947999999999993E-2</c:v>
                </c:pt>
                <c:pt idx="149">
                  <c:v>9.8147999999999999E-2</c:v>
                </c:pt>
              </c:numCache>
            </c:numRef>
          </c:yVal>
          <c:smooth val="1"/>
          <c:extLst>
            <c:ext xmlns:c16="http://schemas.microsoft.com/office/drawing/2014/chart" uri="{C3380CC4-5D6E-409C-BE32-E72D297353CC}">
              <c16:uniqueId val="{00000003-72A2-4B07-805C-57B094D8F6D8}"/>
            </c:ext>
          </c:extLst>
        </c:ser>
        <c:ser>
          <c:idx val="4"/>
          <c:order val="4"/>
          <c:tx>
            <c:v>D2</c:v>
          </c:tx>
          <c:marker>
            <c:symbol val="none"/>
          </c:marker>
          <c:xVal>
            <c:numRef>
              <c:f>Eff_vs_IOUT!$R$8:$R$157</c:f>
              <c:numCache>
                <c:formatCode>General</c:formatCode>
                <c:ptCount val="150"/>
                <c:pt idx="0">
                  <c:v>0.01</c:v>
                </c:pt>
                <c:pt idx="1">
                  <c:v>0.02</c:v>
                </c:pt>
                <c:pt idx="2">
                  <c:v>0.03</c:v>
                </c:pt>
                <c:pt idx="3">
                  <c:v>0.04</c:v>
                </c:pt>
                <c:pt idx="4">
                  <c:v>0.05</c:v>
                </c:pt>
                <c:pt idx="5">
                  <c:v>0.06</c:v>
                </c:pt>
                <c:pt idx="6">
                  <c:v>7.0000000000000007E-2</c:v>
                </c:pt>
                <c:pt idx="7">
                  <c:v>0.08</c:v>
                </c:pt>
                <c:pt idx="8">
                  <c:v>0.09</c:v>
                </c:pt>
                <c:pt idx="9">
                  <c:v>0.1</c:v>
                </c:pt>
                <c:pt idx="10">
                  <c:v>0.11</c:v>
                </c:pt>
                <c:pt idx="11">
                  <c:v>0.12</c:v>
                </c:pt>
                <c:pt idx="12">
                  <c:v>0.13</c:v>
                </c:pt>
                <c:pt idx="13">
                  <c:v>0.14000000000000001</c:v>
                </c:pt>
                <c:pt idx="14">
                  <c:v>0.15</c:v>
                </c:pt>
                <c:pt idx="15">
                  <c:v>0.16</c:v>
                </c:pt>
                <c:pt idx="16">
                  <c:v>0.17</c:v>
                </c:pt>
                <c:pt idx="17">
                  <c:v>0.18</c:v>
                </c:pt>
                <c:pt idx="18">
                  <c:v>0.19</c:v>
                </c:pt>
                <c:pt idx="19">
                  <c:v>0.2</c:v>
                </c:pt>
                <c:pt idx="20">
                  <c:v>0.21</c:v>
                </c:pt>
                <c:pt idx="21">
                  <c:v>0.22</c:v>
                </c:pt>
                <c:pt idx="22">
                  <c:v>0.23</c:v>
                </c:pt>
                <c:pt idx="23">
                  <c:v>0.24</c:v>
                </c:pt>
                <c:pt idx="24">
                  <c:v>0.25</c:v>
                </c:pt>
                <c:pt idx="25">
                  <c:v>0.26</c:v>
                </c:pt>
                <c:pt idx="26">
                  <c:v>0.27</c:v>
                </c:pt>
                <c:pt idx="27">
                  <c:v>0.28000000000000003</c:v>
                </c:pt>
                <c:pt idx="28">
                  <c:v>0.28999999999999998</c:v>
                </c:pt>
                <c:pt idx="29">
                  <c:v>0.3</c:v>
                </c:pt>
                <c:pt idx="30">
                  <c:v>0.31</c:v>
                </c:pt>
                <c:pt idx="31">
                  <c:v>0.32</c:v>
                </c:pt>
                <c:pt idx="32">
                  <c:v>0.33</c:v>
                </c:pt>
                <c:pt idx="33">
                  <c:v>0.34</c:v>
                </c:pt>
                <c:pt idx="34">
                  <c:v>0.35000000000000003</c:v>
                </c:pt>
                <c:pt idx="35">
                  <c:v>0.36</c:v>
                </c:pt>
                <c:pt idx="36">
                  <c:v>0.37</c:v>
                </c:pt>
                <c:pt idx="37">
                  <c:v>0.38</c:v>
                </c:pt>
                <c:pt idx="38">
                  <c:v>0.39</c:v>
                </c:pt>
                <c:pt idx="39">
                  <c:v>0.4</c:v>
                </c:pt>
                <c:pt idx="40">
                  <c:v>0.41000000000000003</c:v>
                </c:pt>
                <c:pt idx="41">
                  <c:v>0.42</c:v>
                </c:pt>
                <c:pt idx="42">
                  <c:v>0.43</c:v>
                </c:pt>
                <c:pt idx="43">
                  <c:v>0.44</c:v>
                </c:pt>
                <c:pt idx="44">
                  <c:v>0.45</c:v>
                </c:pt>
                <c:pt idx="45">
                  <c:v>0.46</c:v>
                </c:pt>
                <c:pt idx="46">
                  <c:v>0.47000000000000003</c:v>
                </c:pt>
                <c:pt idx="47">
                  <c:v>0.48</c:v>
                </c:pt>
                <c:pt idx="48">
                  <c:v>0.49</c:v>
                </c:pt>
                <c:pt idx="49">
                  <c:v>0.5</c:v>
                </c:pt>
                <c:pt idx="50">
                  <c:v>0.51</c:v>
                </c:pt>
                <c:pt idx="51">
                  <c:v>0.52</c:v>
                </c:pt>
                <c:pt idx="52">
                  <c:v>0.53</c:v>
                </c:pt>
                <c:pt idx="53">
                  <c:v>0.54</c:v>
                </c:pt>
                <c:pt idx="54">
                  <c:v>0.55000000000000004</c:v>
                </c:pt>
                <c:pt idx="55">
                  <c:v>0.56000000000000005</c:v>
                </c:pt>
                <c:pt idx="56">
                  <c:v>0.57000000000000006</c:v>
                </c:pt>
                <c:pt idx="57">
                  <c:v>0.57999999999999996</c:v>
                </c:pt>
                <c:pt idx="58">
                  <c:v>0.59</c:v>
                </c:pt>
                <c:pt idx="59">
                  <c:v>0.6</c:v>
                </c:pt>
                <c:pt idx="60">
                  <c:v>0.61</c:v>
                </c:pt>
                <c:pt idx="61">
                  <c:v>0.62</c:v>
                </c:pt>
                <c:pt idx="62">
                  <c:v>0.63</c:v>
                </c:pt>
                <c:pt idx="63">
                  <c:v>0.64</c:v>
                </c:pt>
                <c:pt idx="64">
                  <c:v>0.65</c:v>
                </c:pt>
                <c:pt idx="65">
                  <c:v>0.66</c:v>
                </c:pt>
                <c:pt idx="66">
                  <c:v>0.67</c:v>
                </c:pt>
                <c:pt idx="67">
                  <c:v>0.68</c:v>
                </c:pt>
                <c:pt idx="68">
                  <c:v>0.69000000000000006</c:v>
                </c:pt>
                <c:pt idx="69">
                  <c:v>0.70000000000000007</c:v>
                </c:pt>
                <c:pt idx="70">
                  <c:v>0.71</c:v>
                </c:pt>
                <c:pt idx="71">
                  <c:v>0.72</c:v>
                </c:pt>
                <c:pt idx="72">
                  <c:v>0.73</c:v>
                </c:pt>
                <c:pt idx="73">
                  <c:v>0.74</c:v>
                </c:pt>
                <c:pt idx="74">
                  <c:v>0.75</c:v>
                </c:pt>
                <c:pt idx="75">
                  <c:v>0.76</c:v>
                </c:pt>
                <c:pt idx="76">
                  <c:v>0.77</c:v>
                </c:pt>
                <c:pt idx="77">
                  <c:v>0.78</c:v>
                </c:pt>
                <c:pt idx="78">
                  <c:v>0.79</c:v>
                </c:pt>
                <c:pt idx="79">
                  <c:v>0.8</c:v>
                </c:pt>
                <c:pt idx="80">
                  <c:v>0.81</c:v>
                </c:pt>
                <c:pt idx="81">
                  <c:v>0.82000000000000006</c:v>
                </c:pt>
                <c:pt idx="82">
                  <c:v>0.83000000000000007</c:v>
                </c:pt>
                <c:pt idx="83">
                  <c:v>0.84</c:v>
                </c:pt>
                <c:pt idx="84">
                  <c:v>0.85</c:v>
                </c:pt>
                <c:pt idx="85">
                  <c:v>0.86</c:v>
                </c:pt>
                <c:pt idx="86">
                  <c:v>0.87</c:v>
                </c:pt>
                <c:pt idx="87">
                  <c:v>0.88</c:v>
                </c:pt>
                <c:pt idx="88">
                  <c:v>0.89</c:v>
                </c:pt>
                <c:pt idx="89">
                  <c:v>0.9</c:v>
                </c:pt>
                <c:pt idx="90">
                  <c:v>0.91</c:v>
                </c:pt>
                <c:pt idx="91">
                  <c:v>0.92</c:v>
                </c:pt>
                <c:pt idx="92">
                  <c:v>0.93</c:v>
                </c:pt>
                <c:pt idx="93">
                  <c:v>0.94000000000000006</c:v>
                </c:pt>
                <c:pt idx="94">
                  <c:v>0.95000000000000007</c:v>
                </c:pt>
                <c:pt idx="95">
                  <c:v>0.96</c:v>
                </c:pt>
                <c:pt idx="96">
                  <c:v>0.97</c:v>
                </c:pt>
                <c:pt idx="97">
                  <c:v>0.98</c:v>
                </c:pt>
                <c:pt idx="98">
                  <c:v>0.99</c:v>
                </c:pt>
                <c:pt idx="99">
                  <c:v>1</c:v>
                </c:pt>
                <c:pt idx="100">
                  <c:v>1.01</c:v>
                </c:pt>
                <c:pt idx="101">
                  <c:v>1.02</c:v>
                </c:pt>
                <c:pt idx="102">
                  <c:v>1.03</c:v>
                </c:pt>
                <c:pt idx="103">
                  <c:v>1.04</c:v>
                </c:pt>
                <c:pt idx="104">
                  <c:v>1.05</c:v>
                </c:pt>
                <c:pt idx="105">
                  <c:v>1.06</c:v>
                </c:pt>
                <c:pt idx="106">
                  <c:v>1.07</c:v>
                </c:pt>
                <c:pt idx="107">
                  <c:v>1.08</c:v>
                </c:pt>
                <c:pt idx="108">
                  <c:v>1.0900000000000001</c:v>
                </c:pt>
                <c:pt idx="109">
                  <c:v>1.1000000000000001</c:v>
                </c:pt>
                <c:pt idx="110">
                  <c:v>1.1100000000000001</c:v>
                </c:pt>
                <c:pt idx="111">
                  <c:v>1.1200000000000001</c:v>
                </c:pt>
                <c:pt idx="112">
                  <c:v>1.1300000000000001</c:v>
                </c:pt>
                <c:pt idx="113">
                  <c:v>1.1400000000000001</c:v>
                </c:pt>
                <c:pt idx="114">
                  <c:v>1.1500000000000001</c:v>
                </c:pt>
                <c:pt idx="115">
                  <c:v>1.1599999999999999</c:v>
                </c:pt>
                <c:pt idx="116">
                  <c:v>1.17</c:v>
                </c:pt>
                <c:pt idx="117">
                  <c:v>1.18</c:v>
                </c:pt>
                <c:pt idx="118">
                  <c:v>1.19</c:v>
                </c:pt>
                <c:pt idx="119">
                  <c:v>1.2</c:v>
                </c:pt>
                <c:pt idx="120">
                  <c:v>1.21</c:v>
                </c:pt>
                <c:pt idx="121">
                  <c:v>1.22</c:v>
                </c:pt>
                <c:pt idx="122">
                  <c:v>1.23</c:v>
                </c:pt>
                <c:pt idx="123">
                  <c:v>1.24</c:v>
                </c:pt>
                <c:pt idx="124">
                  <c:v>1.25</c:v>
                </c:pt>
                <c:pt idx="125">
                  <c:v>1.26</c:v>
                </c:pt>
                <c:pt idx="126">
                  <c:v>1.27</c:v>
                </c:pt>
                <c:pt idx="127">
                  <c:v>1.28</c:v>
                </c:pt>
                <c:pt idx="128">
                  <c:v>1.29</c:v>
                </c:pt>
                <c:pt idx="129">
                  <c:v>1.3</c:v>
                </c:pt>
                <c:pt idx="130">
                  <c:v>1.31</c:v>
                </c:pt>
                <c:pt idx="131">
                  <c:v>1.32</c:v>
                </c:pt>
                <c:pt idx="132">
                  <c:v>1.33</c:v>
                </c:pt>
                <c:pt idx="133">
                  <c:v>1.34</c:v>
                </c:pt>
                <c:pt idx="134">
                  <c:v>1.35</c:v>
                </c:pt>
                <c:pt idx="135">
                  <c:v>1.36</c:v>
                </c:pt>
                <c:pt idx="136">
                  <c:v>1.37</c:v>
                </c:pt>
                <c:pt idx="137">
                  <c:v>1.3800000000000001</c:v>
                </c:pt>
                <c:pt idx="138">
                  <c:v>1.3900000000000001</c:v>
                </c:pt>
                <c:pt idx="139">
                  <c:v>1.4000000000000001</c:v>
                </c:pt>
                <c:pt idx="140">
                  <c:v>1.41</c:v>
                </c:pt>
                <c:pt idx="141">
                  <c:v>1.42</c:v>
                </c:pt>
                <c:pt idx="142">
                  <c:v>1.43</c:v>
                </c:pt>
                <c:pt idx="143">
                  <c:v>1.44</c:v>
                </c:pt>
                <c:pt idx="144">
                  <c:v>1.45</c:v>
                </c:pt>
                <c:pt idx="145">
                  <c:v>1.46</c:v>
                </c:pt>
                <c:pt idx="146">
                  <c:v>1.47</c:v>
                </c:pt>
                <c:pt idx="147">
                  <c:v>1.48</c:v>
                </c:pt>
                <c:pt idx="148">
                  <c:v>1.49</c:v>
                </c:pt>
                <c:pt idx="149">
                  <c:v>1.5</c:v>
                </c:pt>
              </c:numCache>
            </c:numRef>
          </c:xVal>
          <c:yVal>
            <c:numRef>
              <c:f>Eff_vs_IOUT!$BI$8:$BI$157</c:f>
              <c:numCache>
                <c:formatCode>General</c:formatCode>
                <c:ptCount val="15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numCache>
            </c:numRef>
          </c:yVal>
          <c:smooth val="1"/>
          <c:extLst>
            <c:ext xmlns:c16="http://schemas.microsoft.com/office/drawing/2014/chart" uri="{C3380CC4-5D6E-409C-BE32-E72D297353CC}">
              <c16:uniqueId val="{00000004-72A2-4B07-805C-57B094D8F6D8}"/>
            </c:ext>
          </c:extLst>
        </c:ser>
        <c:ser>
          <c:idx val="5"/>
          <c:order val="5"/>
          <c:tx>
            <c:v>D3</c:v>
          </c:tx>
          <c:marker>
            <c:symbol val="none"/>
          </c:marker>
          <c:xVal>
            <c:numRef>
              <c:f>Eff_vs_IOUT!$R$8:$R$157</c:f>
              <c:numCache>
                <c:formatCode>General</c:formatCode>
                <c:ptCount val="150"/>
                <c:pt idx="0">
                  <c:v>0.01</c:v>
                </c:pt>
                <c:pt idx="1">
                  <c:v>0.02</c:v>
                </c:pt>
                <c:pt idx="2">
                  <c:v>0.03</c:v>
                </c:pt>
                <c:pt idx="3">
                  <c:v>0.04</c:v>
                </c:pt>
                <c:pt idx="4">
                  <c:v>0.05</c:v>
                </c:pt>
                <c:pt idx="5">
                  <c:v>0.06</c:v>
                </c:pt>
                <c:pt idx="6">
                  <c:v>7.0000000000000007E-2</c:v>
                </c:pt>
                <c:pt idx="7">
                  <c:v>0.08</c:v>
                </c:pt>
                <c:pt idx="8">
                  <c:v>0.09</c:v>
                </c:pt>
                <c:pt idx="9">
                  <c:v>0.1</c:v>
                </c:pt>
                <c:pt idx="10">
                  <c:v>0.11</c:v>
                </c:pt>
                <c:pt idx="11">
                  <c:v>0.12</c:v>
                </c:pt>
                <c:pt idx="12">
                  <c:v>0.13</c:v>
                </c:pt>
                <c:pt idx="13">
                  <c:v>0.14000000000000001</c:v>
                </c:pt>
                <c:pt idx="14">
                  <c:v>0.15</c:v>
                </c:pt>
                <c:pt idx="15">
                  <c:v>0.16</c:v>
                </c:pt>
                <c:pt idx="16">
                  <c:v>0.17</c:v>
                </c:pt>
                <c:pt idx="17">
                  <c:v>0.18</c:v>
                </c:pt>
                <c:pt idx="18">
                  <c:v>0.19</c:v>
                </c:pt>
                <c:pt idx="19">
                  <c:v>0.2</c:v>
                </c:pt>
                <c:pt idx="20">
                  <c:v>0.21</c:v>
                </c:pt>
                <c:pt idx="21">
                  <c:v>0.22</c:v>
                </c:pt>
                <c:pt idx="22">
                  <c:v>0.23</c:v>
                </c:pt>
                <c:pt idx="23">
                  <c:v>0.24</c:v>
                </c:pt>
                <c:pt idx="24">
                  <c:v>0.25</c:v>
                </c:pt>
                <c:pt idx="25">
                  <c:v>0.26</c:v>
                </c:pt>
                <c:pt idx="26">
                  <c:v>0.27</c:v>
                </c:pt>
                <c:pt idx="27">
                  <c:v>0.28000000000000003</c:v>
                </c:pt>
                <c:pt idx="28">
                  <c:v>0.28999999999999998</c:v>
                </c:pt>
                <c:pt idx="29">
                  <c:v>0.3</c:v>
                </c:pt>
                <c:pt idx="30">
                  <c:v>0.31</c:v>
                </c:pt>
                <c:pt idx="31">
                  <c:v>0.32</c:v>
                </c:pt>
                <c:pt idx="32">
                  <c:v>0.33</c:v>
                </c:pt>
                <c:pt idx="33">
                  <c:v>0.34</c:v>
                </c:pt>
                <c:pt idx="34">
                  <c:v>0.35000000000000003</c:v>
                </c:pt>
                <c:pt idx="35">
                  <c:v>0.36</c:v>
                </c:pt>
                <c:pt idx="36">
                  <c:v>0.37</c:v>
                </c:pt>
                <c:pt idx="37">
                  <c:v>0.38</c:v>
                </c:pt>
                <c:pt idx="38">
                  <c:v>0.39</c:v>
                </c:pt>
                <c:pt idx="39">
                  <c:v>0.4</c:v>
                </c:pt>
                <c:pt idx="40">
                  <c:v>0.41000000000000003</c:v>
                </c:pt>
                <c:pt idx="41">
                  <c:v>0.42</c:v>
                </c:pt>
                <c:pt idx="42">
                  <c:v>0.43</c:v>
                </c:pt>
                <c:pt idx="43">
                  <c:v>0.44</c:v>
                </c:pt>
                <c:pt idx="44">
                  <c:v>0.45</c:v>
                </c:pt>
                <c:pt idx="45">
                  <c:v>0.46</c:v>
                </c:pt>
                <c:pt idx="46">
                  <c:v>0.47000000000000003</c:v>
                </c:pt>
                <c:pt idx="47">
                  <c:v>0.48</c:v>
                </c:pt>
                <c:pt idx="48">
                  <c:v>0.49</c:v>
                </c:pt>
                <c:pt idx="49">
                  <c:v>0.5</c:v>
                </c:pt>
                <c:pt idx="50">
                  <c:v>0.51</c:v>
                </c:pt>
                <c:pt idx="51">
                  <c:v>0.52</c:v>
                </c:pt>
                <c:pt idx="52">
                  <c:v>0.53</c:v>
                </c:pt>
                <c:pt idx="53">
                  <c:v>0.54</c:v>
                </c:pt>
                <c:pt idx="54">
                  <c:v>0.55000000000000004</c:v>
                </c:pt>
                <c:pt idx="55">
                  <c:v>0.56000000000000005</c:v>
                </c:pt>
                <c:pt idx="56">
                  <c:v>0.57000000000000006</c:v>
                </c:pt>
                <c:pt idx="57">
                  <c:v>0.57999999999999996</c:v>
                </c:pt>
                <c:pt idx="58">
                  <c:v>0.59</c:v>
                </c:pt>
                <c:pt idx="59">
                  <c:v>0.6</c:v>
                </c:pt>
                <c:pt idx="60">
                  <c:v>0.61</c:v>
                </c:pt>
                <c:pt idx="61">
                  <c:v>0.62</c:v>
                </c:pt>
                <c:pt idx="62">
                  <c:v>0.63</c:v>
                </c:pt>
                <c:pt idx="63">
                  <c:v>0.64</c:v>
                </c:pt>
                <c:pt idx="64">
                  <c:v>0.65</c:v>
                </c:pt>
                <c:pt idx="65">
                  <c:v>0.66</c:v>
                </c:pt>
                <c:pt idx="66">
                  <c:v>0.67</c:v>
                </c:pt>
                <c:pt idx="67">
                  <c:v>0.68</c:v>
                </c:pt>
                <c:pt idx="68">
                  <c:v>0.69000000000000006</c:v>
                </c:pt>
                <c:pt idx="69">
                  <c:v>0.70000000000000007</c:v>
                </c:pt>
                <c:pt idx="70">
                  <c:v>0.71</c:v>
                </c:pt>
                <c:pt idx="71">
                  <c:v>0.72</c:v>
                </c:pt>
                <c:pt idx="72">
                  <c:v>0.73</c:v>
                </c:pt>
                <c:pt idx="73">
                  <c:v>0.74</c:v>
                </c:pt>
                <c:pt idx="74">
                  <c:v>0.75</c:v>
                </c:pt>
                <c:pt idx="75">
                  <c:v>0.76</c:v>
                </c:pt>
                <c:pt idx="76">
                  <c:v>0.77</c:v>
                </c:pt>
                <c:pt idx="77">
                  <c:v>0.78</c:v>
                </c:pt>
                <c:pt idx="78">
                  <c:v>0.79</c:v>
                </c:pt>
                <c:pt idx="79">
                  <c:v>0.8</c:v>
                </c:pt>
                <c:pt idx="80">
                  <c:v>0.81</c:v>
                </c:pt>
                <c:pt idx="81">
                  <c:v>0.82000000000000006</c:v>
                </c:pt>
                <c:pt idx="82">
                  <c:v>0.83000000000000007</c:v>
                </c:pt>
                <c:pt idx="83">
                  <c:v>0.84</c:v>
                </c:pt>
                <c:pt idx="84">
                  <c:v>0.85</c:v>
                </c:pt>
                <c:pt idx="85">
                  <c:v>0.86</c:v>
                </c:pt>
                <c:pt idx="86">
                  <c:v>0.87</c:v>
                </c:pt>
                <c:pt idx="87">
                  <c:v>0.88</c:v>
                </c:pt>
                <c:pt idx="88">
                  <c:v>0.89</c:v>
                </c:pt>
                <c:pt idx="89">
                  <c:v>0.9</c:v>
                </c:pt>
                <c:pt idx="90">
                  <c:v>0.91</c:v>
                </c:pt>
                <c:pt idx="91">
                  <c:v>0.92</c:v>
                </c:pt>
                <c:pt idx="92">
                  <c:v>0.93</c:v>
                </c:pt>
                <c:pt idx="93">
                  <c:v>0.94000000000000006</c:v>
                </c:pt>
                <c:pt idx="94">
                  <c:v>0.95000000000000007</c:v>
                </c:pt>
                <c:pt idx="95">
                  <c:v>0.96</c:v>
                </c:pt>
                <c:pt idx="96">
                  <c:v>0.97</c:v>
                </c:pt>
                <c:pt idx="97">
                  <c:v>0.98</c:v>
                </c:pt>
                <c:pt idx="98">
                  <c:v>0.99</c:v>
                </c:pt>
                <c:pt idx="99">
                  <c:v>1</c:v>
                </c:pt>
                <c:pt idx="100">
                  <c:v>1.01</c:v>
                </c:pt>
                <c:pt idx="101">
                  <c:v>1.02</c:v>
                </c:pt>
                <c:pt idx="102">
                  <c:v>1.03</c:v>
                </c:pt>
                <c:pt idx="103">
                  <c:v>1.04</c:v>
                </c:pt>
                <c:pt idx="104">
                  <c:v>1.05</c:v>
                </c:pt>
                <c:pt idx="105">
                  <c:v>1.06</c:v>
                </c:pt>
                <c:pt idx="106">
                  <c:v>1.07</c:v>
                </c:pt>
                <c:pt idx="107">
                  <c:v>1.08</c:v>
                </c:pt>
                <c:pt idx="108">
                  <c:v>1.0900000000000001</c:v>
                </c:pt>
                <c:pt idx="109">
                  <c:v>1.1000000000000001</c:v>
                </c:pt>
                <c:pt idx="110">
                  <c:v>1.1100000000000001</c:v>
                </c:pt>
                <c:pt idx="111">
                  <c:v>1.1200000000000001</c:v>
                </c:pt>
                <c:pt idx="112">
                  <c:v>1.1300000000000001</c:v>
                </c:pt>
                <c:pt idx="113">
                  <c:v>1.1400000000000001</c:v>
                </c:pt>
                <c:pt idx="114">
                  <c:v>1.1500000000000001</c:v>
                </c:pt>
                <c:pt idx="115">
                  <c:v>1.1599999999999999</c:v>
                </c:pt>
                <c:pt idx="116">
                  <c:v>1.17</c:v>
                </c:pt>
                <c:pt idx="117">
                  <c:v>1.18</c:v>
                </c:pt>
                <c:pt idx="118">
                  <c:v>1.19</c:v>
                </c:pt>
                <c:pt idx="119">
                  <c:v>1.2</c:v>
                </c:pt>
                <c:pt idx="120">
                  <c:v>1.21</c:v>
                </c:pt>
                <c:pt idx="121">
                  <c:v>1.22</c:v>
                </c:pt>
                <c:pt idx="122">
                  <c:v>1.23</c:v>
                </c:pt>
                <c:pt idx="123">
                  <c:v>1.24</c:v>
                </c:pt>
                <c:pt idx="124">
                  <c:v>1.25</c:v>
                </c:pt>
                <c:pt idx="125">
                  <c:v>1.26</c:v>
                </c:pt>
                <c:pt idx="126">
                  <c:v>1.27</c:v>
                </c:pt>
                <c:pt idx="127">
                  <c:v>1.28</c:v>
                </c:pt>
                <c:pt idx="128">
                  <c:v>1.29</c:v>
                </c:pt>
                <c:pt idx="129">
                  <c:v>1.3</c:v>
                </c:pt>
                <c:pt idx="130">
                  <c:v>1.31</c:v>
                </c:pt>
                <c:pt idx="131">
                  <c:v>1.32</c:v>
                </c:pt>
                <c:pt idx="132">
                  <c:v>1.33</c:v>
                </c:pt>
                <c:pt idx="133">
                  <c:v>1.34</c:v>
                </c:pt>
                <c:pt idx="134">
                  <c:v>1.35</c:v>
                </c:pt>
                <c:pt idx="135">
                  <c:v>1.36</c:v>
                </c:pt>
                <c:pt idx="136">
                  <c:v>1.37</c:v>
                </c:pt>
                <c:pt idx="137">
                  <c:v>1.3800000000000001</c:v>
                </c:pt>
                <c:pt idx="138">
                  <c:v>1.3900000000000001</c:v>
                </c:pt>
                <c:pt idx="139">
                  <c:v>1.4000000000000001</c:v>
                </c:pt>
                <c:pt idx="140">
                  <c:v>1.41</c:v>
                </c:pt>
                <c:pt idx="141">
                  <c:v>1.42</c:v>
                </c:pt>
                <c:pt idx="142">
                  <c:v>1.43</c:v>
                </c:pt>
                <c:pt idx="143">
                  <c:v>1.44</c:v>
                </c:pt>
                <c:pt idx="144">
                  <c:v>1.45</c:v>
                </c:pt>
                <c:pt idx="145">
                  <c:v>1.46</c:v>
                </c:pt>
                <c:pt idx="146">
                  <c:v>1.47</c:v>
                </c:pt>
                <c:pt idx="147">
                  <c:v>1.48</c:v>
                </c:pt>
                <c:pt idx="148">
                  <c:v>1.49</c:v>
                </c:pt>
                <c:pt idx="149">
                  <c:v>1.5</c:v>
                </c:pt>
              </c:numCache>
            </c:numRef>
          </c:xVal>
          <c:yVal>
            <c:numRef>
              <c:f>Eff_vs_IOUT!$BT$8:$BT$157</c:f>
              <c:numCache>
                <c:formatCode>General</c:formatCode>
                <c:ptCount val="15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numCache>
            </c:numRef>
          </c:yVal>
          <c:smooth val="1"/>
          <c:extLst>
            <c:ext xmlns:c16="http://schemas.microsoft.com/office/drawing/2014/chart" uri="{C3380CC4-5D6E-409C-BE32-E72D297353CC}">
              <c16:uniqueId val="{00000005-72A2-4B07-805C-57B094D8F6D8}"/>
            </c:ext>
          </c:extLst>
        </c:ser>
        <c:dLbls>
          <c:showLegendKey val="0"/>
          <c:showVal val="0"/>
          <c:showCatName val="0"/>
          <c:showSerName val="0"/>
          <c:showPercent val="0"/>
          <c:showBubbleSize val="0"/>
        </c:dLbls>
        <c:axId val="586827264"/>
        <c:axId val="586476928"/>
      </c:scatterChart>
      <c:valAx>
        <c:axId val="586473472"/>
        <c:scaling>
          <c:orientation val="minMax"/>
        </c:scaling>
        <c:delete val="0"/>
        <c:axPos val="b"/>
        <c:majorGridlines/>
        <c:numFmt formatCode="General" sourceLinked="1"/>
        <c:majorTickMark val="out"/>
        <c:minorTickMark val="none"/>
        <c:tickLblPos val="nextTo"/>
        <c:crossAx val="586475008"/>
        <c:crosses val="autoZero"/>
        <c:crossBetween val="midCat"/>
      </c:valAx>
      <c:valAx>
        <c:axId val="586475008"/>
        <c:scaling>
          <c:orientation val="minMax"/>
          <c:max val="100"/>
          <c:min val="60"/>
        </c:scaling>
        <c:delete val="0"/>
        <c:axPos val="l"/>
        <c:majorGridlines/>
        <c:title>
          <c:tx>
            <c:rich>
              <a:bodyPr rot="-5400000" vert="horz"/>
              <a:lstStyle/>
              <a:p>
                <a:pPr>
                  <a:defRPr sz="1400"/>
                </a:pPr>
                <a:r>
                  <a:rPr lang="en-US" sz="1400"/>
                  <a:t>Efficiency</a:t>
                </a:r>
                <a:r>
                  <a:rPr lang="en-US" sz="1400" baseline="0"/>
                  <a:t> (%)</a:t>
                </a:r>
                <a:endParaRPr lang="en-US" sz="1400"/>
              </a:p>
            </c:rich>
          </c:tx>
          <c:overlay val="0"/>
        </c:title>
        <c:numFmt formatCode="General" sourceLinked="1"/>
        <c:majorTickMark val="out"/>
        <c:minorTickMark val="none"/>
        <c:tickLblPos val="nextTo"/>
        <c:crossAx val="586473472"/>
        <c:crosses val="autoZero"/>
        <c:crossBetween val="midCat"/>
      </c:valAx>
      <c:valAx>
        <c:axId val="586476928"/>
        <c:scaling>
          <c:orientation val="minMax"/>
        </c:scaling>
        <c:delete val="0"/>
        <c:axPos val="r"/>
        <c:title>
          <c:tx>
            <c:rich>
              <a:bodyPr rot="-5400000" vert="horz"/>
              <a:lstStyle/>
              <a:p>
                <a:pPr>
                  <a:defRPr sz="1400"/>
                </a:pPr>
                <a:r>
                  <a:rPr lang="en-US" sz="1400"/>
                  <a:t>Losses</a:t>
                </a:r>
                <a:r>
                  <a:rPr lang="en-US" sz="1400" baseline="0"/>
                  <a:t> (W)</a:t>
                </a:r>
                <a:endParaRPr lang="en-US" sz="1400"/>
              </a:p>
            </c:rich>
          </c:tx>
          <c:overlay val="0"/>
        </c:title>
        <c:numFmt formatCode="General" sourceLinked="1"/>
        <c:majorTickMark val="out"/>
        <c:minorTickMark val="none"/>
        <c:tickLblPos val="nextTo"/>
        <c:crossAx val="586827264"/>
        <c:crosses val="max"/>
        <c:crossBetween val="midCat"/>
      </c:valAx>
      <c:valAx>
        <c:axId val="586827264"/>
        <c:scaling>
          <c:orientation val="minMax"/>
        </c:scaling>
        <c:delete val="1"/>
        <c:axPos val="b"/>
        <c:title>
          <c:tx>
            <c:rich>
              <a:bodyPr/>
              <a:lstStyle/>
              <a:p>
                <a:pPr>
                  <a:defRPr sz="700"/>
                </a:pPr>
                <a:r>
                  <a:rPr lang="en-US" sz="1200" b="1" i="0" baseline="0">
                    <a:effectLst/>
                  </a:rPr>
                  <a:t>P</a:t>
                </a:r>
                <a:r>
                  <a:rPr lang="en-US" sz="1200" b="1" i="0" baseline="-25000">
                    <a:effectLst/>
                  </a:rPr>
                  <a:t>OUT</a:t>
                </a:r>
                <a:r>
                  <a:rPr lang="en-US" sz="1200" b="1" i="0" baseline="0">
                    <a:effectLst/>
                  </a:rPr>
                  <a:t> (W)</a:t>
                </a:r>
                <a:endParaRPr lang="en-US" sz="700">
                  <a:effectLst/>
                </a:endParaRPr>
              </a:p>
            </c:rich>
          </c:tx>
          <c:overlay val="0"/>
        </c:title>
        <c:numFmt formatCode="General" sourceLinked="1"/>
        <c:majorTickMark val="out"/>
        <c:minorTickMark val="none"/>
        <c:tickLblPos val="nextTo"/>
        <c:crossAx val="586476928"/>
        <c:crosses val="autoZero"/>
        <c:crossBetween val="midCat"/>
      </c:valAx>
    </c:plotArea>
    <c:legend>
      <c:legendPos val="r"/>
      <c:layout>
        <c:manualLayout>
          <c:xMode val="edge"/>
          <c:yMode val="edge"/>
          <c:x val="0.49723111871774606"/>
          <c:y val="6.4861313959085187E-3"/>
          <c:w val="0.41972466868865133"/>
          <c:h val="0.12461147870492213"/>
        </c:manualLayout>
      </c:layout>
      <c:overlay val="1"/>
    </c:legend>
    <c:plotVisOnly val="1"/>
    <c:dispBlanksAs val="gap"/>
    <c:showDLblsOverMax val="0"/>
  </c:chart>
  <c:spPr>
    <a:ln>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600"/>
            </a:pPr>
            <a:r>
              <a:rPr lang="en-US" sz="1600" baseline="0"/>
              <a:t>Non-Isolated Loop Response</a:t>
            </a:r>
          </a:p>
        </c:rich>
      </c:tx>
      <c:layout>
        <c:manualLayout>
          <c:xMode val="edge"/>
          <c:yMode val="edge"/>
          <c:x val="9.4354157174953393E-2"/>
          <c:y val="3.9916010498687662E-3"/>
        </c:manualLayout>
      </c:layout>
      <c:overlay val="0"/>
    </c:title>
    <c:autoTitleDeleted val="0"/>
    <c:plotArea>
      <c:layout>
        <c:manualLayout>
          <c:layoutTarget val="inner"/>
          <c:xMode val="edge"/>
          <c:yMode val="edge"/>
          <c:x val="8.7413438847232044E-2"/>
          <c:y val="8.915804101931861E-2"/>
          <c:w val="0.85835006662757141"/>
          <c:h val="0.76159168715027026"/>
        </c:manualLayout>
      </c:layout>
      <c:scatterChart>
        <c:scatterStyle val="smoothMarker"/>
        <c:varyColors val="0"/>
        <c:ser>
          <c:idx val="0"/>
          <c:order val="0"/>
          <c:tx>
            <c:v>Gain (dB)</c:v>
          </c:tx>
          <c:spPr>
            <a:ln w="28575">
              <a:solidFill>
                <a:srgbClr val="FF0000"/>
              </a:solidFill>
            </a:ln>
          </c:spPr>
          <c:marker>
            <c:symbol val="none"/>
          </c:marker>
          <c:xVal>
            <c:numRef>
              <c:f>CCM_Loop_Modeling_non_isolated!$O$19:$O$560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CCM_Loop_Modeling_non_isolated!$AT$19:$AT$560</c:f>
              <c:numCache>
                <c:formatCode>0.000</c:formatCode>
                <c:ptCount val="542"/>
                <c:pt idx="0">
                  <c:v>69.666954479967146</c:v>
                </c:pt>
                <c:pt idx="1">
                  <c:v>69.283052442358439</c:v>
                </c:pt>
                <c:pt idx="2">
                  <c:v>68.898486738985895</c:v>
                </c:pt>
                <c:pt idx="3">
                  <c:v>68.513282968870314</c:v>
                </c:pt>
                <c:pt idx="4">
                  <c:v>68.127465945646634</c:v>
                </c:pt>
                <c:pt idx="5">
                  <c:v>67.74105970730146</c:v>
                </c:pt>
                <c:pt idx="6">
                  <c:v>67.354087527228074</c:v>
                </c:pt>
                <c:pt idx="7">
                  <c:v>66.966571926450825</c:v>
                </c:pt>
                <c:pt idx="8">
                  <c:v>66.578534686879891</c:v>
                </c:pt>
                <c:pt idx="9">
                  <c:v>66.189996865462803</c:v>
                </c:pt>
                <c:pt idx="10">
                  <c:v>65.800978809113133</c:v>
                </c:pt>
                <c:pt idx="11">
                  <c:v>65.411500170297714</c:v>
                </c:pt>
                <c:pt idx="12">
                  <c:v>65.021579923178734</c:v>
                </c:pt>
                <c:pt idx="13">
                  <c:v>64.631236380211092</c:v>
                </c:pt>
                <c:pt idx="14">
                  <c:v>64.240487209103605</c:v>
                </c:pt>
                <c:pt idx="15">
                  <c:v>63.849349450061254</c:v>
                </c:pt>
                <c:pt idx="16">
                  <c:v>63.457839533232026</c:v>
                </c:pt>
                <c:pt idx="17">
                  <c:v>63.065973296287538</c:v>
                </c:pt>
                <c:pt idx="18">
                  <c:v>62.673766002076626</c:v>
                </c:pt>
                <c:pt idx="19">
                  <c:v>62.28123235629176</c:v>
                </c:pt>
                <c:pt idx="20">
                  <c:v>61.888386525100152</c:v>
                </c:pt>
                <c:pt idx="21">
                  <c:v>61.495242152690778</c:v>
                </c:pt>
                <c:pt idx="22">
                  <c:v>61.101812378699719</c:v>
                </c:pt>
                <c:pt idx="23">
                  <c:v>60.708109855474305</c:v>
                </c:pt>
                <c:pt idx="24">
                  <c:v>60.314146765148337</c:v>
                </c:pt>
                <c:pt idx="25">
                  <c:v>59.919934836497973</c:v>
                </c:pt>
                <c:pt idx="26">
                  <c:v>59.525485361556605</c:v>
                </c:pt>
                <c:pt idx="27">
                  <c:v>59.130809211968504</c:v>
                </c:pt>
                <c:pt idx="28">
                  <c:v>58.735916855063849</c:v>
                </c:pt>
                <c:pt idx="29">
                  <c:v>58.340818369643195</c:v>
                </c:pt>
                <c:pt idx="30">
                  <c:v>57.945523461458556</c:v>
                </c:pt>
                <c:pt idx="31">
                  <c:v>57.550041478384358</c:v>
                </c:pt>
                <c:pt idx="32">
                  <c:v>57.154381425272547</c:v>
                </c:pt>
                <c:pt idx="33">
                  <c:v>56.758551978486487</c:v>
                </c:pt>
                <c:pt idx="34">
                  <c:v>56.362561500113124</c:v>
                </c:pt>
                <c:pt idx="35">
                  <c:v>55.966418051853644</c:v>
                </c:pt>
                <c:pt idx="36">
                  <c:v>55.570129408592607</c:v>
                </c:pt>
                <c:pt idx="37">
                  <c:v>55.173703071650017</c:v>
                </c:pt>
                <c:pt idx="38">
                  <c:v>54.777146281719396</c:v>
                </c:pt>
                <c:pt idx="39">
                  <c:v>54.380466031498429</c:v>
                </c:pt>
                <c:pt idx="40">
                  <c:v>53.983669078017378</c:v>
                </c:pt>
                <c:pt idx="41">
                  <c:v>53.58676195467325</c:v>
                </c:pt>
                <c:pt idx="42">
                  <c:v>53.189750982977941</c:v>
                </c:pt>
                <c:pt idx="43">
                  <c:v>52.792642284028837</c:v>
                </c:pt>
                <c:pt idx="44">
                  <c:v>52.395441789711647</c:v>
                </c:pt>
                <c:pt idx="45">
                  <c:v>51.998155253645884</c:v>
                </c:pt>
                <c:pt idx="46">
                  <c:v>51.600788261882222</c:v>
                </c:pt>
                <c:pt idx="47">
                  <c:v>51.203346243364855</c:v>
                </c:pt>
                <c:pt idx="48">
                  <c:v>50.80583448016823</c:v>
                </c:pt>
                <c:pt idx="49">
                  <c:v>50.408258117521108</c:v>
                </c:pt>
                <c:pt idx="50">
                  <c:v>50.010622173629535</c:v>
                </c:pt>
                <c:pt idx="51">
                  <c:v>49.612931549310765</c:v>
                </c:pt>
                <c:pt idx="52">
                  <c:v>49.215191037450651</c:v>
                </c:pt>
                <c:pt idx="53">
                  <c:v>48.817405332297874</c:v>
                </c:pt>
                <c:pt idx="54">
                  <c:v>48.419579038606628</c:v>
                </c:pt>
                <c:pt idx="55">
                  <c:v>48.021716680640509</c:v>
                </c:pt>
                <c:pt idx="56">
                  <c:v>47.623822711052753</c:v>
                </c:pt>
                <c:pt idx="57">
                  <c:v>47.225901519652552</c:v>
                </c:pt>
                <c:pt idx="58">
                  <c:v>46.827957442073483</c:v>
                </c:pt>
                <c:pt idx="59">
                  <c:v>46.429994768356067</c:v>
                </c:pt>
                <c:pt idx="60">
                  <c:v>46.032017751456664</c:v>
                </c:pt>
                <c:pt idx="61">
                  <c:v>45.634030615698016</c:v>
                </c:pt>
                <c:pt idx="62">
                  <c:v>45.236037565173575</c:v>
                </c:pt>
                <c:pt idx="63">
                  <c:v>44.838042792118216</c:v>
                </c:pt>
                <c:pt idx="64">
                  <c:v>44.44005048526008</c:v>
                </c:pt>
                <c:pt idx="65">
                  <c:v>44.04206483816634</c:v>
                </c:pt>
                <c:pt idx="66">
                  <c:v>43.644090057595264</c:v>
                </c:pt>
                <c:pt idx="67">
                  <c:v>43.24613037186927</c:v>
                </c:pt>
                <c:pt idx="68">
                  <c:v>42.848190039281519</c:v>
                </c:pt>
                <c:pt idx="69">
                  <c:v>42.450273356549033</c:v>
                </c:pt>
                <c:pt idx="70">
                  <c:v>42.052384667326088</c:v>
                </c:pt>
                <c:pt idx="71">
                  <c:v>41.654528370791013</c:v>
                </c:pt>
                <c:pt idx="72">
                  <c:v>41.256708930319526</c:v>
                </c:pt>
                <c:pt idx="73">
                  <c:v>40.858930882256601</c:v>
                </c:pt>
                <c:pt idx="74">
                  <c:v>40.461198844801778</c:v>
                </c:pt>
                <c:pt idx="75">
                  <c:v>40.063517527019734</c:v>
                </c:pt>
                <c:pt idx="76">
                  <c:v>39.665891737988538</c:v>
                </c:pt>
                <c:pt idx="77">
                  <c:v>39.268326396099219</c:v>
                </c:pt>
                <c:pt idx="78">
                  <c:v>38.8708265385185</c:v>
                </c:pt>
                <c:pt idx="79">
                  <c:v>38.473397330827581</c:v>
                </c:pt>
                <c:pt idx="80">
                  <c:v>38.076044076848937</c:v>
                </c:pt>
                <c:pt idx="81">
                  <c:v>37.678772228672443</c:v>
                </c:pt>
                <c:pt idx="82">
                  <c:v>37.281587396893727</c:v>
                </c:pt>
                <c:pt idx="83">
                  <c:v>36.884495361075516</c:v>
                </c:pt>
                <c:pt idx="84">
                  <c:v>36.487502080441878</c:v>
                </c:pt>
                <c:pt idx="85">
                  <c:v>36.090613704818779</c:v>
                </c:pt>
                <c:pt idx="86">
                  <c:v>35.69383658582715</c:v>
                </c:pt>
                <c:pt idx="87">
                  <c:v>35.297177288342077</c:v>
                </c:pt>
                <c:pt idx="88">
                  <c:v>34.900642602223179</c:v>
                </c:pt>
                <c:pt idx="89">
                  <c:v>34.504239554328365</c:v>
                </c:pt>
                <c:pt idx="90">
                  <c:v>34.107975420814761</c:v>
                </c:pt>
                <c:pt idx="91">
                  <c:v>33.711857739735571</c:v>
                </c:pt>
                <c:pt idx="92">
                  <c:v>33.315894323938821</c:v>
                </c:pt>
                <c:pt idx="93">
                  <c:v>32.920093274269433</c:v>
                </c:pt>
                <c:pt idx="94">
                  <c:v>32.524462993082793</c:v>
                </c:pt>
                <c:pt idx="95">
                  <c:v>32.129012198066263</c:v>
                </c:pt>
                <c:pt idx="96">
                  <c:v>31.733749936373425</c:v>
                </c:pt>
                <c:pt idx="97">
                  <c:v>31.338685599067425</c:v>
                </c:pt>
                <c:pt idx="98">
                  <c:v>30.943828935870087</c:v>
                </c:pt>
                <c:pt idx="99">
                  <c:v>30.549190070213328</c:v>
                </c:pt>
                <c:pt idx="100">
                  <c:v>30.154779514583232</c:v>
                </c:pt>
                <c:pt idx="101">
                  <c:v>29.760608186148758</c:v>
                </c:pt>
                <c:pt idx="102">
                  <c:v>29.36668742266091</c:v>
                </c:pt>
                <c:pt idx="103">
                  <c:v>28.973028998608022</c:v>
                </c:pt>
                <c:pt idx="104">
                  <c:v>28.579645141607386</c:v>
                </c:pt>
                <c:pt idx="105">
                  <c:v>28.18654854901218</c:v>
                </c:pt>
                <c:pt idx="106">
                  <c:v>27.793752404706659</c:v>
                </c:pt>
                <c:pt idx="107">
                  <c:v>27.401270396060198</c:v>
                </c:pt>
                <c:pt idx="108">
                  <c:v>27.009116731006671</c:v>
                </c:pt>
                <c:pt idx="109">
                  <c:v>26.61730615520808</c:v>
                </c:pt>
                <c:pt idx="110">
                  <c:v>26.225853969261586</c:v>
                </c:pt>
                <c:pt idx="111">
                  <c:v>25.834776045897829</c:v>
                </c:pt>
                <c:pt idx="112">
                  <c:v>25.444088847117573</c:v>
                </c:pt>
                <c:pt idx="113">
                  <c:v>25.053809441205299</c:v>
                </c:pt>
                <c:pt idx="114">
                  <c:v>24.663955519552406</c:v>
                </c:pt>
                <c:pt idx="115">
                  <c:v>24.27454541321632</c:v>
                </c:pt>
                <c:pt idx="116">
                  <c:v>23.885598109135138</c:v>
                </c:pt>
                <c:pt idx="117">
                  <c:v>23.497133265908762</c:v>
                </c:pt>
                <c:pt idx="118">
                  <c:v>23.109171229052173</c:v>
                </c:pt>
                <c:pt idx="119">
                  <c:v>22.721733045615782</c:v>
                </c:pt>
                <c:pt idx="120">
                  <c:v>22.334840478062748</c:v>
                </c:pt>
                <c:pt idx="121">
                  <c:v>21.948516017281676</c:v>
                </c:pt>
                <c:pt idx="122">
                  <c:v>21.562782894608308</c:v>
                </c:pt>
                <c:pt idx="123">
                  <c:v>21.17766509271685</c:v>
                </c:pt>
                <c:pt idx="124">
                  <c:v>20.793187355238395</c:v>
                </c:pt>
                <c:pt idx="125">
                  <c:v>20.409375194949895</c:v>
                </c:pt>
                <c:pt idx="126">
                  <c:v>20.026254900372045</c:v>
                </c:pt>
                <c:pt idx="127">
                  <c:v>19.643853540608102</c:v>
                </c:pt>
                <c:pt idx="128">
                  <c:v>19.262198968241972</c:v>
                </c:pt>
                <c:pt idx="129">
                  <c:v>18.881319820112129</c:v>
                </c:pt>
                <c:pt idx="130">
                  <c:v>18.501245515770947</c:v>
                </c:pt>
                <c:pt idx="131">
                  <c:v>18.122006253428516</c:v>
                </c:pt>
                <c:pt idx="132">
                  <c:v>17.743633003181909</c:v>
                </c:pt>
                <c:pt idx="133">
                  <c:v>17.366157497321641</c:v>
                </c:pt>
                <c:pt idx="134">
                  <c:v>16.989612217507876</c:v>
                </c:pt>
                <c:pt idx="135">
                  <c:v>16.614030378607641</c:v>
                </c:pt>
                <c:pt idx="136">
                  <c:v>16.239445908983466</c:v>
                </c:pt>
                <c:pt idx="137">
                  <c:v>15.865893427029405</c:v>
                </c:pt>
                <c:pt idx="138">
                  <c:v>15.49340821375395</c:v>
                </c:pt>
                <c:pt idx="139">
                  <c:v>15.122026181216793</c:v>
                </c:pt>
                <c:pt idx="140">
                  <c:v>14.751783836636399</c:v>
                </c:pt>
                <c:pt idx="141">
                  <c:v>14.382718241999168</c:v>
                </c:pt>
                <c:pt idx="142">
                  <c:v>14.014866969015522</c:v>
                </c:pt>
                <c:pt idx="143">
                  <c:v>13.648268049287761</c:v>
                </c:pt>
                <c:pt idx="144">
                  <c:v>13.282959919576614</c:v>
                </c:pt>
                <c:pt idx="145">
                  <c:v>12.918981362078547</c:v>
                </c:pt>
                <c:pt idx="146">
                  <c:v>12.55637143965555</c:v>
                </c:pt>
                <c:pt idx="147">
                  <c:v>12.195169425990944</c:v>
                </c:pt>
                <c:pt idx="148">
                  <c:v>11.835414730680881</c:v>
                </c:pt>
                <c:pt idx="149">
                  <c:v>11.477146819308723</c:v>
                </c:pt>
                <c:pt idx="150">
                  <c:v>11.120405128594978</c:v>
                </c:pt>
                <c:pt idx="151">
                  <c:v>10.765228976756145</c:v>
                </c:pt>
                <c:pt idx="152">
                  <c:v>10.411657469256619</c:v>
                </c:pt>
                <c:pt idx="153">
                  <c:v>10.059729400187027</c:v>
                </c:pt>
                <c:pt idx="154">
                  <c:v>9.7094831495504632</c:v>
                </c:pt>
                <c:pt idx="155">
                  <c:v>9.3609565767965908</c:v>
                </c:pt>
                <c:pt idx="156">
                  <c:v>9.0141869109895492</c:v>
                </c:pt>
                <c:pt idx="157">
                  <c:v>8.6692106380542491</c:v>
                </c:pt>
                <c:pt idx="158">
                  <c:v>8.3260633855921835</c:v>
                </c:pt>
                <c:pt idx="159">
                  <c:v>7.984779805812642</c:v>
                </c:pt>
                <c:pt idx="160">
                  <c:v>7.6453934571671684</c:v>
                </c:pt>
                <c:pt idx="161">
                  <c:v>7.3079366853218204</c:v>
                </c:pt>
                <c:pt idx="162">
                  <c:v>6.9724405041405522</c:v>
                </c:pt>
                <c:pt idx="163">
                  <c:v>6.6389344773841508</c:v>
                </c:pt>
                <c:pt idx="164">
                  <c:v>6.307446601858099</c:v>
                </c:pt>
                <c:pt idx="165">
                  <c:v>5.9780031927633539</c:v>
                </c:pt>
                <c:pt idx="166">
                  <c:v>5.6506287720131816</c:v>
                </c:pt>
                <c:pt idx="167">
                  <c:v>5.3253459602875033</c:v>
                </c:pt>
                <c:pt idx="168">
                  <c:v>5.0021753735850929</c:v>
                </c:pt>
                <c:pt idx="169">
                  <c:v>4.6811355250262068</c:v>
                </c:pt>
                <c:pt idx="170">
                  <c:v>4.3622427326271538</c:v>
                </c:pt>
                <c:pt idx="171">
                  <c:v>4.045511033740036</c:v>
                </c:pt>
                <c:pt idx="172">
                  <c:v>3.7309521068055718</c:v>
                </c:pt>
                <c:pt idx="173">
                  <c:v>3.4185752010129238</c:v>
                </c:pt>
                <c:pt idx="174">
                  <c:v>3.1083870744039603</c:v>
                </c:pt>
                <c:pt idx="175">
                  <c:v>2.8003919408868971</c:v>
                </c:pt>
                <c:pt idx="176">
                  <c:v>2.4945914265503424</c:v>
                </c:pt>
                <c:pt idx="177">
                  <c:v>2.1909845355867805</c:v>
                </c:pt>
                <c:pt idx="178">
                  <c:v>1.889567626049572</c:v>
                </c:pt>
                <c:pt idx="179">
                  <c:v>1.5903343955752569</c:v>
                </c:pt>
                <c:pt idx="180">
                  <c:v>1.2932758771139239</c:v>
                </c:pt>
                <c:pt idx="181">
                  <c:v>0.99838044461570252</c:v>
                </c:pt>
                <c:pt idx="182">
                  <c:v>0.70563382853065626</c:v>
                </c:pt>
                <c:pt idx="183">
                  <c:v>0.41501914089009029</c:v>
                </c:pt>
                <c:pt idx="184">
                  <c:v>0.12651690965114049</c:v>
                </c:pt>
                <c:pt idx="185">
                  <c:v>-0.15989487809646274</c:v>
                </c:pt>
                <c:pt idx="186">
                  <c:v>-0.44424072453508623</c:v>
                </c:pt>
                <c:pt idx="187">
                  <c:v>-0.72654756167758738</c:v>
                </c:pt>
                <c:pt idx="188">
                  <c:v>-1.0068446846847343</c:v>
                </c:pt>
                <c:pt idx="189">
                  <c:v>-1.2851636785929841</c:v>
                </c:pt>
                <c:pt idx="190">
                  <c:v>-1.5615383391520541</c:v>
                </c:pt>
                <c:pt idx="191">
                  <c:v>-1.8360045885006737</c:v>
                </c:pt>
                <c:pt idx="192">
                  <c:v>-2.1086003864305032</c:v>
                </c:pt>
                <c:pt idx="193">
                  <c:v>-2.379365638007394</c:v>
                </c:pt>
                <c:pt idx="194">
                  <c:v>-2.6483420983147843</c:v>
                </c:pt>
                <c:pt idx="195">
                  <c:v>-2.9155732750853551</c:v>
                </c:pt>
                <c:pt idx="196">
                  <c:v>-3.1811043299674098</c:v>
                </c:pt>
                <c:pt idx="197">
                  <c:v>-3.4449819791535679</c:v>
                </c:pt>
                <c:pt idx="198">
                  <c:v>-3.7072543940676135</c:v>
                </c:pt>
                <c:pt idx="199">
                  <c:v>-3.9679711027696589</c:v>
                </c:pt>
                <c:pt idx="200">
                  <c:v>-4.227182892697023</c:v>
                </c:pt>
                <c:pt idx="201">
                  <c:v>-4.4849417153108968</c:v>
                </c:pt>
                <c:pt idx="202">
                  <c:v>-4.7413005931701955</c:v>
                </c:pt>
                <c:pt idx="203">
                  <c:v>-4.9963135298953976</c:v>
                </c:pt>
                <c:pt idx="204">
                  <c:v>-5.2500354234337001</c:v>
                </c:pt>
                <c:pt idx="205">
                  <c:v>-5.5025219829750691</c:v>
                </c:pt>
                <c:pt idx="206">
                  <c:v>-5.7538296498137331</c:v>
                </c:pt>
                <c:pt idx="207">
                  <c:v>-6.004015522388034</c:v>
                </c:pt>
                <c:pt idx="208">
                  <c:v>-6.2531372856767167</c:v>
                </c:pt>
                <c:pt idx="209">
                  <c:v>-6.5012531450732993</c:v>
                </c:pt>
                <c:pt idx="210">
                  <c:v>-6.7484217648026403</c:v>
                </c:pt>
                <c:pt idx="211">
                  <c:v>-6.9947022108959098</c:v>
                </c:pt>
                <c:pt idx="212">
                  <c:v>-7.2401538986876428</c:v>
                </c:pt>
                <c:pt idx="213">
                  <c:v>-7.4848365447516949</c:v>
                </c:pt>
                <c:pt idx="214">
                  <c:v>-7.7288101231506188</c:v>
                </c:pt>
                <c:pt idx="215">
                  <c:v>-7.9721348258310343</c:v>
                </c:pt>
                <c:pt idx="216">
                  <c:v>-8.2148710269593082</c:v>
                </c:pt>
                <c:pt idx="217">
                  <c:v>-8.4570792509601631</c:v>
                </c:pt>
                <c:pt idx="218">
                  <c:v>-8.6988201439867971</c:v>
                </c:pt>
                <c:pt idx="219">
                  <c:v>-8.9401544485261084</c:v>
                </c:pt>
                <c:pt idx="220">
                  <c:v>-9.1811429808155616</c:v>
                </c:pt>
                <c:pt idx="221">
                  <c:v>-9.4218466107291903</c:v>
                </c:pt>
                <c:pt idx="222">
                  <c:v>-9.6623262437712558</c:v>
                </c:pt>
                <c:pt idx="223">
                  <c:v>-9.9026428047986936</c:v>
                </c:pt>
                <c:pt idx="224">
                  <c:v>-10.142857223085088</c:v>
                </c:pt>
                <c:pt idx="225">
                  <c:v>-10.383030418325212</c:v>
                </c:pt>
                <c:pt idx="226">
                  <c:v>-10.623223287175891</c:v>
                </c:pt>
                <c:pt idx="227">
                  <c:v>-10.863496689921284</c:v>
                </c:pt>
                <c:pt idx="228">
                  <c:v>-11.103911436854233</c:v>
                </c:pt>
                <c:pt idx="229">
                  <c:v>-11.344528273960625</c:v>
                </c:pt>
                <c:pt idx="230">
                  <c:v>-11.585407867503637</c:v>
                </c:pt>
                <c:pt idx="231">
                  <c:v>-11.826610787107168</c:v>
                </c:pt>
                <c:pt idx="232">
                  <c:v>-12.068197486950719</c:v>
                </c:pt>
                <c:pt idx="233">
                  <c:v>-12.310228284697256</c:v>
                </c:pt>
                <c:pt idx="234">
                  <c:v>-12.5527633377942</c:v>
                </c:pt>
                <c:pt idx="235">
                  <c:v>-12.795862616803252</c:v>
                </c:pt>
                <c:pt idx="236">
                  <c:v>-13.039585875437963</c:v>
                </c:pt>
                <c:pt idx="237">
                  <c:v>-13.283992617012583</c:v>
                </c:pt>
                <c:pt idx="238">
                  <c:v>-13.529142057031775</c:v>
                </c:pt>
                <c:pt idx="239">
                  <c:v>-13.775093081683597</c:v>
                </c:pt>
                <c:pt idx="240">
                  <c:v>-14.021904202032902</c:v>
                </c:pt>
                <c:pt idx="241">
                  <c:v>-14.269633503746856</c:v>
                </c:pt>
                <c:pt idx="242">
                  <c:v>-14.518338592229384</c:v>
                </c:pt>
                <c:pt idx="243">
                  <c:v>-14.768076533081704</c:v>
                </c:pt>
                <c:pt idx="244">
                  <c:v>-15.018903787855296</c:v>
                </c:pt>
                <c:pt idx="245">
                  <c:v>-15.270876145112195</c:v>
                </c:pt>
                <c:pt idx="246">
                  <c:v>-15.524048646861345</c:v>
                </c:pt>
                <c:pt idx="247">
                  <c:v>-15.778475510490736</c:v>
                </c:pt>
                <c:pt idx="248">
                  <c:v>-16.034210046376785</c:v>
                </c:pt>
                <c:pt idx="249">
                  <c:v>-16.291304571403657</c:v>
                </c:pt>
                <c:pt idx="250">
                  <c:v>-16.549810318687904</c:v>
                </c:pt>
                <c:pt idx="251">
                  <c:v>-16.809777343860123</c:v>
                </c:pt>
                <c:pt idx="252">
                  <c:v>-17.071254428311896</c:v>
                </c:pt>
                <c:pt idx="253">
                  <c:v>-17.334288979874618</c:v>
                </c:pt>
                <c:pt idx="254">
                  <c:v>-17.598926931447181</c:v>
                </c:pt>
                <c:pt idx="255">
                  <c:v>-17.865212638144104</c:v>
                </c:pt>
                <c:pt idx="256">
                  <c:v>-18.133188773577523</c:v>
                </c:pt>
                <c:pt idx="257">
                  <c:v>-18.402896225931727</c:v>
                </c:pt>
                <c:pt idx="258">
                  <c:v>-18.674373994522135</c:v>
                </c:pt>
                <c:pt idx="259">
                  <c:v>-18.947659087560364</c:v>
                </c:pt>
                <c:pt idx="260">
                  <c:v>-19.222786421870335</c:v>
                </c:pt>
                <c:pt idx="261">
                  <c:v>-19.499788725309031</c:v>
                </c:pt>
                <c:pt idx="262">
                  <c:v>-19.778696442655676</c:v>
                </c:pt>
                <c:pt idx="263">
                  <c:v>-20.059537645724525</c:v>
                </c:pt>
                <c:pt idx="264">
                  <c:v>-20.342337948443706</c:v>
                </c:pt>
                <c:pt idx="265">
                  <c:v>-20.627120427618827</c:v>
                </c:pt>
                <c:pt idx="266">
                  <c:v>-20.913905550065689</c:v>
                </c:pt>
                <c:pt idx="267">
                  <c:v>-21.20271110675343</c:v>
                </c:pt>
                <c:pt idx="268">
                  <c:v>-21.493552154547473</c:v>
                </c:pt>
                <c:pt idx="269">
                  <c:v>-21.786440966080196</c:v>
                </c:pt>
                <c:pt idx="270">
                  <c:v>-22.081386988208362</c:v>
                </c:pt>
                <c:pt idx="271">
                  <c:v>-22.378396809442176</c:v>
                </c:pt>
                <c:pt idx="272">
                  <c:v>-22.677474136644562</c:v>
                </c:pt>
                <c:pt idx="273">
                  <c:v>-22.978619781220576</c:v>
                </c:pt>
                <c:pt idx="274">
                  <c:v>-23.281831654919557</c:v>
                </c:pt>
                <c:pt idx="275">
                  <c:v>-23.587104775285212</c:v>
                </c:pt>
                <c:pt idx="276">
                  <c:v>-23.894431280696811</c:v>
                </c:pt>
                <c:pt idx="277">
                  <c:v>-24.203800454850565</c:v>
                </c:pt>
                <c:pt idx="278">
                  <c:v>-24.515198760444203</c:v>
                </c:pt>
                <c:pt idx="279">
                  <c:v>-24.82860988174118</c:v>
                </c:pt>
                <c:pt idx="280">
                  <c:v>-25.14401477561039</c:v>
                </c:pt>
                <c:pt idx="281">
                  <c:v>-25.461391730564031</c:v>
                </c:pt>
                <c:pt idx="282">
                  <c:v>-25.780716433248152</c:v>
                </c:pt>
                <c:pt idx="283">
                  <c:v>-26.101962041782688</c:v>
                </c:pt>
                <c:pt idx="284">
                  <c:v>-26.425099265296677</c:v>
                </c:pt>
                <c:pt idx="285">
                  <c:v>-26.750096448963923</c:v>
                </c:pt>
                <c:pt idx="286">
                  <c:v>-27.076919663813289</c:v>
                </c:pt>
                <c:pt idx="287">
                  <c:v>-27.405532800564867</c:v>
                </c:pt>
                <c:pt idx="288">
                  <c:v>-27.735897666734392</c:v>
                </c:pt>
                <c:pt idx="289">
                  <c:v>-28.067974086241495</c:v>
                </c:pt>
                <c:pt idx="290">
                  <c:v>-28.401720000769561</c:v>
                </c:pt>
                <c:pt idx="291">
                  <c:v>-28.737091572135359</c:v>
                </c:pt>
                <c:pt idx="292">
                  <c:v>-29.074043284953696</c:v>
                </c:pt>
                <c:pt idx="293">
                  <c:v>-29.41252804891111</c:v>
                </c:pt>
                <c:pt idx="294">
                  <c:v>-29.752497299999771</c:v>
                </c:pt>
                <c:pt idx="295">
                  <c:v>-30.093901100108035</c:v>
                </c:pt>
                <c:pt idx="296">
                  <c:v>-30.436688234407679</c:v>
                </c:pt>
                <c:pt idx="297">
                  <c:v>-30.780806306033341</c:v>
                </c:pt>
                <c:pt idx="298">
                  <c:v>-31.126201827599921</c:v>
                </c:pt>
                <c:pt idx="299">
                  <c:v>-31.47282030916482</c:v>
                </c:pt>
                <c:pt idx="300">
                  <c:v>-31.820606342295498</c:v>
                </c:pt>
                <c:pt idx="301">
                  <c:v>-32.169503679963</c:v>
                </c:pt>
                <c:pt idx="302">
                  <c:v>-32.519455312041465</c:v>
                </c:pt>
                <c:pt idx="303">
                  <c:v>-32.870403536246535</c:v>
                </c:pt>
                <c:pt idx="304">
                  <c:v>-33.222290024408309</c:v>
                </c:pt>
                <c:pt idx="305">
                  <c:v>-33.575055884020465</c:v>
                </c:pt>
                <c:pt idx="306">
                  <c:v>-33.928641715066867</c:v>
                </c:pt>
                <c:pt idx="307">
                  <c:v>-34.282987662170143</c:v>
                </c:pt>
                <c:pt idx="308">
                  <c:v>-34.638033462156521</c:v>
                </c:pt>
                <c:pt idx="309">
                  <c:v>-34.993718487173446</c:v>
                </c:pt>
                <c:pt idx="310">
                  <c:v>-35.349981783535995</c:v>
                </c:pt>
                <c:pt idx="311">
                  <c:v>-35.706762106517793</c:v>
                </c:pt>
                <c:pt idx="312">
                  <c:v>-36.063997951331011</c:v>
                </c:pt>
                <c:pt idx="313">
                  <c:v>-36.421627580576313</c:v>
                </c:pt>
                <c:pt idx="314">
                  <c:v>-36.77958904846443</c:v>
                </c:pt>
                <c:pt idx="315">
                  <c:v>-37.137820222141343</c:v>
                </c:pt>
                <c:pt idx="316">
                  <c:v>-37.496258800463778</c:v>
                </c:pt>
                <c:pt idx="317">
                  <c:v>-37.854842330593385</c:v>
                </c:pt>
                <c:pt idx="318">
                  <c:v>-38.213508222791738</c:v>
                </c:pt>
                <c:pt idx="319">
                  <c:v>-38.572193763808741</c:v>
                </c:pt>
                <c:pt idx="320">
                  <c:v>-38.930836129267526</c:v>
                </c:pt>
                <c:pt idx="321">
                  <c:v>-39.289372395453825</c:v>
                </c:pt>
                <c:pt idx="322">
                  <c:v>-39.647739550921969</c:v>
                </c:pt>
                <c:pt idx="323">
                  <c:v>-40.005874508328972</c:v>
                </c:pt>
                <c:pt idx="324">
                  <c:v>-40.363714116908859</c:v>
                </c:pt>
                <c:pt idx="325">
                  <c:v>-40.721195175989386</c:v>
                </c:pt>
                <c:pt idx="326">
                  <c:v>-41.078254449951224</c:v>
                </c:pt>
                <c:pt idx="327">
                  <c:v>-41.434828685014729</c:v>
                </c:pt>
                <c:pt idx="328">
                  <c:v>-41.790854628229127</c:v>
                </c:pt>
                <c:pt idx="329">
                  <c:v>-42.146269049020198</c:v>
                </c:pt>
                <c:pt idx="330">
                  <c:v>-42.50100876363441</c:v>
                </c:pt>
                <c:pt idx="331">
                  <c:v>-42.855010662794783</c:v>
                </c:pt>
                <c:pt idx="332">
                  <c:v>-43.208211742858083</c:v>
                </c:pt>
                <c:pt idx="333">
                  <c:v>-43.560549140734054</c:v>
                </c:pt>
                <c:pt idx="334">
                  <c:v>-43.911960172795389</c:v>
                </c:pt>
                <c:pt idx="335">
                  <c:v>-44.262382377972109</c:v>
                </c:pt>
                <c:pt idx="336">
                  <c:v>-44.611753565184607</c:v>
                </c:pt>
                <c:pt idx="337">
                  <c:v>-44.960011865230726</c:v>
                </c:pt>
                <c:pt idx="338">
                  <c:v>-45.30709578719329</c:v>
                </c:pt>
                <c:pt idx="339">
                  <c:v>-45.652944279391548</c:v>
                </c:pt>
                <c:pt idx="340">
                  <c:v>-45.997496794848388</c:v>
                </c:pt>
                <c:pt idx="341">
                  <c:v>-46.340693361191938</c:v>
                </c:pt>
                <c:pt idx="342">
                  <c:v>-46.682474654858041</c:v>
                </c:pt>
                <c:pt idx="343">
                  <c:v>-47.022782079404237</c:v>
                </c:pt>
                <c:pt idx="344">
                  <c:v>-47.361557847689738</c:v>
                </c:pt>
                <c:pt idx="345">
                  <c:v>-47.698745067618553</c:v>
                </c:pt>
                <c:pt idx="346">
                  <c:v>-48.034287831090374</c:v>
                </c:pt>
                <c:pt idx="347">
                  <c:v>-48.368131305743248</c:v>
                </c:pt>
                <c:pt idx="348">
                  <c:v>-48.70022182902715</c:v>
                </c:pt>
                <c:pt idx="349">
                  <c:v>-49.03050700409117</c:v>
                </c:pt>
                <c:pt idx="350">
                  <c:v>-49.35893579692474</c:v>
                </c:pt>
                <c:pt idx="351">
                  <c:v>-49.685458634150763</c:v>
                </c:pt>
                <c:pt idx="352">
                  <c:v>-50.010027500833552</c:v>
                </c:pt>
                <c:pt idx="353">
                  <c:v>-50.332596037633614</c:v>
                </c:pt>
                <c:pt idx="354">
                  <c:v>-50.653119636621604</c:v>
                </c:pt>
                <c:pt idx="355">
                  <c:v>-50.97155553504556</c:v>
                </c:pt>
                <c:pt idx="356">
                  <c:v>-51.287862906343648</c:v>
                </c:pt>
                <c:pt idx="357">
                  <c:v>-51.602002947695766</c:v>
                </c:pt>
                <c:pt idx="358">
                  <c:v>-51.91393896342003</c:v>
                </c:pt>
                <c:pt idx="359">
                  <c:v>-52.223636443541409</c:v>
                </c:pt>
                <c:pt idx="360">
                  <c:v>-52.531063136895696</c:v>
                </c:pt>
                <c:pt idx="361">
                  <c:v>-52.836189118166679</c:v>
                </c:pt>
                <c:pt idx="362">
                  <c:v>-53.138986848311099</c:v>
                </c:pt>
                <c:pt idx="363">
                  <c:v>-53.439431227880632</c:v>
                </c:pt>
                <c:pt idx="364">
                  <c:v>-53.737499642819202</c:v>
                </c:pt>
                <c:pt idx="365">
                  <c:v>-54.033172002387019</c:v>
                </c:pt>
                <c:pt idx="366">
                  <c:v>-54.326430768942053</c:v>
                </c:pt>
                <c:pt idx="367">
                  <c:v>-54.617260979394729</c:v>
                </c:pt>
                <c:pt idx="368">
                  <c:v>-54.905650258238197</c:v>
                </c:pt>
                <c:pt idx="369">
                  <c:v>-55.191588822147224</c:v>
                </c:pt>
                <c:pt idx="370">
                  <c:v>-55.475069476225855</c:v>
                </c:pt>
                <c:pt idx="371">
                  <c:v>-55.756087602075866</c:v>
                </c:pt>
                <c:pt idx="372">
                  <c:v>-56.034641137940923</c:v>
                </c:pt>
                <c:pt idx="373">
                  <c:v>-56.310730551262921</c:v>
                </c:pt>
                <c:pt idx="374">
                  <c:v>-56.584358804063648</c:v>
                </c:pt>
                <c:pt idx="375">
                  <c:v>-56.855531311632305</c:v>
                </c:pt>
                <c:pt idx="376">
                  <c:v>-57.124255895060244</c:v>
                </c:pt>
                <c:pt idx="377">
                  <c:v>-57.39054272821371</c:v>
                </c:pt>
                <c:pt idx="378">
                  <c:v>-57.654404279777147</c:v>
                </c:pt>
                <c:pt idx="379">
                  <c:v>-57.915855251031289</c:v>
                </c:pt>
                <c:pt idx="380">
                  <c:v>-58.174912510042141</c:v>
                </c:pt>
                <c:pt idx="381">
                  <c:v>-58.431595022952408</c:v>
                </c:pt>
                <c:pt idx="382">
                  <c:v>-58.685923783057802</c:v>
                </c:pt>
                <c:pt idx="383">
                  <c:v>-58.937921738332371</c:v>
                </c:pt>
                <c:pt idx="384">
                  <c:v>-59.187613718047714</c:v>
                </c:pt>
                <c:pt idx="385">
                  <c:v>-59.435026359085668</c:v>
                </c:pt>
                <c:pt idx="386">
                  <c:v>-59.680188032504461</c:v>
                </c:pt>
                <c:pt idx="387">
                  <c:v>-59.923128770857915</c:v>
                </c:pt>
                <c:pt idx="388">
                  <c:v>-60.163880196708696</c:v>
                </c:pt>
                <c:pt idx="389">
                  <c:v>-60.402475452706781</c:v>
                </c:pt>
                <c:pt idx="390">
                  <c:v>-60.638949133529223</c:v>
                </c:pt>
                <c:pt idx="391">
                  <c:v>-60.873337219904769</c:v>
                </c:pt>
                <c:pt idx="392">
                  <c:v>-61.105677014860888</c:v>
                </c:pt>
                <c:pt idx="393">
                  <c:v>-61.336007082262334</c:v>
                </c:pt>
                <c:pt idx="394">
                  <c:v>-61.564367187619226</c:v>
                </c:pt>
                <c:pt idx="395">
                  <c:v>-61.790798241078974</c:v>
                </c:pt>
                <c:pt idx="396">
                  <c:v>-62.015342242436695</c:v>
                </c:pt>
                <c:pt idx="397">
                  <c:v>-62.238042227936049</c:v>
                </c:pt>
                <c:pt idx="398">
                  <c:v>-62.458942218572872</c:v>
                </c:pt>
                <c:pt idx="399">
                  <c:v>-62.678087169561408</c:v>
                </c:pt>
                <c:pt idx="400">
                  <c:v>-62.895522920580895</c:v>
                </c:pt>
                <c:pt idx="401">
                  <c:v>-63.111296146387062</c:v>
                </c:pt>
                <c:pt idx="402">
                  <c:v>-63.325454307352665</c:v>
                </c:pt>
                <c:pt idx="403">
                  <c:v>-63.538045599486125</c:v>
                </c:pt>
                <c:pt idx="404">
                  <c:v>-63.749118903483904</c:v>
                </c:pt>
                <c:pt idx="405">
                  <c:v>-63.958723732377834</c:v>
                </c:pt>
                <c:pt idx="406">
                  <c:v>-64.166910177368706</c:v>
                </c:pt>
                <c:pt idx="407">
                  <c:v>-64.373728851464563</c:v>
                </c:pt>
                <c:pt idx="408">
                  <c:v>-64.579230830595918</c:v>
                </c:pt>
                <c:pt idx="409">
                  <c:v>-64.783467591928627</c:v>
                </c:pt>
                <c:pt idx="410">
                  <c:v>-64.9864909491601</c:v>
                </c:pt>
                <c:pt idx="411">
                  <c:v>-65.188352984659275</c:v>
                </c:pt>
                <c:pt idx="412">
                  <c:v>-65.389105978382659</c:v>
                </c:pt>
                <c:pt idx="413">
                  <c:v>-65.588802333582322</c:v>
                </c:pt>
                <c:pt idx="414">
                  <c:v>-65.787494499407842</c:v>
                </c:pt>
                <c:pt idx="415">
                  <c:v>-65.985234890584024</c:v>
                </c:pt>
                <c:pt idx="416">
                  <c:v>-66.182075804435357</c:v>
                </c:pt>
                <c:pt idx="417">
                  <c:v>-66.378069335602689</c:v>
                </c:pt>
                <c:pt idx="418">
                  <c:v>-66.573267288881098</c:v>
                </c:pt>
                <c:pt idx="419">
                  <c:v>-66.767721090670349</c:v>
                </c:pt>
                <c:pt idx="420">
                  <c:v>-66.961481699593833</c:v>
                </c:pt>
                <c:pt idx="421">
                  <c:v>-67.154599516896013</c:v>
                </c:pt>
                <c:pt idx="422">
                  <c:v>-67.347124297264685</c:v>
                </c:pt>
                <c:pt idx="423">
                  <c:v>-67.539105060759624</c:v>
                </c:pt>
                <c:pt idx="424">
                  <c:v>-67.730590006542542</c:v>
                </c:pt>
                <c:pt idx="425">
                  <c:v>-67.921626429111498</c:v>
                </c:pt>
                <c:pt idx="426">
                  <c:v>-68.112260637734636</c:v>
                </c:pt>
                <c:pt idx="427">
                  <c:v>-68.30253787975812</c:v>
                </c:pt>
                <c:pt idx="428">
                  <c:v>-68.492502268432261</c:v>
                </c:pt>
                <c:pt idx="429">
                  <c:v>-68.682196715858737</c:v>
                </c:pt>
                <c:pt idx="430">
                  <c:v>-68.871662871608009</c:v>
                </c:pt>
                <c:pt idx="431">
                  <c:v>-69.060941067497325</c:v>
                </c:pt>
                <c:pt idx="432">
                  <c:v>-69.250070268949216</c:v>
                </c:pt>
                <c:pt idx="433">
                  <c:v>-69.439088033281877</c:v>
                </c:pt>
                <c:pt idx="434">
                  <c:v>-69.628030475199154</c:v>
                </c:pt>
                <c:pt idx="435">
                  <c:v>-69.816932239673321</c:v>
                </c:pt>
                <c:pt idx="436">
                  <c:v>-70.005826482330122</c:v>
                </c:pt>
                <c:pt idx="437">
                  <c:v>-70.194744857367425</c:v>
                </c:pt>
                <c:pt idx="438">
                  <c:v>-70.383717512960004</c:v>
                </c:pt>
                <c:pt idx="439">
                  <c:v>-70.572773094029046</c:v>
                </c:pt>
                <c:pt idx="440">
                  <c:v>-70.761938752187703</c:v>
                </c:pt>
                <c:pt idx="441">
                  <c:v>-70.951240162606638</c:v>
                </c:pt>
                <c:pt idx="442">
                  <c:v>-71.140701547490835</c:v>
                </c:pt>
                <c:pt idx="443">
                  <c:v>-71.33034570580584</c:v>
                </c:pt>
                <c:pt idx="444">
                  <c:v>-71.520194048850698</c:v>
                </c:pt>
                <c:pt idx="445">
                  <c:v>-71.71026664124075</c:v>
                </c:pt>
                <c:pt idx="446">
                  <c:v>-71.900582246836876</c:v>
                </c:pt>
                <c:pt idx="447">
                  <c:v>-72.091158379137553</c:v>
                </c:pt>
                <c:pt idx="448">
                  <c:v>-72.282011355640762</c:v>
                </c:pt>
                <c:pt idx="449">
                  <c:v>-72.473156355678341</c:v>
                </c:pt>
                <c:pt idx="450">
                  <c:v>-72.664607481225815</c:v>
                </c:pt>
                <c:pt idx="451">
                  <c:v>-72.856377820201374</c:v>
                </c:pt>
                <c:pt idx="452">
                  <c:v>-73.048479511780812</c:v>
                </c:pt>
                <c:pt idx="453">
                  <c:v>-73.240923813272346</c:v>
                </c:pt>
                <c:pt idx="454">
                  <c:v>-73.433721168119789</c:v>
                </c:pt>
                <c:pt idx="455">
                  <c:v>-73.626881274626356</c:v>
                </c:pt>
                <c:pt idx="456">
                  <c:v>-73.820413155019224</c:v>
                </c:pt>
                <c:pt idx="457">
                  <c:v>-74.014325224507346</c:v>
                </c:pt>
                <c:pt idx="458">
                  <c:v>-74.208625360013741</c:v>
                </c:pt>
                <c:pt idx="459">
                  <c:v>-74.403320968294906</c:v>
                </c:pt>
                <c:pt idx="460">
                  <c:v>-74.598419053195045</c:v>
                </c:pt>
                <c:pt idx="461">
                  <c:v>-74.793926281810229</c:v>
                </c:pt>
                <c:pt idx="462">
                  <c:v>-74.989849049372609</c:v>
                </c:pt>
                <c:pt idx="463">
                  <c:v>-75.186193542688017</c:v>
                </c:pt>
                <c:pt idx="464">
                  <c:v>-75.382965801995539</c:v>
                </c:pt>
                <c:pt idx="465">
                  <c:v>-75.580171781139356</c:v>
                </c:pt>
                <c:pt idx="466">
                  <c:v>-75.777817405967312</c:v>
                </c:pt>
                <c:pt idx="467">
                  <c:v>-75.975908630894878</c:v>
                </c:pt>
                <c:pt idx="468">
                  <c:v>-76.174451493593665</c:v>
                </c:pt>
                <c:pt idx="469">
                  <c:v>-76.373452167777259</c:v>
                </c:pt>
                <c:pt idx="470">
                  <c:v>-76.572917014079593</c:v>
                </c:pt>
                <c:pt idx="471">
                  <c:v>-76.772852629028506</c:v>
                </c:pt>
                <c:pt idx="472">
                  <c:v>-76.973265892130073</c:v>
                </c:pt>
                <c:pt idx="473">
                  <c:v>-77.174164011091847</c:v>
                </c:pt>
                <c:pt idx="474">
                  <c:v>-77.375554565215467</c:v>
                </c:pt>
                <c:pt idx="475">
                  <c:v>-77.577445546996131</c:v>
                </c:pt>
                <c:pt idx="476">
                  <c:v>-77.779845401971684</c:v>
                </c:pt>
                <c:pt idx="477">
                  <c:v>-77.982763066862162</c:v>
                </c:pt>
                <c:pt idx="478">
                  <c:v>-78.186208006043245</c:v>
                </c:pt>
                <c:pt idx="479">
                  <c:v>-78.390190246393601</c:v>
                </c:pt>
                <c:pt idx="480">
                  <c:v>-78.594720410556008</c:v>
                </c:pt>
                <c:pt idx="481">
                  <c:v>-78.799809748644009</c:v>
                </c:pt>
                <c:pt idx="482">
                  <c:v>-79.005470168422448</c:v>
                </c:pt>
                <c:pt idx="483">
                  <c:v>-79.211714263984675</c:v>
                </c:pt>
                <c:pt idx="484">
                  <c:v>-79.41855534293974</c:v>
                </c:pt>
                <c:pt idx="485">
                  <c:v>-79.626007452114777</c:v>
                </c:pt>
                <c:pt idx="486">
                  <c:v>-79.83408540177021</c:v>
                </c:pt>
                <c:pt idx="487">
                  <c:v>-80.042804788313603</c:v>
                </c:pt>
                <c:pt idx="488">
                  <c:v>-80.252182015489069</c:v>
                </c:pt>
                <c:pt idx="489">
                  <c:v>-80.462234314006565</c:v>
                </c:pt>
                <c:pt idx="490">
                  <c:v>-80.672979759565663</c:v>
                </c:pt>
                <c:pt idx="491">
                  <c:v>-80.884437289217388</c:v>
                </c:pt>
                <c:pt idx="492">
                  <c:v>-81.096626715991746</c:v>
                </c:pt>
                <c:pt idx="493">
                  <c:v>-81.309568741714003</c:v>
                </c:pt>
                <c:pt idx="494">
                  <c:v>-81.523284967911962</c:v>
                </c:pt>
                <c:pt idx="495">
                  <c:v>-81.737797904715009</c:v>
                </c:pt>
                <c:pt idx="496">
                  <c:v>-81.953130977623005</c:v>
                </c:pt>
                <c:pt idx="497">
                  <c:v>-82.169308532023848</c:v>
                </c:pt>
                <c:pt idx="498">
                  <c:v>-82.386355835317687</c:v>
                </c:pt>
                <c:pt idx="499">
                  <c:v>-82.604299076503068</c:v>
                </c:pt>
                <c:pt idx="500">
                  <c:v>-82.82316536306908</c:v>
                </c:pt>
                <c:pt idx="501">
                  <c:v>-83.042982715028586</c:v>
                </c:pt>
                <c:pt idx="502">
                  <c:v>-83.263780055922908</c:v>
                </c:pt>
                <c:pt idx="503">
                  <c:v>-83.485587200621666</c:v>
                </c:pt>
                <c:pt idx="504">
                  <c:v>-83.708434839740022</c:v>
                </c:pt>
                <c:pt idx="505">
                  <c:v>-83.932354520490719</c:v>
                </c:pt>
                <c:pt idx="506">
                  <c:v>-84.157378623790692</c:v>
                </c:pt>
                <c:pt idx="507">
                  <c:v>-84.383540337444956</c:v>
                </c:pt>
                <c:pt idx="508">
                  <c:v>-84.610873625232642</c:v>
                </c:pt>
                <c:pt idx="509">
                  <c:v>-84.839413191730983</c:v>
                </c:pt>
                <c:pt idx="510">
                  <c:v>-85.06919444272107</c:v>
                </c:pt>
                <c:pt idx="511">
                  <c:v>-85.30025344103359</c:v>
                </c:pt>
                <c:pt idx="512">
                  <c:v>-85.532626857708863</c:v>
                </c:pt>
                <c:pt idx="513">
                  <c:v>-85.766351918366794</c:v>
                </c:pt>
                <c:pt idx="514">
                  <c:v>-86.001466344703687</c:v>
                </c:pt>
                <c:pt idx="515">
                  <c:v>-86.238008291061092</c:v>
                </c:pt>
                <c:pt idx="516">
                  <c:v>-86.47601627604287</c:v>
                </c:pt>
                <c:pt idx="517">
                  <c:v>-86.715529109187941</c:v>
                </c:pt>
                <c:pt idx="518">
                  <c:v>-86.956585812747775</c:v>
                </c:pt>
                <c:pt idx="519">
                  <c:v>-87.199225538652001</c:v>
                </c:pt>
                <c:pt idx="520">
                  <c:v>-87.443487480796932</c:v>
                </c:pt>
                <c:pt idx="521">
                  <c:v>-87.689410782831416</c:v>
                </c:pt>
                <c:pt idx="522">
                  <c:v>-87.937034441664736</c:v>
                </c:pt>
                <c:pt idx="523">
                  <c:v>-88.186397206975343</c:v>
                </c:pt>
                <c:pt idx="524">
                  <c:v>-88.437537477045666</c:v>
                </c:pt>
                <c:pt idx="525">
                  <c:v>-88.69049319130518</c:v>
                </c:pt>
                <c:pt idx="526">
                  <c:v>-88.94530172001285</c:v>
                </c:pt>
                <c:pt idx="527">
                  <c:v>-89.201999751565623</c:v>
                </c:pt>
                <c:pt idx="528">
                  <c:v>-89.460623177966397</c:v>
                </c:pt>
                <c:pt idx="529">
                  <c:v>-89.721206979034775</c:v>
                </c:pt>
                <c:pt idx="530">
                  <c:v>-89.983785105988758</c:v>
                </c:pt>
                <c:pt idx="531">
                  <c:v>-90.248390365063997</c:v>
                </c:pt>
                <c:pt idx="532">
                  <c:v>-90.515054301872794</c:v>
                </c:pt>
                <c:pt idx="533">
                  <c:v>-90.783807087238003</c:v>
                </c:pt>
                <c:pt idx="534">
                  <c:v>-91.054677405250928</c:v>
                </c:pt>
                <c:pt idx="535">
                  <c:v>-91.327692344327417</c:v>
                </c:pt>
                <c:pt idx="536">
                  <c:v>-91.602877292033753</c:v>
                </c:pt>
                <c:pt idx="537">
                  <c:v>-91.88025583445679</c:v>
                </c:pt>
                <c:pt idx="538">
                  <c:v>-92.159849660880383</c:v>
                </c:pt>
                <c:pt idx="539">
                  <c:v>-92.441678474506261</c:v>
                </c:pt>
                <c:pt idx="540">
                  <c:v>-92.725759909930588</c:v>
                </c:pt>
                <c:pt idx="541">
                  <c:v>-93.01210945804479</c:v>
                </c:pt>
              </c:numCache>
            </c:numRef>
          </c:yVal>
          <c:smooth val="1"/>
          <c:extLst>
            <c:ext xmlns:c16="http://schemas.microsoft.com/office/drawing/2014/chart" uri="{C3380CC4-5D6E-409C-BE32-E72D297353CC}">
              <c16:uniqueId val="{00000000-F356-4665-892C-BE6CAB898151}"/>
            </c:ext>
          </c:extLst>
        </c:ser>
        <c:ser>
          <c:idx val="2"/>
          <c:order val="2"/>
          <c:tx>
            <c:v>f_LP</c:v>
          </c:tx>
          <c:spPr>
            <a:ln w="38100" cmpd="sng"/>
          </c:spPr>
          <c:marker>
            <c:symbol val="x"/>
            <c:size val="7"/>
            <c:spPr>
              <a:noFill/>
            </c:spPr>
          </c:marker>
          <c:dPt>
            <c:idx val="0"/>
            <c:marker>
              <c:spPr>
                <a:noFill/>
                <a:ln w="19050">
                  <a:solidFill>
                    <a:schemeClr val="tx1"/>
                  </a:solidFill>
                </a:ln>
              </c:spPr>
            </c:marker>
            <c:bubble3D val="0"/>
            <c:extLst>
              <c:ext xmlns:c16="http://schemas.microsoft.com/office/drawing/2014/chart" uri="{C3380CC4-5D6E-409C-BE32-E72D297353CC}">
                <c16:uniqueId val="{00000001-F356-4665-892C-BE6CAB898151}"/>
              </c:ext>
            </c:extLst>
          </c:dPt>
          <c:dLbls>
            <c:dLbl>
              <c:idx val="0"/>
              <c:tx>
                <c:rich>
                  <a:bodyPr/>
                  <a:lstStyle/>
                  <a:p>
                    <a:r>
                      <a:rPr lang="en-US" sz="1100" b="1"/>
                      <a:t>f</a:t>
                    </a:r>
                    <a:r>
                      <a:rPr lang="en-US" sz="1100" b="1" baseline="-25000"/>
                      <a:t>LP</a:t>
                    </a:r>
                    <a:endParaRPr lang="en-US" b="1" baseline="-25000"/>
                  </a:p>
                </c:rich>
              </c:tx>
              <c:dLblPos val="b"/>
              <c:showLegendKey val="0"/>
              <c:showVal val="0"/>
              <c:showCatName val="0"/>
              <c:showSerName val="1"/>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1-F356-4665-892C-BE6CAB898151}"/>
                </c:ext>
              </c:extLst>
            </c:dLbl>
            <c:spPr>
              <a:noFill/>
              <a:ln>
                <a:noFill/>
              </a:ln>
              <a:effectLst/>
            </c:spPr>
            <c:dLblPos val="b"/>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CCM_Loop_Modeling_non_isolated!$O$11</c:f>
              <c:numCache>
                <c:formatCode>0</c:formatCode>
                <c:ptCount val="1"/>
                <c:pt idx="0">
                  <c:v>3.056473529885507</c:v>
                </c:pt>
              </c:numCache>
            </c:numRef>
          </c:xVal>
          <c:yVal>
            <c:numRef>
              <c:f>CCM_Loop_Modeling_non_isolated!$AT$11</c:f>
              <c:numCache>
                <c:formatCode>0.000</c:formatCode>
                <c:ptCount val="1"/>
                <c:pt idx="0">
                  <c:v>88.017842670230934</c:v>
                </c:pt>
              </c:numCache>
            </c:numRef>
          </c:yVal>
          <c:smooth val="0"/>
          <c:extLst>
            <c:ext xmlns:c16="http://schemas.microsoft.com/office/drawing/2014/chart" uri="{C3380CC4-5D6E-409C-BE32-E72D297353CC}">
              <c16:uniqueId val="{00000002-F356-4665-892C-BE6CAB898151}"/>
            </c:ext>
          </c:extLst>
        </c:ser>
        <c:ser>
          <c:idx val="3"/>
          <c:order val="3"/>
          <c:tx>
            <c:v>fz_rhp</c:v>
          </c:tx>
          <c:spPr>
            <a:ln>
              <a:solidFill>
                <a:schemeClr val="tx1"/>
              </a:solidFill>
            </a:ln>
          </c:spPr>
          <c:marker>
            <c:symbol val="circle"/>
            <c:size val="7"/>
            <c:spPr>
              <a:noFill/>
              <a:ln w="19050">
                <a:solidFill>
                  <a:schemeClr val="tx1"/>
                </a:solidFill>
              </a:ln>
            </c:spPr>
          </c:marker>
          <c:dLbls>
            <c:dLbl>
              <c:idx val="0"/>
              <c:layout>
                <c:manualLayout>
                  <c:x val="8.0501209561423519E-3"/>
                  <c:y val="-1.5493667278504181E-2"/>
                </c:manualLayout>
              </c:layout>
              <c:dLblPos val="r"/>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3-F356-4665-892C-BE6CAB898151}"/>
                </c:ext>
              </c:extLst>
            </c:dLbl>
            <c:spPr>
              <a:noFill/>
              <a:ln>
                <a:noFill/>
              </a:ln>
              <a:effectLst/>
            </c:spPr>
            <c:txPr>
              <a:bodyPr/>
              <a:lstStyle/>
              <a:p>
                <a:pPr>
                  <a:defRPr b="1"/>
                </a:pPr>
                <a:endParaRPr lang="en-US"/>
              </a:p>
            </c:txPr>
            <c:dLblPos val="t"/>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CCM_Loop_Modeling_non_isolated!$O$9</c:f>
              <c:numCache>
                <c:formatCode>0</c:formatCode>
                <c:ptCount val="1"/>
                <c:pt idx="0">
                  <c:v>47157.020175376398</c:v>
                </c:pt>
              </c:numCache>
            </c:numRef>
          </c:xVal>
          <c:yVal>
            <c:numRef>
              <c:f>CCM_Loop_Modeling_non_isolated!$AT$9</c:f>
              <c:numCache>
                <c:formatCode>0.000</c:formatCode>
                <c:ptCount val="1"/>
                <c:pt idx="0">
                  <c:v>-54.429848076103468</c:v>
                </c:pt>
              </c:numCache>
            </c:numRef>
          </c:yVal>
          <c:smooth val="1"/>
          <c:extLst>
            <c:ext xmlns:c16="http://schemas.microsoft.com/office/drawing/2014/chart" uri="{C3380CC4-5D6E-409C-BE32-E72D297353CC}">
              <c16:uniqueId val="{00000004-F356-4665-892C-BE6CAB898151}"/>
            </c:ext>
          </c:extLst>
        </c:ser>
        <c:ser>
          <c:idx val="4"/>
          <c:order val="4"/>
          <c:tx>
            <c:v>f_esr</c:v>
          </c:tx>
          <c:spPr>
            <a:ln>
              <a:noFill/>
            </a:ln>
          </c:spPr>
          <c:marker>
            <c:symbol val="circle"/>
            <c:size val="5"/>
            <c:spPr>
              <a:noFill/>
              <a:ln w="19050">
                <a:solidFill>
                  <a:schemeClr val="tx1"/>
                </a:solidFill>
              </a:ln>
            </c:spPr>
          </c:marker>
          <c:dPt>
            <c:idx val="0"/>
            <c:marker>
              <c:symbol val="circle"/>
              <c:size val="7"/>
            </c:marker>
            <c:bubble3D val="0"/>
            <c:extLst>
              <c:ext xmlns:c16="http://schemas.microsoft.com/office/drawing/2014/chart" uri="{C3380CC4-5D6E-409C-BE32-E72D297353CC}">
                <c16:uniqueId val="{00000005-F356-4665-892C-BE6CAB898151}"/>
              </c:ext>
            </c:extLst>
          </c:dPt>
          <c:dLbls>
            <c:dLbl>
              <c:idx val="0"/>
              <c:layout>
                <c:manualLayout>
                  <c:x val="-5.990474489899654E-2"/>
                  <c:y val="-1.2457193490087108E-2"/>
                </c:manualLayout>
              </c:layout>
              <c:dLblPos val="r"/>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5-F356-4665-892C-BE6CAB898151}"/>
                </c:ext>
              </c:extLst>
            </c:dLbl>
            <c:spPr>
              <a:noFill/>
              <a:ln>
                <a:noFill/>
              </a:ln>
              <a:effectLst/>
            </c:spPr>
            <c:txPr>
              <a:bodyPr/>
              <a:lstStyle/>
              <a:p>
                <a:pPr>
                  <a:defRPr b="1"/>
                </a:pPr>
                <a:endParaRPr lang="en-US"/>
              </a:p>
            </c:txPr>
            <c:dLblPos val="t"/>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CCM_Loop_Modeling_non_isolated!$O$10</c:f>
              <c:numCache>
                <c:formatCode>0</c:formatCode>
                <c:ptCount val="1"/>
                <c:pt idx="0">
                  <c:v>147365.68804805123</c:v>
                </c:pt>
              </c:numCache>
            </c:numRef>
          </c:xVal>
          <c:yVal>
            <c:numRef>
              <c:f>CCM_Loop_Modeling_non_isolated!$AT$10</c:f>
              <c:numCache>
                <c:formatCode>0.000</c:formatCode>
                <c:ptCount val="1"/>
                <c:pt idx="0">
                  <c:v>-66.150568328104157</c:v>
                </c:pt>
              </c:numCache>
            </c:numRef>
          </c:yVal>
          <c:smooth val="1"/>
          <c:extLst>
            <c:ext xmlns:c16="http://schemas.microsoft.com/office/drawing/2014/chart" uri="{C3380CC4-5D6E-409C-BE32-E72D297353CC}">
              <c16:uniqueId val="{00000006-F356-4665-892C-BE6CAB898151}"/>
            </c:ext>
          </c:extLst>
        </c:ser>
        <c:ser>
          <c:idx val="5"/>
          <c:order val="5"/>
          <c:tx>
            <c:v>fz_ea</c:v>
          </c:tx>
          <c:marker>
            <c:symbol val="circle"/>
            <c:size val="8"/>
            <c:spPr>
              <a:noFill/>
              <a:ln w="25400">
                <a:solidFill>
                  <a:srgbClr val="00B0F0"/>
                </a:solidFill>
              </a:ln>
            </c:spPr>
          </c:marker>
          <c:dLbls>
            <c:dLbl>
              <c:idx val="0"/>
              <c:spPr/>
              <c:txPr>
                <a:bodyPr/>
                <a:lstStyle/>
                <a:p>
                  <a:pPr>
                    <a:defRPr b="1"/>
                  </a:pPr>
                  <a:endParaRPr lang="en-US"/>
                </a:p>
              </c:txPr>
              <c:dLblPos val="b"/>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7-F356-4665-892C-BE6CAB898151}"/>
                </c:ext>
              </c:extLst>
            </c:dLbl>
            <c:spPr>
              <a:noFill/>
              <a:ln>
                <a:noFill/>
              </a:ln>
              <a:effectLst/>
            </c:spPr>
            <c:showLegendKey val="0"/>
            <c:showVal val="0"/>
            <c:showCatName val="0"/>
            <c:showSerName val="0"/>
            <c:showPercent val="0"/>
            <c:showBubbleSize val="0"/>
            <c:extLst>
              <c:ext xmlns:c15="http://schemas.microsoft.com/office/drawing/2012/chart" uri="{CE6537A1-D6FC-4f65-9D91-7224C49458BB}">
                <c15:showLeaderLines val="0"/>
              </c:ext>
            </c:extLst>
          </c:dLbls>
          <c:xVal>
            <c:numRef>
              <c:f>CCM_Loop_Modeling_non_isolated!$O$12</c:f>
              <c:numCache>
                <c:formatCode>General</c:formatCode>
                <c:ptCount val="1"/>
                <c:pt idx="0">
                  <c:v>602.85963292384599</c:v>
                </c:pt>
              </c:numCache>
            </c:numRef>
          </c:xVal>
          <c:yVal>
            <c:numRef>
              <c:f>CCM_Loop_Modeling_non_isolated!$AT$12</c:f>
              <c:numCache>
                <c:formatCode>0.000</c:formatCode>
                <c:ptCount val="1"/>
                <c:pt idx="0">
                  <c:v>2.1844446137445068</c:v>
                </c:pt>
              </c:numCache>
            </c:numRef>
          </c:yVal>
          <c:smooth val="1"/>
          <c:extLst>
            <c:ext xmlns:c16="http://schemas.microsoft.com/office/drawing/2014/chart" uri="{C3380CC4-5D6E-409C-BE32-E72D297353CC}">
              <c16:uniqueId val="{00000008-F356-4665-892C-BE6CAB898151}"/>
            </c:ext>
          </c:extLst>
        </c:ser>
        <c:ser>
          <c:idx val="6"/>
          <c:order val="6"/>
          <c:tx>
            <c:v>fp_ea</c:v>
          </c:tx>
          <c:marker>
            <c:symbol val="x"/>
            <c:size val="7"/>
            <c:spPr>
              <a:noFill/>
              <a:ln w="25400">
                <a:solidFill>
                  <a:srgbClr val="00B0F0"/>
                </a:solidFill>
              </a:ln>
            </c:spPr>
          </c:marker>
          <c:dLbls>
            <c:dLbl>
              <c:idx val="0"/>
              <c:layout>
                <c:manualLayout>
                  <c:x val="-5.3995739911983948E-2"/>
                  <c:y val="3.3712510009006609E-2"/>
                </c:manualLayout>
              </c:layout>
              <c:dLblPos val="r"/>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9-F356-4665-892C-BE6CAB898151}"/>
                </c:ext>
              </c:extLst>
            </c:dLbl>
            <c:spPr>
              <a:noFill/>
              <a:ln>
                <a:noFill/>
              </a:ln>
              <a:effectLst/>
            </c:spPr>
            <c:txPr>
              <a:bodyPr/>
              <a:lstStyle/>
              <a:p>
                <a:pPr>
                  <a:defRPr b="1"/>
                </a:pPr>
                <a:endParaRPr lang="en-US"/>
              </a:p>
            </c:txPr>
            <c:dLblPos val="b"/>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CCM_Loop_Modeling_non_isolated!$O$13</c:f>
              <c:numCache>
                <c:formatCode>General</c:formatCode>
                <c:ptCount val="1"/>
                <c:pt idx="0">
                  <c:v>184809.96969298788</c:v>
                </c:pt>
              </c:numCache>
            </c:numRef>
          </c:xVal>
          <c:yVal>
            <c:numRef>
              <c:f>CCM_Loop_Modeling_non_isolated!$AT$13</c:f>
              <c:numCache>
                <c:formatCode>0.000</c:formatCode>
                <c:ptCount val="1"/>
                <c:pt idx="0">
                  <c:v>-68.049876969544314</c:v>
                </c:pt>
              </c:numCache>
            </c:numRef>
          </c:yVal>
          <c:smooth val="1"/>
          <c:extLst>
            <c:ext xmlns:c16="http://schemas.microsoft.com/office/drawing/2014/chart" uri="{C3380CC4-5D6E-409C-BE32-E72D297353CC}">
              <c16:uniqueId val="{0000000A-F356-4665-892C-BE6CAB898151}"/>
            </c:ext>
          </c:extLst>
        </c:ser>
        <c:dLbls>
          <c:showLegendKey val="0"/>
          <c:showVal val="0"/>
          <c:showCatName val="0"/>
          <c:showSerName val="0"/>
          <c:showPercent val="0"/>
          <c:showBubbleSize val="0"/>
        </c:dLbls>
        <c:axId val="589245056"/>
        <c:axId val="589259520"/>
      </c:scatterChart>
      <c:scatterChart>
        <c:scatterStyle val="smoothMarker"/>
        <c:varyColors val="0"/>
        <c:ser>
          <c:idx val="1"/>
          <c:order val="1"/>
          <c:tx>
            <c:v>Phase (deg)</c:v>
          </c:tx>
          <c:spPr>
            <a:ln w="28575">
              <a:solidFill>
                <a:schemeClr val="tx1">
                  <a:lumMod val="95000"/>
                  <a:lumOff val="5000"/>
                </a:schemeClr>
              </a:solidFill>
              <a:prstDash val="sysDash"/>
            </a:ln>
          </c:spPr>
          <c:marker>
            <c:symbol val="none"/>
          </c:marker>
          <c:xVal>
            <c:numRef>
              <c:f>CCM_Loop_Modeling_non_isolated!$O$19:$O$560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CCM_Loop_Modeling_non_isolated!$AU$19:$AU$560</c:f>
              <c:numCache>
                <c:formatCode>General</c:formatCode>
                <c:ptCount val="542"/>
                <c:pt idx="0">
                  <c:v>17.481498107777952</c:v>
                </c:pt>
                <c:pt idx="1">
                  <c:v>17.143008761584458</c:v>
                </c:pt>
                <c:pt idx="2">
                  <c:v>16.81186836723916</c:v>
                </c:pt>
                <c:pt idx="3">
                  <c:v>16.488007123526813</c:v>
                </c:pt>
                <c:pt idx="4">
                  <c:v>16.171353057339868</c:v>
                </c:pt>
                <c:pt idx="5">
                  <c:v>15.861832288071515</c:v>
                </c:pt>
                <c:pt idx="6">
                  <c:v>15.559369279930669</c:v>
                </c:pt>
                <c:pt idx="7">
                  <c:v>15.263887082277721</c:v>
                </c:pt>
                <c:pt idx="8">
                  <c:v>14.975307558127895</c:v>
                </c:pt>
                <c:pt idx="9">
                  <c:v>14.693551601021108</c:v>
                </c:pt>
                <c:pt idx="10">
                  <c:v>14.418539340490693</c:v>
                </c:pt>
                <c:pt idx="11">
                  <c:v>14.150190336398794</c:v>
                </c:pt>
                <c:pt idx="12">
                  <c:v>13.888423762437451</c:v>
                </c:pt>
                <c:pt idx="13">
                  <c:v>13.633158579111415</c:v>
                </c:pt>
                <c:pt idx="14">
                  <c:v>13.384313696544204</c:v>
                </c:pt>
                <c:pt idx="15">
                  <c:v>13.141808127457452</c:v>
                </c:pt>
                <c:pt idx="16">
                  <c:v>12.905561130690055</c:v>
                </c:pt>
                <c:pt idx="17">
                  <c:v>12.675492345625772</c:v>
                </c:pt>
                <c:pt idx="18">
                  <c:v>12.451521917906645</c:v>
                </c:pt>
                <c:pt idx="19">
                  <c:v>12.233570616808946</c:v>
                </c:pt>
                <c:pt idx="20">
                  <c:v>12.021559944659758</c:v>
                </c:pt>
                <c:pt idx="21">
                  <c:v>11.815412238667012</c:v>
                </c:pt>
                <c:pt idx="22">
                  <c:v>11.615050765535901</c:v>
                </c:pt>
                <c:pt idx="23">
                  <c:v>11.420399809232295</c:v>
                </c:pt>
                <c:pt idx="24">
                  <c:v>11.231384752254307</c:v>
                </c:pt>
                <c:pt idx="25">
                  <c:v>11.047932150757548</c:v>
                </c:pt>
                <c:pt idx="26">
                  <c:v>10.869969803876508</c:v>
                </c:pt>
                <c:pt idx="27">
                  <c:v>10.697426817569566</c:v>
                </c:pt>
                <c:pt idx="28">
                  <c:v>10.530233663308129</c:v>
                </c:pt>
                <c:pt idx="29">
                  <c:v>10.368322231918194</c:v>
                </c:pt>
                <c:pt idx="30">
                  <c:v>10.211625882870704</c:v>
                </c:pt>
                <c:pt idx="31">
                  <c:v>10.060079489306711</c:v>
                </c:pt>
                <c:pt idx="32">
                  <c:v>9.9136194790701158</c:v>
                </c:pt>
                <c:pt idx="33">
                  <c:v>9.7721838720115759</c:v>
                </c:pt>
                <c:pt idx="34">
                  <c:v>9.6357123138127747</c:v>
                </c:pt>
                <c:pt idx="35">
                  <c:v>9.5041461065696158</c:v>
                </c:pt>
                <c:pt idx="36">
                  <c:v>9.3774282363627286</c:v>
                </c:pt>
                <c:pt idx="37">
                  <c:v>9.2555033980299868</c:v>
                </c:pt>
                <c:pt idx="38">
                  <c:v>9.1383180173468759</c:v>
                </c:pt>
                <c:pt idx="39">
                  <c:v>9.0258202708081363</c:v>
                </c:pt>
                <c:pt idx="40">
                  <c:v>8.9179601031941136</c:v>
                </c:pt>
                <c:pt idx="41">
                  <c:v>8.8146892430952501</c:v>
                </c:pt>
                <c:pt idx="42">
                  <c:v>8.715961216557611</c:v>
                </c:pt>
                <c:pt idx="43">
                  <c:v>8.6217313590026983</c:v>
                </c:pt>
                <c:pt idx="44">
                  <c:v>8.5319568255660823</c:v>
                </c:pt>
                <c:pt idx="45">
                  <c:v>8.4465965999886432</c:v>
                </c:pt>
                <c:pt idx="46">
                  <c:v>8.3656115021880186</c:v>
                </c:pt>
                <c:pt idx="47">
                  <c:v>8.2889641946264607</c:v>
                </c:pt>
                <c:pt idx="48">
                  <c:v>8.2166191875852554</c:v>
                </c:pt>
                <c:pt idx="49">
                  <c:v>8.1485428434473732</c:v>
                </c:pt>
                <c:pt idx="50">
                  <c:v>8.0847033800810024</c:v>
                </c:pt>
                <c:pt idx="51">
                  <c:v>8.0250708734125098</c:v>
                </c:pt>
                <c:pt idx="52">
                  <c:v>7.9696172592657124</c:v>
                </c:pt>
                <c:pt idx="53">
                  <c:v>7.9183163345423759</c:v>
                </c:pt>
                <c:pt idx="54">
                  <c:v>7.8711437578075047</c:v>
                </c:pt>
                <c:pt idx="55">
                  <c:v>7.8280770493407514</c:v>
                </c:pt>
                <c:pt idx="56">
                  <c:v>7.7890955907055446</c:v>
                </c:pt>
                <c:pt idx="57">
                  <c:v>7.7541806238836024</c:v>
                </c:pt>
                <c:pt idx="58">
                  <c:v>7.7233152500161459</c:v>
                </c:pt>
                <c:pt idx="59">
                  <c:v>7.6964844277861451</c:v>
                </c:pt>
                <c:pt idx="60">
                  <c:v>7.6736749714724892</c:v>
                </c:pt>
                <c:pt idx="61">
                  <c:v>7.6548755486986702</c:v>
                </c:pt>
                <c:pt idx="62">
                  <c:v>7.6400766778957347</c:v>
                </c:pt>
                <c:pt idx="63">
                  <c:v>7.6292707254920726</c:v>
                </c:pt>
                <c:pt idx="64">
                  <c:v>7.6224519028376241</c:v>
                </c:pt>
                <c:pt idx="65">
                  <c:v>7.6196162628654989</c:v>
                </c:pt>
                <c:pt idx="66">
                  <c:v>7.6207616964875298</c:v>
                </c:pt>
                <c:pt idx="67">
                  <c:v>7.6258879287161516</c:v>
                </c:pt>
                <c:pt idx="68">
                  <c:v>7.6349965144984733</c:v>
                </c:pt>
                <c:pt idx="69">
                  <c:v>7.6480908342437779</c:v>
                </c:pt>
                <c:pt idx="70">
                  <c:v>7.6651760890207452</c:v>
                </c:pt>
                <c:pt idx="71">
                  <c:v>7.6862592953930013</c:v>
                </c:pt>
                <c:pt idx="72">
                  <c:v>7.7113492798591157</c:v>
                </c:pt>
                <c:pt idx="73">
                  <c:v>7.7404566728543154</c:v>
                </c:pt>
                <c:pt idx="74">
                  <c:v>7.7735939022683009</c:v>
                </c:pt>
                <c:pt idx="75">
                  <c:v>7.8107751864244364</c:v>
                </c:pt>
                <c:pt idx="76">
                  <c:v>7.852016526461882</c:v>
                </c:pt>
                <c:pt idx="77">
                  <c:v>7.8973356980554028</c:v>
                </c:pt>
                <c:pt idx="78">
                  <c:v>7.9467522423991275</c:v>
                </c:pt>
                <c:pt idx="79">
                  <c:v>8.000287456377027</c:v>
                </c:pt>
                <c:pt idx="80">
                  <c:v>8.0579643818324964</c:v>
                </c:pt>
                <c:pt idx="81">
                  <c:v>8.119807793844684</c:v>
                </c:pt>
                <c:pt idx="82">
                  <c:v>8.1858441879108987</c:v>
                </c:pt>
                <c:pt idx="83">
                  <c:v>8.2561017659252833</c:v>
                </c:pt>
                <c:pt idx="84">
                  <c:v>8.3306104208391698</c:v>
                </c:pt>
                <c:pt idx="85">
                  <c:v>8.4094017198758575</c:v>
                </c:pt>
                <c:pt idx="86">
                  <c:v>8.4925088861679363</c:v>
                </c:pt>
                <c:pt idx="87">
                  <c:v>8.5799667786739189</c:v>
                </c:pt>
                <c:pt idx="88">
                  <c:v>8.6718118702218945</c:v>
                </c:pt>
                <c:pt idx="89">
                  <c:v>8.768082223519901</c:v>
                </c:pt>
                <c:pt idx="90">
                  <c:v>8.8688174649607152</c:v>
                </c:pt>
                <c:pt idx="91">
                  <c:v>8.974058756039911</c:v>
                </c:pt>
                <c:pt idx="92">
                  <c:v>9.0838487621958386</c:v>
                </c:pt>
                <c:pt idx="93">
                  <c:v>9.1982316188678208</c:v>
                </c:pt>
                <c:pt idx="94">
                  <c:v>9.3172528945606281</c:v>
                </c:pt>
                <c:pt idx="95">
                  <c:v>9.4409595506876745</c:v>
                </c:pt>
                <c:pt idx="96">
                  <c:v>9.569399897960146</c:v>
                </c:pt>
                <c:pt idx="97">
                  <c:v>9.7026235490712764</c:v>
                </c:pt>
                <c:pt idx="98">
                  <c:v>9.8406813674178419</c:v>
                </c:pt>
                <c:pt idx="99">
                  <c:v>9.9836254115878447</c:v>
                </c:pt>
                <c:pt idx="100">
                  <c:v>10.131508875329741</c:v>
                </c:pt>
                <c:pt idx="101">
                  <c:v>10.284386022710885</c:v>
                </c:pt>
                <c:pt idx="102">
                  <c:v>10.442312118157465</c:v>
                </c:pt>
                <c:pt idx="103">
                  <c:v>10.605343351059735</c:v>
                </c:pt>
                <c:pt idx="104">
                  <c:v>10.773536754614051</c:v>
                </c:pt>
                <c:pt idx="105">
                  <c:v>10.946950118562754</c:v>
                </c:pt>
                <c:pt idx="106">
                  <c:v>11.125641895486188</c:v>
                </c:pt>
                <c:pt idx="107">
                  <c:v>11.309671100287257</c:v>
                </c:pt>
                <c:pt idx="108">
                  <c:v>11.499097202506235</c:v>
                </c:pt>
                <c:pt idx="109">
                  <c:v>11.69398001109392</c:v>
                </c:pt>
                <c:pt idx="110">
                  <c:v>11.89437955126607</c:v>
                </c:pt>
                <c:pt idx="111">
                  <c:v>12.10035593306103</c:v>
                </c:pt>
                <c:pt idx="112">
                  <c:v>12.311969211217582</c:v>
                </c:pt>
                <c:pt idx="113">
                  <c:v>12.529279235992433</c:v>
                </c:pt>
                <c:pt idx="114">
                  <c:v>12.752345494540178</c:v>
                </c:pt>
                <c:pt idx="115">
                  <c:v>12.981226942482461</c:v>
                </c:pt>
                <c:pt idx="116">
                  <c:v>13.215981825305045</c:v>
                </c:pt>
                <c:pt idx="117">
                  <c:v>13.456667489231695</c:v>
                </c:pt>
                <c:pt idx="118">
                  <c:v>13.703340181239275</c:v>
                </c:pt>
                <c:pt idx="119">
                  <c:v>13.95605483790367</c:v>
                </c:pt>
                <c:pt idx="120">
                  <c:v>14.214864862787703</c:v>
                </c:pt>
                <c:pt idx="121">
                  <c:v>14.479821892114041</c:v>
                </c:pt>
                <c:pt idx="122">
                  <c:v>14.750975548500763</c:v>
                </c:pt>
                <c:pt idx="123">
                  <c:v>15.028373182584533</c:v>
                </c:pt>
                <c:pt idx="124">
                  <c:v>15.312059602398913</c:v>
                </c:pt>
                <c:pt idx="125">
                  <c:v>15.602076790433983</c:v>
                </c:pt>
                <c:pt idx="126">
                  <c:v>15.898463608367649</c:v>
                </c:pt>
                <c:pt idx="127">
                  <c:v>16.201255489525114</c:v>
                </c:pt>
                <c:pt idx="128">
                  <c:v>16.510484119205579</c:v>
                </c:pt>
                <c:pt idx="129">
                  <c:v>16.826177103103394</c:v>
                </c:pt>
                <c:pt idx="130">
                  <c:v>17.148357624136512</c:v>
                </c:pt>
                <c:pt idx="131">
                  <c:v>17.47704408811278</c:v>
                </c:pt>
                <c:pt idx="132">
                  <c:v>17.812249758766097</c:v>
                </c:pt>
                <c:pt idx="133">
                  <c:v>18.153982382820967</c:v>
                </c:pt>
                <c:pt idx="134">
                  <c:v>18.502243805871366</c:v>
                </c:pt>
                <c:pt idx="135">
                  <c:v>18.857029579997235</c:v>
                </c:pt>
                <c:pt idx="136">
                  <c:v>19.218328564191832</c:v>
                </c:pt>
                <c:pt idx="137">
                  <c:v>19.586122518814523</c:v>
                </c:pt>
                <c:pt idx="138">
                  <c:v>19.960385695454615</c:v>
                </c:pt>
                <c:pt idx="139">
                  <c:v>20.341084423744167</c:v>
                </c:pt>
                <c:pt idx="140">
                  <c:v>20.72817669682804</c:v>
                </c:pt>
                <c:pt idx="141">
                  <c:v>21.121611757372822</c:v>
                </c:pt>
                <c:pt idx="142">
                  <c:v>21.521329686152917</c:v>
                </c:pt>
                <c:pt idx="143">
                  <c:v>21.927260995429968</c:v>
                </c:pt>
                <c:pt idx="144">
                  <c:v>22.33932622950304</c:v>
                </c:pt>
                <c:pt idx="145">
                  <c:v>22.757435574955274</c:v>
                </c:pt>
                <c:pt idx="146">
                  <c:v>23.18148848327753</c:v>
                </c:pt>
                <c:pt idx="147">
                  <c:v>23.61137330868322</c:v>
                </c:pt>
                <c:pt idx="148">
                  <c:v>24.046966964039711</c:v>
                </c:pt>
                <c:pt idx="149">
                  <c:v>24.488134597955245</c:v>
                </c:pt>
                <c:pt idx="150">
                  <c:v>24.934729296125276</c:v>
                </c:pt>
                <c:pt idx="151">
                  <c:v>25.386591810104591</c:v>
                </c:pt>
                <c:pt idx="152">
                  <c:v>25.843550316689846</c:v>
                </c:pt>
                <c:pt idx="153">
                  <c:v>26.30542021109742</c:v>
                </c:pt>
                <c:pt idx="154">
                  <c:v>26.772003937070057</c:v>
                </c:pt>
                <c:pt idx="155">
                  <c:v>27.24309085697578</c:v>
                </c:pt>
                <c:pt idx="156">
                  <c:v>27.718457164837726</c:v>
                </c:pt>
                <c:pt idx="157">
                  <c:v>28.19786584507299</c:v>
                </c:pt>
                <c:pt idx="158">
                  <c:v>28.681066679526527</c:v>
                </c:pt>
                <c:pt idx="159">
                  <c:v>29.167796305117452</c:v>
                </c:pt>
                <c:pt idx="160">
                  <c:v>29.657778324157182</c:v>
                </c:pt>
                <c:pt idx="161">
                  <c:v>30.15072346903359</c:v>
                </c:pt>
                <c:pt idx="162">
                  <c:v>30.646329822613954</c:v>
                </c:pt>
                <c:pt idx="163">
                  <c:v>31.144283095286809</c:v>
                </c:pt>
                <c:pt idx="164">
                  <c:v>31.644256959137834</c:v>
                </c:pt>
                <c:pt idx="165">
                  <c:v>32.145913439265883</c:v>
                </c:pt>
                <c:pt idx="166">
                  <c:v>32.648903361761384</c:v>
                </c:pt>
                <c:pt idx="167">
                  <c:v>33.15286685734754</c:v>
                </c:pt>
                <c:pt idx="168">
                  <c:v>33.657433919157796</c:v>
                </c:pt>
                <c:pt idx="169">
                  <c:v>34.162225012604395</c:v>
                </c:pt>
                <c:pt idx="170">
                  <c:v>34.666851734747411</c:v>
                </c:pt>
                <c:pt idx="171">
                  <c:v>35.170917520087308</c:v>
                </c:pt>
                <c:pt idx="172">
                  <c:v>35.67401838918861</c:v>
                </c:pt>
                <c:pt idx="173">
                  <c:v>36.175743736101317</c:v>
                </c:pt>
                <c:pt idx="174">
                  <c:v>36.6756771501069</c:v>
                </c:pt>
                <c:pt idx="175">
                  <c:v>37.173397266952115</c:v>
                </c:pt>
                <c:pt idx="176">
                  <c:v>37.668478644393375</c:v>
                </c:pt>
                <c:pt idx="177">
                  <c:v>38.160492656623248</c:v>
                </c:pt>
                <c:pt idx="178">
                  <c:v>38.649008401930445</c:v>
                </c:pt>
                <c:pt idx="179">
                  <c:v>39.133593617822882</c:v>
                </c:pt>
                <c:pt idx="180">
                  <c:v>39.613815597771278</c:v>
                </c:pt>
                <c:pt idx="181">
                  <c:v>40.089242103737512</c:v>
                </c:pt>
                <c:pt idx="182">
                  <c:v>40.559442268728567</c:v>
                </c:pt>
                <c:pt idx="183">
                  <c:v>41.023987483772423</c:v>
                </c:pt>
                <c:pt idx="184">
                  <c:v>41.482452263925921</c:v>
                </c:pt>
                <c:pt idx="185">
                  <c:v>41.934415088192758</c:v>
                </c:pt>
                <c:pt idx="186">
                  <c:v>42.379459208597993</c:v>
                </c:pt>
                <c:pt idx="187">
                  <c:v>42.817173424022499</c:v>
                </c:pt>
                <c:pt idx="188">
                  <c:v>43.247152814867611</c:v>
                </c:pt>
                <c:pt idx="189">
                  <c:v>43.668999435077509</c:v>
                </c:pt>
                <c:pt idx="190">
                  <c:v>44.08232295856466</c:v>
                </c:pt>
                <c:pt idx="191">
                  <c:v>44.486741277598384</c:v>
                </c:pt>
                <c:pt idx="192">
                  <c:v>44.881881051272131</c:v>
                </c:pt>
                <c:pt idx="193">
                  <c:v>45.267378202695781</c:v>
                </c:pt>
                <c:pt idx="194">
                  <c:v>45.642878364111063</c:v>
                </c:pt>
                <c:pt idx="195">
                  <c:v>46.008037269651673</c:v>
                </c:pt>
                <c:pt idx="196">
                  <c:v>46.36252109599139</c:v>
                </c:pt>
                <c:pt idx="197">
                  <c:v>46.70600675160194</c:v>
                </c:pt>
                <c:pt idx="198">
                  <c:v>47.038182115807167</c:v>
                </c:pt>
                <c:pt idx="199">
                  <c:v>47.358746229245916</c:v>
                </c:pt>
                <c:pt idx="200">
                  <c:v>47.667409437736545</c:v>
                </c:pt>
                <c:pt idx="201">
                  <c:v>47.96389349188685</c:v>
                </c:pt>
                <c:pt idx="202">
                  <c:v>48.247931605089668</c:v>
                </c:pt>
                <c:pt idx="203">
                  <c:v>48.519268472809223</c:v>
                </c:pt>
                <c:pt idx="204">
                  <c:v>48.777660256269243</c:v>
                </c:pt>
                <c:pt idx="205">
                  <c:v>49.022874533828329</c:v>
                </c:pt>
                <c:pt idx="206">
                  <c:v>49.254690223450154</c:v>
                </c:pt>
                <c:pt idx="207">
                  <c:v>49.472897479763056</c:v>
                </c:pt>
                <c:pt idx="208">
                  <c:v>49.67729756924534</c:v>
                </c:pt>
                <c:pt idx="209">
                  <c:v>49.86770272707863</c:v>
                </c:pt>
                <c:pt idx="210">
                  <c:v>50.043935999189479</c:v>
                </c:pt>
                <c:pt idx="211">
                  <c:v>50.205831072930515</c:v>
                </c:pt>
                <c:pt idx="212">
                  <c:v>50.353232099770302</c:v>
                </c:pt>
                <c:pt idx="213">
                  <c:v>50.485993513242605</c:v>
                </c:pt>
                <c:pt idx="214">
                  <c:v>50.603979845270729</c:v>
                </c:pt>
                <c:pt idx="215">
                  <c:v>50.707065543813926</c:v>
                </c:pt>
                <c:pt idx="216">
                  <c:v>50.795134794624602</c:v>
                </c:pt>
                <c:pt idx="217">
                  <c:v>50.868081349692666</c:v>
                </c:pt>
                <c:pt idx="218">
                  <c:v>50.925808364762091</c:v>
                </c:pt>
                <c:pt idx="219">
                  <c:v>50.968228248087421</c:v>
                </c:pt>
                <c:pt idx="220">
                  <c:v>50.995262522369941</c:v>
                </c:pt>
                <c:pt idx="221">
                  <c:v>51.006841701583554</c:v>
                </c:pt>
                <c:pt idx="222">
                  <c:v>51.002905184165641</c:v>
                </c:pt>
                <c:pt idx="223">
                  <c:v>50.983401163802839</c:v>
                </c:pt>
                <c:pt idx="224">
                  <c:v>50.948286558799843</c:v>
                </c:pt>
                <c:pt idx="225">
                  <c:v>50.897526960766918</c:v>
                </c:pt>
                <c:pt idx="226">
                  <c:v>50.83109660312013</c:v>
                </c:pt>
                <c:pt idx="227">
                  <c:v>50.748978349627492</c:v>
                </c:pt>
                <c:pt idx="228">
                  <c:v>50.651163702994474</c:v>
                </c:pt>
                <c:pt idx="229">
                  <c:v>50.537652833218999</c:v>
                </c:pt>
                <c:pt idx="230">
                  <c:v>50.408454625208897</c:v>
                </c:pt>
                <c:pt idx="231">
                  <c:v>50.263586744893175</c:v>
                </c:pt>
                <c:pt idx="232">
                  <c:v>50.1030757228189</c:v>
                </c:pt>
                <c:pt idx="233">
                  <c:v>49.926957053980303</c:v>
                </c:pt>
                <c:pt idx="234">
                  <c:v>49.735275312383308</c:v>
                </c:pt>
                <c:pt idx="235">
                  <c:v>49.52808427860986</c:v>
                </c:pt>
                <c:pt idx="236">
                  <c:v>49.305447078427385</c:v>
                </c:pt>
                <c:pt idx="237">
                  <c:v>49.067436330250246</c:v>
                </c:pt>
                <c:pt idx="238">
                  <c:v>48.814134299059475</c:v>
                </c:pt>
                <c:pt idx="239">
                  <c:v>48.545633054176101</c:v>
                </c:pt>
                <c:pt idx="240">
                  <c:v>48.262034628101524</c:v>
                </c:pt>
                <c:pt idx="241">
                  <c:v>47.963451173450572</c:v>
                </c:pt>
                <c:pt idx="242">
                  <c:v>47.650005114866971</c:v>
                </c:pt>
                <c:pt idx="243">
                  <c:v>47.321829292657036</c:v>
                </c:pt>
                <c:pt idx="244">
                  <c:v>46.979067094778067</c:v>
                </c:pt>
                <c:pt idx="245">
                  <c:v>46.621872573722321</c:v>
                </c:pt>
                <c:pt idx="246">
                  <c:v>46.250410544794633</c:v>
                </c:pt>
                <c:pt idx="247">
                  <c:v>45.864856662249345</c:v>
                </c:pt>
                <c:pt idx="248">
                  <c:v>45.465397469758905</c:v>
                </c:pt>
                <c:pt idx="249">
                  <c:v>45.052230421759106</c:v>
                </c:pt>
                <c:pt idx="250">
                  <c:v>44.62556387227216</c:v>
                </c:pt>
                <c:pt idx="251">
                  <c:v>44.185617027970935</c:v>
                </c:pt>
                <c:pt idx="252">
                  <c:v>43.732619862409493</c:v>
                </c:pt>
                <c:pt idx="253">
                  <c:v>43.266812988556545</c:v>
                </c:pt>
                <c:pt idx="254">
                  <c:v>42.788447487057972</c:v>
                </c:pt>
                <c:pt idx="255">
                  <c:v>42.297784687933316</c:v>
                </c:pt>
                <c:pt idx="256">
                  <c:v>41.795095903789885</c:v>
                </c:pt>
                <c:pt idx="257">
                  <c:v>41.280662113008312</c:v>
                </c:pt>
                <c:pt idx="258">
                  <c:v>40.754773591807691</c:v>
                </c:pt>
                <c:pt idx="259">
                  <c:v>40.217729494539462</c:v>
                </c:pt>
                <c:pt idx="260">
                  <c:v>39.669837382074022</c:v>
                </c:pt>
                <c:pt idx="261">
                  <c:v>39.111412698650945</c:v>
                </c:pt>
                <c:pt idx="262">
                  <c:v>38.542778198104827</c:v>
                </c:pt>
                <c:pt idx="263">
                  <c:v>37.964263320920026</c:v>
                </c:pt>
                <c:pt idx="264">
                  <c:v>37.376203524129657</c:v>
                </c:pt>
                <c:pt idx="265">
                  <c:v>36.778939566595525</c:v>
                </c:pt>
                <c:pt idx="266">
                  <c:v>36.172816752764874</c:v>
                </c:pt>
                <c:pt idx="267">
                  <c:v>35.558184138479099</c:v>
                </c:pt>
                <c:pt idx="268">
                  <c:v>34.935393702914965</c:v>
                </c:pt>
                <c:pt idx="269">
                  <c:v>34.304799491148678</c:v>
                </c:pt>
                <c:pt idx="270">
                  <c:v>33.666756732258186</c:v>
                </c:pt>
                <c:pt idx="271">
                  <c:v>33.02162093819112</c:v>
                </c:pt>
                <c:pt idx="272">
                  <c:v>32.369746988924149</c:v>
                </c:pt>
                <c:pt idx="273">
                  <c:v>31.711488209650216</c:v>
                </c:pt>
                <c:pt idx="274">
                  <c:v>31.047195445880718</c:v>
                </c:pt>
                <c:pt idx="275">
                  <c:v>30.377216142426025</c:v>
                </c:pt>
                <c:pt idx="276">
                  <c:v>29.701893432230488</c:v>
                </c:pt>
                <c:pt idx="277">
                  <c:v>29.021565240969384</c:v>
                </c:pt>
                <c:pt idx="278">
                  <c:v>28.336563413180219</c:v>
                </c:pt>
                <c:pt idx="279">
                  <c:v>27.647212865506305</c:v>
                </c:pt>
                <c:pt idx="280">
                  <c:v>26.953830772358025</c:v>
                </c:pt>
                <c:pt idx="281">
                  <c:v>26.256725788984198</c:v>
                </c:pt>
                <c:pt idx="282">
                  <c:v>25.556197316563512</c:v>
                </c:pt>
                <c:pt idx="283">
                  <c:v>24.852534813521128</c:v>
                </c:pt>
                <c:pt idx="284">
                  <c:v>24.146017156805147</c:v>
                </c:pt>
                <c:pt idx="285">
                  <c:v>23.436912056391776</c:v>
                </c:pt>
                <c:pt idx="286">
                  <c:v>22.725475525773632</c:v>
                </c:pt>
                <c:pt idx="287">
                  <c:v>22.011951410673753</c:v>
                </c:pt>
                <c:pt idx="288">
                  <c:v>21.296570977712832</c:v>
                </c:pt>
                <c:pt idx="289">
                  <c:v>20.579552564240149</c:v>
                </c:pt>
                <c:pt idx="290">
                  <c:v>19.861101290033069</c:v>
                </c:pt>
                <c:pt idx="291">
                  <c:v>19.14140883109506</c:v>
                </c:pt>
                <c:pt idx="292">
                  <c:v>18.420653255314186</c:v>
                </c:pt>
                <c:pt idx="293">
                  <c:v>17.698998919315322</c:v>
                </c:pt>
                <c:pt idx="294">
                  <c:v>16.976596425449056</c:v>
                </c:pt>
                <c:pt idx="295">
                  <c:v>16.253582637494276</c:v>
                </c:pt>
                <c:pt idx="296">
                  <c:v>15.530080753337307</c:v>
                </c:pt>
                <c:pt idx="297">
                  <c:v>14.806200432608962</c:v>
                </c:pt>
                <c:pt idx="298">
                  <c:v>14.082037977032149</c:v>
                </c:pt>
                <c:pt idx="299">
                  <c:v>13.35767656102775</c:v>
                </c:pt>
                <c:pt idx="300">
                  <c:v>12.633186509984844</c:v>
                </c:pt>
                <c:pt idx="301">
                  <c:v>11.908625623480933</c:v>
                </c:pt>
                <c:pt idx="302">
                  <c:v>11.184039540662573</c:v>
                </c:pt>
                <c:pt idx="303">
                  <c:v>10.459462144958279</c:v>
                </c:pt>
                <c:pt idx="304">
                  <c:v>9.7349160052825248</c:v>
                </c:pt>
                <c:pt idx="305">
                  <c:v>9.0104128509073185</c:v>
                </c:pt>
                <c:pt idx="306">
                  <c:v>8.2859540772247389</c:v>
                </c:pt>
                <c:pt idx="307">
                  <c:v>7.561531279685064</c:v>
                </c:pt>
                <c:pt idx="308">
                  <c:v>6.8371268132758019</c:v>
                </c:pt>
                <c:pt idx="309">
                  <c:v>6.1127143750060018</c:v>
                </c:pt>
                <c:pt idx="310">
                  <c:v>5.388259606961852</c:v>
                </c:pt>
                <c:pt idx="311">
                  <c:v>4.6637207176122031</c:v>
                </c:pt>
                <c:pt idx="312">
                  <c:v>3.9390491191593067</c:v>
                </c:pt>
                <c:pt idx="313">
                  <c:v>3.2141900788419275</c:v>
                </c:pt>
                <c:pt idx="314">
                  <c:v>2.4890833822136305</c:v>
                </c:pt>
                <c:pt idx="315">
                  <c:v>1.7636640065201663</c:v>
                </c:pt>
                <c:pt idx="316">
                  <c:v>1.0378628024034344</c:v>
                </c:pt>
                <c:pt idx="317">
                  <c:v>0.31160718224585271</c:v>
                </c:pt>
                <c:pt idx="318">
                  <c:v>-0.41517818645867749</c:v>
                </c:pt>
                <c:pt idx="319">
                  <c:v>-1.142570684251311</c:v>
                </c:pt>
                <c:pt idx="320">
                  <c:v>-1.8706490408750671</c:v>
                </c:pt>
                <c:pt idx="321">
                  <c:v>-2.5994926359281694</c:v>
                </c:pt>
                <c:pt idx="322">
                  <c:v>-3.3291808004565078</c:v>
                </c:pt>
                <c:pt idx="323">
                  <c:v>-4.0597921209377583</c:v>
                </c:pt>
                <c:pt idx="324">
                  <c:v>-4.791403747128026</c:v>
                </c:pt>
                <c:pt idx="325">
                  <c:v>-5.5240907052723651</c:v>
                </c:pt>
                <c:pt idx="326">
                  <c:v>-6.2579252182344138</c:v>
                </c:pt>
                <c:pt idx="327">
                  <c:v>-6.9929760341642586</c:v>
                </c:pt>
                <c:pt idx="328">
                  <c:v>-7.7293077653963698</c:v>
                </c:pt>
                <c:pt idx="329">
                  <c:v>-8.4669802393708071</c:v>
                </c:pt>
                <c:pt idx="330">
                  <c:v>-9.2060478634576022</c:v>
                </c:pt>
                <c:pt idx="331">
                  <c:v>-9.9465590056886679</c:v>
                </c:pt>
                <c:pt idx="332">
                  <c:v>-10.688555393503652</c:v>
                </c:pt>
                <c:pt idx="333">
                  <c:v>-11.43207153274731</c:v>
                </c:pt>
                <c:pt idx="334">
                  <c:v>-12.177134149262672</c:v>
                </c:pt>
                <c:pt idx="335">
                  <c:v>-12.923761655552235</c:v>
                </c:pt>
                <c:pt idx="336">
                  <c:v>-13.671963645081366</c:v>
                </c:pt>
                <c:pt idx="337">
                  <c:v>-14.421740416908271</c:v>
                </c:pt>
                <c:pt idx="338">
                  <c:v>-15.173082533400049</c:v>
                </c:pt>
                <c:pt idx="339">
                  <c:v>-15.925970413879007</c:v>
                </c:pt>
                <c:pt idx="340">
                  <c:v>-16.680373967083046</c:v>
                </c:pt>
                <c:pt idx="341">
                  <c:v>-17.436252265355858</c:v>
                </c:pt>
                <c:pt idx="342">
                  <c:v>-18.193553263474524</c:v>
                </c:pt>
                <c:pt idx="343">
                  <c:v>-18.952213564992125</c:v>
                </c:pt>
                <c:pt idx="344">
                  <c:v>-19.712158238902532</c:v>
                </c:pt>
                <c:pt idx="345">
                  <c:v>-20.473300689323175</c:v>
                </c:pt>
                <c:pt idx="346">
                  <c:v>-21.235542580752004</c:v>
                </c:pt>
                <c:pt idx="347">
                  <c:v>-21.998773821256542</c:v>
                </c:pt>
                <c:pt idx="348">
                  <c:v>-22.762872605729861</c:v>
                </c:pt>
                <c:pt idx="349">
                  <c:v>-23.527705521063766</c:v>
                </c:pt>
                <c:pt idx="350">
                  <c:v>-24.293127714776194</c:v>
                </c:pt>
                <c:pt idx="351">
                  <c:v>-25.058983128264426</c:v>
                </c:pt>
                <c:pt idx="352">
                  <c:v>-25.825104795456355</c:v>
                </c:pt>
                <c:pt idx="353">
                  <c:v>-26.591315207190313</c:v>
                </c:pt>
                <c:pt idx="354">
                  <c:v>-27.357426741190412</c:v>
                </c:pt>
                <c:pt idx="355">
                  <c:v>-28.123242156985377</c:v>
                </c:pt>
                <c:pt idx="356">
                  <c:v>-28.888555154621134</c:v>
                </c:pt>
                <c:pt idx="357">
                  <c:v>-29.653150995451774</c:v>
                </c:pt>
                <c:pt idx="358">
                  <c:v>-30.416807182765421</c:v>
                </c:pt>
                <c:pt idx="359">
                  <c:v>-31.179294199430615</c:v>
                </c:pt>
                <c:pt idx="360">
                  <c:v>-31.940376299227768</c:v>
                </c:pt>
                <c:pt idx="361">
                  <c:v>-32.699812347970365</c:v>
                </c:pt>
                <c:pt idx="362">
                  <c:v>-33.457356710040749</c:v>
                </c:pt>
                <c:pt idx="363">
                  <c:v>-34.212760175466386</c:v>
                </c:pt>
                <c:pt idx="364">
                  <c:v>-34.96577092223604</c:v>
                </c:pt>
                <c:pt idx="365">
                  <c:v>-35.716135508152711</c:v>
                </c:pt>
                <c:pt idx="366">
                  <c:v>-36.463599886188518</c:v>
                </c:pt>
                <c:pt idx="367">
                  <c:v>-37.207910437008032</c:v>
                </c:pt>
                <c:pt idx="368">
                  <c:v>-37.948815012119191</c:v>
                </c:pt>
                <c:pt idx="369">
                  <c:v>-38.686063980942428</c:v>
                </c:pt>
                <c:pt idx="370">
                  <c:v>-39.419411275001565</c:v>
                </c:pt>
                <c:pt idx="371">
                  <c:v>-40.148615422426595</c:v>
                </c:pt>
                <c:pt idx="372">
                  <c:v>-40.873440565988737</c:v>
                </c:pt>
                <c:pt idx="373">
                  <c:v>-41.593657458022456</c:v>
                </c:pt>
                <c:pt idx="374">
                  <c:v>-42.309044425741156</c:v>
                </c:pt>
                <c:pt idx="375">
                  <c:v>-43.019388300718489</c:v>
                </c:pt>
                <c:pt idx="376">
                  <c:v>-43.724485306571744</c:v>
                </c:pt>
                <c:pt idx="377">
                  <c:v>-44.424141899244255</c:v>
                </c:pt>
                <c:pt idx="378">
                  <c:v>-45.118175554660525</c:v>
                </c:pt>
                <c:pt idx="379">
                  <c:v>-45.806415498957811</c:v>
                </c:pt>
                <c:pt idx="380">
                  <c:v>-46.488703376937565</c:v>
                </c:pt>
                <c:pt idx="381">
                  <c:v>-47.164893854876574</c:v>
                </c:pt>
                <c:pt idx="382">
                  <c:v>-47.834855154321303</c:v>
                </c:pt>
                <c:pt idx="383">
                  <c:v>-48.498469513996902</c:v>
                </c:pt>
                <c:pt idx="384">
                  <c:v>-49.155633577481261</c:v>
                </c:pt>
                <c:pt idx="385">
                  <c:v>-49.80625870480764</c:v>
                </c:pt>
                <c:pt idx="386">
                  <c:v>-50.450271206668596</c:v>
                </c:pt>
                <c:pt idx="387">
                  <c:v>-51.087612500407914</c:v>
                </c:pt>
                <c:pt idx="388">
                  <c:v>-51.718239187473941</c:v>
                </c:pt>
                <c:pt idx="389">
                  <c:v>-52.34212305250162</c:v>
                </c:pt>
                <c:pt idx="390">
                  <c:v>-52.95925098466298</c:v>
                </c:pt>
                <c:pt idx="391">
                  <c:v>-53.569624822381158</c:v>
                </c:pt>
                <c:pt idx="392">
                  <c:v>-54.173261122953186</c:v>
                </c:pt>
                <c:pt idx="393">
                  <c:v>-54.770190859064869</c:v>
                </c:pt>
                <c:pt idx="394">
                  <c:v>-55.360459044590954</c:v>
                </c:pt>
                <c:pt idx="395">
                  <c:v>-55.944124292492944</c:v>
                </c:pt>
                <c:pt idx="396">
                  <c:v>-56.521258308013017</c:v>
                </c:pt>
                <c:pt idx="397">
                  <c:v>-57.091945320754469</c:v>
                </c:pt>
                <c:pt idx="398">
                  <c:v>-57.656281459603484</c:v>
                </c:pt>
                <c:pt idx="399">
                  <c:v>-58.214374074808553</c:v>
                </c:pt>
                <c:pt idx="400">
                  <c:v>-58.766341011879163</c:v>
                </c:pt>
                <c:pt idx="401">
                  <c:v>-59.312309842283518</c:v>
                </c:pt>
                <c:pt idx="402">
                  <c:v>-59.852417056248591</c:v>
                </c:pt>
                <c:pt idx="403">
                  <c:v>-60.386807223233141</c:v>
                </c:pt>
                <c:pt idx="404">
                  <c:v>-60.915632125920574</c:v>
                </c:pt>
                <c:pt idx="405">
                  <c:v>-61.43904987379409</c:v>
                </c:pt>
                <c:pt idx="406">
                  <c:v>-61.957224002559805</c:v>
                </c:pt>
                <c:pt idx="407">
                  <c:v>-62.470322565824098</c:v>
                </c:pt>
                <c:pt idx="408">
                  <c:v>-62.978517225549624</c:v>
                </c:pt>
                <c:pt idx="409">
                  <c:v>-63.4819823478608</c:v>
                </c:pt>
                <c:pt idx="410">
                  <c:v>-63.980894110765377</c:v>
                </c:pt>
                <c:pt idx="411">
                  <c:v>-64.47542963030233</c:v>
                </c:pt>
                <c:pt idx="412">
                  <c:v>-64.965766111495313</c:v>
                </c:pt>
                <c:pt idx="413">
                  <c:v>-65.452080030289309</c:v>
                </c:pt>
                <c:pt idx="414">
                  <c:v>-65.934546352398442</c:v>
                </c:pt>
                <c:pt idx="415">
                  <c:v>-66.41333779464243</c:v>
                </c:pt>
                <c:pt idx="416">
                  <c:v>-66.888624133963575</c:v>
                </c:pt>
                <c:pt idx="417">
                  <c:v>-67.360571568837102</c:v>
                </c:pt>
                <c:pt idx="418">
                  <c:v>-67.829342137271823</c:v>
                </c:pt>
                <c:pt idx="419">
                  <c:v>-68.295093195008974</c:v>
                </c:pt>
                <c:pt idx="420">
                  <c:v>-68.757976956897366</c:v>
                </c:pt>
                <c:pt idx="421">
                  <c:v>-69.218140103762963</c:v>
                </c:pt>
                <c:pt idx="422">
                  <c:v>-69.675723456380538</c:v>
                </c:pt>
                <c:pt idx="423">
                  <c:v>-70.130861717453854</c:v>
                </c:pt>
                <c:pt idx="424">
                  <c:v>-70.583683281771073</c:v>
                </c:pt>
                <c:pt idx="425">
                  <c:v>-71.034310114000192</c:v>
                </c:pt>
                <c:pt idx="426">
                  <c:v>-71.482857692875669</c:v>
                </c:pt>
                <c:pt idx="427">
                  <c:v>-71.929435019855902</c:v>
                </c:pt>
                <c:pt idx="428">
                  <c:v>-72.374144689694532</c:v>
                </c:pt>
                <c:pt idx="429">
                  <c:v>-72.817083019787987</c:v>
                </c:pt>
                <c:pt idx="430">
                  <c:v>-73.258340234617037</c:v>
                </c:pt>
                <c:pt idx="431">
                  <c:v>-73.69800070115339</c:v>
                </c:pt>
                <c:pt idx="432">
                  <c:v>-74.1361432106888</c:v>
                </c:pt>
                <c:pt idx="433">
                  <c:v>-74.572841302247156</c:v>
                </c:pt>
                <c:pt idx="434">
                  <c:v>-75.008163622475905</c:v>
                </c:pt>
                <c:pt idx="435">
                  <c:v>-75.442174316774583</c:v>
                </c:pt>
                <c:pt idx="436">
                  <c:v>-75.874933446314515</c:v>
                </c:pt>
                <c:pt idx="437">
                  <c:v>-76.306497425611497</c:v>
                </c:pt>
                <c:pt idx="438">
                  <c:v>-76.736919475371138</c:v>
                </c:pt>
                <c:pt idx="439">
                  <c:v>-77.166250085455815</c:v>
                </c:pt>
                <c:pt idx="440">
                  <c:v>-77.594537483022577</c:v>
                </c:pt>
                <c:pt idx="441">
                  <c:v>-78.021828101121372</c:v>
                </c:pt>
                <c:pt idx="442">
                  <c:v>-78.448167043339311</c:v>
                </c:pt>
                <c:pt idx="443">
                  <c:v>-78.87359854040831</c:v>
                </c:pt>
                <c:pt idx="444">
                  <c:v>-79.298166395052093</c:v>
                </c:pt>
                <c:pt idx="445">
                  <c:v>-79.721914411734986</c:v>
                </c:pt>
                <c:pt idx="446">
                  <c:v>-80.144886808370458</c:v>
                </c:pt>
                <c:pt idx="447">
                  <c:v>-80.567128607449035</c:v>
                </c:pt>
                <c:pt idx="448">
                  <c:v>-80.988686004451012</c:v>
                </c:pt>
                <c:pt idx="449">
                  <c:v>-81.409606711802425</c:v>
                </c:pt>
                <c:pt idx="450">
                  <c:v>-81.829940277011715</c:v>
                </c:pt>
                <c:pt idx="451">
                  <c:v>-82.249738373994859</c:v>
                </c:pt>
                <c:pt idx="452">
                  <c:v>-82.669055066932202</c:v>
                </c:pt>
                <c:pt idx="453">
                  <c:v>-83.087947046320878</c:v>
                </c:pt>
                <c:pt idx="454">
                  <c:v>-83.506473837171626</c:v>
                </c:pt>
                <c:pt idx="455">
                  <c:v>-83.924697979562637</c:v>
                </c:pt>
                <c:pt idx="456">
                  <c:v>-84.342685181982247</c:v>
                </c:pt>
                <c:pt idx="457">
                  <c:v>-84.76050444810538</c:v>
                </c:pt>
                <c:pt idx="458">
                  <c:v>-85.178228177794253</c:v>
                </c:pt>
                <c:pt idx="459">
                  <c:v>-85.595932243269885</c:v>
                </c:pt>
                <c:pt idx="460">
                  <c:v>-86.01369604149734</c:v>
                </c:pt>
                <c:pt idx="461">
                  <c:v>-86.431602523912147</c:v>
                </c:pt>
                <c:pt idx="462">
                  <c:v>-86.849738204671354</c:v>
                </c:pt>
                <c:pt idx="463">
                  <c:v>-87.268193148641458</c:v>
                </c:pt>
                <c:pt idx="464">
                  <c:v>-87.68706094035106</c:v>
                </c:pt>
                <c:pt idx="465">
                  <c:v>-88.106438635120597</c:v>
                </c:pt>
                <c:pt idx="466">
                  <c:v>-88.526426693568311</c:v>
                </c:pt>
                <c:pt idx="467">
                  <c:v>-88.947128900634183</c:v>
                </c:pt>
                <c:pt idx="468">
                  <c:v>-89.368652270233113</c:v>
                </c:pt>
                <c:pt idx="469">
                  <c:v>-89.791106936567218</c:v>
                </c:pt>
                <c:pt idx="470">
                  <c:v>-90.214606033072087</c:v>
                </c:pt>
                <c:pt idx="471">
                  <c:v>-90.639265559883697</c:v>
                </c:pt>
                <c:pt idx="472">
                  <c:v>-91.065204240641307</c:v>
                </c:pt>
                <c:pt idx="473">
                  <c:v>-91.492543369351125</c:v>
                </c:pt>
                <c:pt idx="474">
                  <c:v>-91.921406647951557</c:v>
                </c:pt>
                <c:pt idx="475">
                  <c:v>-92.35192001514018</c:v>
                </c:pt>
                <c:pt idx="476">
                  <c:v>-92.784211466927715</c:v>
                </c:pt>
                <c:pt idx="477">
                  <c:v>-93.218410869315278</c:v>
                </c:pt>
                <c:pt idx="478">
                  <c:v>-93.654649763394502</c:v>
                </c:pt>
                <c:pt idx="479">
                  <c:v>-94.093061163113759</c:v>
                </c:pt>
                <c:pt idx="480">
                  <c:v>-94.533779345864048</c:v>
                </c:pt>
                <c:pt idx="481">
                  <c:v>-94.976939635983214</c:v>
                </c:pt>
                <c:pt idx="482">
                  <c:v>-95.4226781812132</c:v>
                </c:pt>
                <c:pt idx="483">
                  <c:v>-95.87113172208737</c:v>
                </c:pt>
                <c:pt idx="484">
                  <c:v>-96.322437354181901</c:v>
                </c:pt>
                <c:pt idx="485">
                  <c:v>-96.776732283119841</c:v>
                </c:pt>
                <c:pt idx="486">
                  <c:v>-97.234153572184525</c:v>
                </c:pt>
                <c:pt idx="487">
                  <c:v>-97.694837882372653</c:v>
                </c:pt>
                <c:pt idx="488">
                  <c:v>-98.158921204695503</c:v>
                </c:pt>
                <c:pt idx="489">
                  <c:v>-98.626538584534671</c:v>
                </c:pt>
                <c:pt idx="490">
                  <c:v>-99.097823837845198</c:v>
                </c:pt>
                <c:pt idx="491">
                  <c:v>-99.572909259016143</c:v>
                </c:pt>
                <c:pt idx="492">
                  <c:v>-100.05192532020951</c:v>
                </c:pt>
                <c:pt idx="493">
                  <c:v>-100.53500036202207</c:v>
                </c:pt>
                <c:pt idx="494">
                  <c:v>-101.02226027535487</c:v>
                </c:pt>
                <c:pt idx="495">
                  <c:v>-101.5138281744119</c:v>
                </c:pt>
                <c:pt idx="496">
                  <c:v>-102.00982406081086</c:v>
                </c:pt>
                <c:pt idx="497">
                  <c:v>-102.51036447884469</c:v>
                </c:pt>
                <c:pt idx="498">
                  <c:v>-103.01556216201652</c:v>
                </c:pt>
                <c:pt idx="499">
                  <c:v>-103.52552567104435</c:v>
                </c:pt>
                <c:pt idx="500">
                  <c:v>-104.04035902363435</c:v>
                </c:pt>
                <c:pt idx="501">
                  <c:v>-104.56016131642106</c:v>
                </c:pt>
                <c:pt idx="502">
                  <c:v>-105.08502633959093</c:v>
                </c:pt>
                <c:pt idx="503">
                  <c:v>-105.61504218482666</c:v>
                </c:pt>
                <c:pt idx="504">
                  <c:v>-106.1502908473425</c:v>
                </c:pt>
                <c:pt idx="505">
                  <c:v>-106.69084782292572</c:v>
                </c:pt>
                <c:pt idx="506">
                  <c:v>-107.23678170104658</c:v>
                </c:pt>
                <c:pt idx="507">
                  <c:v>-107.7881537552539</c:v>
                </c:pt>
                <c:pt idx="508">
                  <c:v>-108.34501753223994</c:v>
                </c:pt>
                <c:pt idx="509">
                  <c:v>-108.90741844112173</c:v>
                </c:pt>
                <c:pt idx="510">
                  <c:v>-109.47539334465499</c:v>
                </c:pt>
                <c:pt idx="511">
                  <c:v>-110.04897015427028</c:v>
                </c:pt>
                <c:pt idx="512">
                  <c:v>-110.62816743099</c:v>
                </c:pt>
                <c:pt idx="513">
                  <c:v>-111.21299399444766</c:v>
                </c:pt>
                <c:pt idx="514">
                  <c:v>-111.80344854239904</c:v>
                </c:pt>
                <c:pt idx="515">
                  <c:v>-112.39951928325755</c:v>
                </c:pt>
                <c:pt idx="516">
                  <c:v>-113.00118358433897</c:v>
                </c:pt>
                <c:pt idx="517">
                  <c:v>-113.60840763861553</c:v>
                </c:pt>
                <c:pt idx="518">
                  <c:v>-114.22114615289445</c:v>
                </c:pt>
                <c:pt idx="519">
                  <c:v>-114.83934206042741</c:v>
                </c:pt>
                <c:pt idx="520">
                  <c:v>-115.46292626101074</c:v>
                </c:pt>
                <c:pt idx="521">
                  <c:v>-116.09181739168153</c:v>
                </c:pt>
                <c:pt idx="522">
                  <c:v>-116.72592163111639</c:v>
                </c:pt>
                <c:pt idx="523">
                  <c:v>-117.36513254080762</c:v>
                </c:pt>
                <c:pt idx="524">
                  <c:v>-118.00933094603195</c:v>
                </c:pt>
                <c:pt idx="525">
                  <c:v>-118.65838485951693</c:v>
                </c:pt>
                <c:pt idx="526">
                  <c:v>-119.31214945056672</c:v>
                </c:pt>
                <c:pt idx="527">
                  <c:v>-119.97046706221855</c:v>
                </c:pt>
                <c:pt idx="528">
                  <c:v>-120.63316727877074</c:v>
                </c:pt>
                <c:pt idx="529">
                  <c:v>-121.30006704575085</c:v>
                </c:pt>
                <c:pt idx="530">
                  <c:v>-121.97097084406218</c:v>
                </c:pt>
                <c:pt idx="531">
                  <c:v>-122.64567091970648</c:v>
                </c:pt>
                <c:pt idx="532">
                  <c:v>-123.32394757005994</c:v>
                </c:pt>
                <c:pt idx="533">
                  <c:v>-124.00556948727109</c:v>
                </c:pt>
                <c:pt idx="534">
                  <c:v>-124.69029415885507</c:v>
                </c:pt>
                <c:pt idx="535">
                  <c:v>-125.37786832509762</c:v>
                </c:pt>
                <c:pt idx="536">
                  <c:v>-126.06802849233947</c:v>
                </c:pt>
                <c:pt idx="537">
                  <c:v>-126.76050150071778</c:v>
                </c:pt>
                <c:pt idx="538">
                  <c:v>-127.45500514438277</c:v>
                </c:pt>
                <c:pt idx="539">
                  <c:v>-128.15124884169501</c:v>
                </c:pt>
                <c:pt idx="540">
                  <c:v>-128.84893435237953</c:v>
                </c:pt>
                <c:pt idx="541">
                  <c:v>-129.54775653811873</c:v>
                </c:pt>
              </c:numCache>
            </c:numRef>
          </c:yVal>
          <c:smooth val="1"/>
          <c:extLst>
            <c:ext xmlns:c16="http://schemas.microsoft.com/office/drawing/2014/chart" uri="{C3380CC4-5D6E-409C-BE32-E72D297353CC}">
              <c16:uniqueId val="{0000000B-F356-4665-892C-BE6CAB898151}"/>
            </c:ext>
          </c:extLst>
        </c:ser>
        <c:dLbls>
          <c:showLegendKey val="0"/>
          <c:showVal val="0"/>
          <c:showCatName val="0"/>
          <c:showSerName val="0"/>
          <c:showPercent val="0"/>
          <c:showBubbleSize val="0"/>
        </c:dLbls>
        <c:axId val="589267712"/>
        <c:axId val="589261440"/>
      </c:scatterChart>
      <c:valAx>
        <c:axId val="589245056"/>
        <c:scaling>
          <c:logBase val="10"/>
          <c:orientation val="minMax"/>
          <c:max val="2000000"/>
          <c:min val="100"/>
        </c:scaling>
        <c:delete val="0"/>
        <c:axPos val="b"/>
        <c:minorGridlines/>
        <c:title>
          <c:tx>
            <c:rich>
              <a:bodyPr/>
              <a:lstStyle/>
              <a:p>
                <a:pPr>
                  <a:defRPr/>
                </a:pPr>
                <a:r>
                  <a:rPr lang="en-US"/>
                  <a:t>Frequency</a:t>
                </a:r>
                <a:r>
                  <a:rPr lang="en-US" baseline="0"/>
                  <a:t> (Hz)</a:t>
                </a:r>
                <a:endParaRPr lang="en-US"/>
              </a:p>
            </c:rich>
          </c:tx>
          <c:overlay val="0"/>
        </c:title>
        <c:numFmt formatCode="0" sourceLinked="0"/>
        <c:majorTickMark val="out"/>
        <c:minorTickMark val="none"/>
        <c:tickLblPos val="low"/>
        <c:txPr>
          <a:bodyPr/>
          <a:lstStyle/>
          <a:p>
            <a:pPr>
              <a:defRPr b="1"/>
            </a:pPr>
            <a:endParaRPr lang="en-US"/>
          </a:p>
        </c:txPr>
        <c:crossAx val="589259520"/>
        <c:crosses val="autoZero"/>
        <c:crossBetween val="midCat"/>
      </c:valAx>
      <c:valAx>
        <c:axId val="589259520"/>
        <c:scaling>
          <c:orientation val="minMax"/>
          <c:max val="40"/>
          <c:min val="-40"/>
        </c:scaling>
        <c:delete val="0"/>
        <c:axPos val="l"/>
        <c:majorGridlines/>
        <c:minorGridlines/>
        <c:title>
          <c:tx>
            <c:rich>
              <a:bodyPr rot="-5400000" vert="horz"/>
              <a:lstStyle/>
              <a:p>
                <a:pPr>
                  <a:defRPr/>
                </a:pPr>
                <a:r>
                  <a:rPr lang="en-US">
                    <a:solidFill>
                      <a:srgbClr val="FF0000"/>
                    </a:solidFill>
                  </a:rPr>
                  <a:t>Gain</a:t>
                </a:r>
                <a:r>
                  <a:rPr lang="en-US" baseline="0">
                    <a:solidFill>
                      <a:srgbClr val="FF0000"/>
                    </a:solidFill>
                  </a:rPr>
                  <a:t> (dB)</a:t>
                </a:r>
                <a:endParaRPr lang="en-US">
                  <a:solidFill>
                    <a:srgbClr val="FF0000"/>
                  </a:solidFill>
                </a:endParaRPr>
              </a:p>
            </c:rich>
          </c:tx>
          <c:overlay val="0"/>
        </c:title>
        <c:numFmt formatCode="General" sourceLinked="0"/>
        <c:majorTickMark val="out"/>
        <c:minorTickMark val="none"/>
        <c:tickLblPos val="nextTo"/>
        <c:txPr>
          <a:bodyPr/>
          <a:lstStyle/>
          <a:p>
            <a:pPr>
              <a:defRPr b="1">
                <a:solidFill>
                  <a:srgbClr val="FF0000"/>
                </a:solidFill>
              </a:defRPr>
            </a:pPr>
            <a:endParaRPr lang="en-US"/>
          </a:p>
        </c:txPr>
        <c:crossAx val="589245056"/>
        <c:crosses val="autoZero"/>
        <c:crossBetween val="midCat"/>
        <c:majorUnit val="20"/>
        <c:minorUnit val="10"/>
      </c:valAx>
      <c:valAx>
        <c:axId val="589261440"/>
        <c:scaling>
          <c:orientation val="minMax"/>
          <c:max val="180"/>
          <c:min val="-180"/>
        </c:scaling>
        <c:delete val="0"/>
        <c:axPos val="r"/>
        <c:title>
          <c:tx>
            <c:rich>
              <a:bodyPr rot="-5400000" vert="horz"/>
              <a:lstStyle/>
              <a:p>
                <a:pPr>
                  <a:defRPr/>
                </a:pPr>
                <a:r>
                  <a:rPr lang="en-US"/>
                  <a:t>Phase (deg)</a:t>
                </a:r>
              </a:p>
            </c:rich>
          </c:tx>
          <c:overlay val="0"/>
        </c:title>
        <c:numFmt formatCode="General" sourceLinked="1"/>
        <c:majorTickMark val="out"/>
        <c:minorTickMark val="none"/>
        <c:tickLblPos val="nextTo"/>
        <c:txPr>
          <a:bodyPr/>
          <a:lstStyle/>
          <a:p>
            <a:pPr>
              <a:defRPr b="1">
                <a:solidFill>
                  <a:schemeClr val="tx1">
                    <a:lumMod val="95000"/>
                    <a:lumOff val="5000"/>
                  </a:schemeClr>
                </a:solidFill>
              </a:defRPr>
            </a:pPr>
            <a:endParaRPr lang="en-US"/>
          </a:p>
        </c:txPr>
        <c:crossAx val="589267712"/>
        <c:crosses val="max"/>
        <c:crossBetween val="midCat"/>
        <c:majorUnit val="90"/>
        <c:minorUnit val="45"/>
      </c:valAx>
      <c:valAx>
        <c:axId val="589267712"/>
        <c:scaling>
          <c:logBase val="10"/>
          <c:orientation val="minMax"/>
        </c:scaling>
        <c:delete val="1"/>
        <c:axPos val="b"/>
        <c:numFmt formatCode="0.00" sourceLinked="1"/>
        <c:majorTickMark val="out"/>
        <c:minorTickMark val="none"/>
        <c:tickLblPos val="nextTo"/>
        <c:crossAx val="589261440"/>
        <c:crosses val="autoZero"/>
        <c:crossBetween val="midCat"/>
      </c:valAx>
    </c:plotArea>
    <c:legend>
      <c:legendPos val="r"/>
      <c:legendEntry>
        <c:idx val="1"/>
        <c:delete val="1"/>
      </c:legendEntry>
      <c:legendEntry>
        <c:idx val="2"/>
        <c:delete val="1"/>
      </c:legendEntry>
      <c:legendEntry>
        <c:idx val="3"/>
        <c:delete val="1"/>
      </c:legendEntry>
      <c:legendEntry>
        <c:idx val="4"/>
        <c:delete val="1"/>
      </c:legendEntry>
      <c:legendEntry>
        <c:idx val="5"/>
        <c:delete val="1"/>
      </c:legendEntry>
      <c:layout>
        <c:manualLayout>
          <c:xMode val="edge"/>
          <c:yMode val="edge"/>
          <c:x val="0.61392536510371165"/>
          <c:y val="7.0381012799940294E-3"/>
          <c:w val="0.28497500584606611"/>
          <c:h val="7.9643865606846526E-2"/>
        </c:manualLayout>
      </c:layout>
      <c:overlay val="1"/>
    </c:legend>
    <c:plotVisOnly val="1"/>
    <c:dispBlanksAs val="gap"/>
    <c:showDLblsOverMax val="0"/>
  </c:chart>
  <c:spPr>
    <a:ln>
      <a:noFill/>
    </a:ln>
  </c:sp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600"/>
            </a:pPr>
            <a:r>
              <a:rPr lang="en-US" sz="1600" b="1" i="0" baseline="0">
                <a:effectLst/>
              </a:rPr>
              <a:t>Isolated Loop Response</a:t>
            </a:r>
            <a:endParaRPr lang="en-US" sz="1600">
              <a:effectLst/>
            </a:endParaRPr>
          </a:p>
        </c:rich>
      </c:tx>
      <c:layout>
        <c:manualLayout>
          <c:xMode val="edge"/>
          <c:yMode val="edge"/>
          <c:x val="9.4354157174953393E-2"/>
          <c:y val="3.9916010498687662E-3"/>
        </c:manualLayout>
      </c:layout>
      <c:overlay val="0"/>
    </c:title>
    <c:autoTitleDeleted val="0"/>
    <c:plotArea>
      <c:layout>
        <c:manualLayout>
          <c:layoutTarget val="inner"/>
          <c:xMode val="edge"/>
          <c:yMode val="edge"/>
          <c:x val="8.7413438847232044E-2"/>
          <c:y val="8.915804101931861E-2"/>
          <c:w val="0.80965876742891785"/>
          <c:h val="0.76159168715027026"/>
        </c:manualLayout>
      </c:layout>
      <c:scatterChart>
        <c:scatterStyle val="smoothMarker"/>
        <c:varyColors val="0"/>
        <c:ser>
          <c:idx val="0"/>
          <c:order val="0"/>
          <c:tx>
            <c:v>Gain (dB)</c:v>
          </c:tx>
          <c:spPr>
            <a:ln w="28575">
              <a:solidFill>
                <a:srgbClr val="FF0000"/>
              </a:solidFill>
            </a:ln>
          </c:spPr>
          <c:marker>
            <c:symbol val="none"/>
          </c:marker>
          <c:xVal>
            <c:numRef>
              <c:f>CCM_Loop_Modeling_Isolated!$O$19:$O$560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CCM_Loop_Modeling_Isolated!$AW$19:$AW$560</c:f>
              <c:numCache>
                <c:formatCode>0.000</c:formatCode>
                <c:ptCount val="542"/>
                <c:pt idx="0">
                  <c:v>66.967289416228894</c:v>
                </c:pt>
                <c:pt idx="1">
                  <c:v>66.615038278340862</c:v>
                </c:pt>
                <c:pt idx="2">
                  <c:v>66.263345241982876</c:v>
                </c:pt>
                <c:pt idx="3">
                  <c:v>65.912272128829684</c:v>
                </c:pt>
                <c:pt idx="4">
                  <c:v>65.561880186106677</c:v>
                </c:pt>
                <c:pt idx="5">
                  <c:v>65.212230024446654</c:v>
                </c:pt>
                <c:pt idx="6">
                  <c:v>64.863381551828894</c:v>
                </c:pt>
                <c:pt idx="7">
                  <c:v>64.515393903476181</c:v>
                </c:pt>
                <c:pt idx="8">
                  <c:v>64.168325367635234</c:v>
                </c:pt>
                <c:pt idx="9">
                  <c:v>63.822233307218319</c:v>
                </c:pt>
                <c:pt idx="10">
                  <c:v>63.477174077338326</c:v>
                </c:pt>
                <c:pt idx="11">
                  <c:v>63.133202938826699</c:v>
                </c:pt>
                <c:pt idx="12">
                  <c:v>62.790373967884214</c:v>
                </c:pt>
                <c:pt idx="13">
                  <c:v>62.448739962072722</c:v>
                </c:pt>
                <c:pt idx="14">
                  <c:v>62.108352342918295</c:v>
                </c:pt>
                <c:pt idx="15">
                  <c:v>61.76926105545698</c:v>
                </c:pt>
                <c:pt idx="16">
                  <c:v>61.431514465113828</c:v>
                </c:pt>
                <c:pt idx="17">
                  <c:v>61.095159252363871</c:v>
                </c:pt>
                <c:pt idx="18">
                  <c:v>60.760240305680611</c:v>
                </c:pt>
                <c:pt idx="19">
                  <c:v>60.426800613328993</c:v>
                </c:pt>
                <c:pt idx="20">
                  <c:v>60.094881154607876</c:v>
                </c:pt>
                <c:pt idx="21">
                  <c:v>59.764520791190009</c:v>
                </c:pt>
                <c:pt idx="22">
                  <c:v>59.435756159245557</c:v>
                </c:pt>
                <c:pt idx="23">
                  <c:v>59.108621563060595</c:v>
                </c:pt>
                <c:pt idx="24">
                  <c:v>58.783148870892106</c:v>
                </c:pt>
                <c:pt idx="25">
                  <c:v>58.459367413804351</c:v>
                </c:pt>
                <c:pt idx="26">
                  <c:v>58.137303888247878</c:v>
                </c:pt>
                <c:pt idx="27">
                  <c:v>57.816982263128182</c:v>
                </c:pt>
                <c:pt idx="28">
                  <c:v>57.498423692103344</c:v>
                </c:pt>
                <c:pt idx="29">
                  <c:v>57.181646431823864</c:v>
                </c:pt>
                <c:pt idx="30">
                  <c:v>56.866665766796416</c:v>
                </c:pt>
                <c:pt idx="31">
                  <c:v>56.553493941508194</c:v>
                </c:pt>
                <c:pt idx="32">
                  <c:v>56.242140100401656</c:v>
                </c:pt>
                <c:pt idx="33">
                  <c:v>55.932610236223752</c:v>
                </c:pt>
                <c:pt idx="34">
                  <c:v>55.624907147215019</c:v>
                </c:pt>
                <c:pt idx="35">
                  <c:v>55.319030403522618</c:v>
                </c:pt>
                <c:pt idx="36">
                  <c:v>55.014976323148623</c:v>
                </c:pt>
                <c:pt idx="37">
                  <c:v>54.712737957659876</c:v>
                </c:pt>
                <c:pt idx="38">
                  <c:v>54.412305087801094</c:v>
                </c:pt>
                <c:pt idx="39">
                  <c:v>54.11366422906692</c:v>
                </c:pt>
                <c:pt idx="40">
                  <c:v>53.81679864720126</c:v>
                </c:pt>
                <c:pt idx="41">
                  <c:v>53.52168838350876</c:v>
                </c:pt>
                <c:pt idx="42">
                  <c:v>53.228310289781938</c:v>
                </c:pt>
                <c:pt idx="43">
                  <c:v>52.936638072568158</c:v>
                </c:pt>
                <c:pt idx="44">
                  <c:v>52.64664234643206</c:v>
                </c:pt>
                <c:pt idx="45">
                  <c:v>52.358290695801522</c:v>
                </c:pt>
                <c:pt idx="46">
                  <c:v>52.07154774492907</c:v>
                </c:pt>
                <c:pt idx="47">
                  <c:v>51.786375235451949</c:v>
                </c:pt>
                <c:pt idx="48">
                  <c:v>51.502732110994131</c:v>
                </c:pt>
                <c:pt idx="49">
                  <c:v>51.220574608222471</c:v>
                </c:pt>
                <c:pt idx="50">
                  <c:v>50.939856353749278</c:v>
                </c:pt>
                <c:pt idx="51">
                  <c:v>50.660528466263123</c:v>
                </c:pt>
                <c:pt idx="52">
                  <c:v>50.382539663265646</c:v>
                </c:pt>
                <c:pt idx="53">
                  <c:v>50.105836371803136</c:v>
                </c:pt>
                <c:pt idx="54">
                  <c:v>49.830362842595406</c:v>
                </c:pt>
                <c:pt idx="55">
                  <c:v>49.556061266988245</c:v>
                </c:pt>
                <c:pt idx="56">
                  <c:v>49.282871896190926</c:v>
                </c:pt>
                <c:pt idx="57">
                  <c:v>49.0107331622917</c:v>
                </c:pt>
                <c:pt idx="58">
                  <c:v>48.739581800593179</c:v>
                </c:pt>
                <c:pt idx="59">
                  <c:v>48.469352972852263</c:v>
                </c:pt>
                <c:pt idx="60">
                  <c:v>48.19998039106239</c:v>
                </c:pt>
                <c:pt idx="61">
                  <c:v>47.931396441466703</c:v>
                </c:pt>
                <c:pt idx="62">
                  <c:v>47.663532308545165</c:v>
                </c:pt>
                <c:pt idx="63">
                  <c:v>47.39631809877217</c:v>
                </c:pt>
                <c:pt idx="64">
                  <c:v>47.129682963992494</c:v>
                </c:pt>
                <c:pt idx="65">
                  <c:v>46.863555224317295</c:v>
                </c:pt>
                <c:pt idx="66">
                  <c:v>46.59786249048426</c:v>
                </c:pt>
                <c:pt idx="67">
                  <c:v>46.332531785676011</c:v>
                </c:pt>
                <c:pt idx="68">
                  <c:v>46.067489666825068</c:v>
                </c:pt>
                <c:pt idx="69">
                  <c:v>45.802662345473166</c:v>
                </c:pt>
                <c:pt idx="70">
                  <c:v>45.537975808276499</c:v>
                </c:pt>
                <c:pt idx="71">
                  <c:v>45.27335593727652</c:v>
                </c:pt>
                <c:pt idx="72">
                  <c:v>45.008728630067949</c:v>
                </c:pt>
                <c:pt idx="73">
                  <c:v>44.744019920008483</c:v>
                </c:pt>
                <c:pt idx="74">
                  <c:v>44.479156096615768</c:v>
                </c:pt>
                <c:pt idx="75">
                  <c:v>44.214063826294264</c:v>
                </c:pt>
                <c:pt idx="76">
                  <c:v>43.948670273522893</c:v>
                </c:pt>
                <c:pt idx="77">
                  <c:v>43.682903222618847</c:v>
                </c:pt>
                <c:pt idx="78">
                  <c:v>43.416691200165936</c:v>
                </c:pt>
                <c:pt idx="79">
                  <c:v>43.149963598169535</c:v>
                </c:pt>
                <c:pt idx="80">
                  <c:v>42.882650797962036</c:v>
                </c:pt>
                <c:pt idx="81">
                  <c:v>42.614684294843272</c:v>
                </c:pt>
                <c:pt idx="82">
                  <c:v>42.345996823396547</c:v>
                </c:pt>
                <c:pt idx="83">
                  <c:v>42.076522483369978</c:v>
                </c:pt>
                <c:pt idx="84">
                  <c:v>41.806196865964125</c:v>
                </c:pt>
                <c:pt idx="85">
                  <c:v>41.53495718031337</c:v>
                </c:pt>
                <c:pt idx="86">
                  <c:v>41.262742379891357</c:v>
                </c:pt>
                <c:pt idx="87">
                  <c:v>40.989493288522489</c:v>
                </c:pt>
                <c:pt idx="88">
                  <c:v>40.715152725622737</c:v>
                </c:pt>
                <c:pt idx="89">
                  <c:v>40.439665630246616</c:v>
                </c:pt>
                <c:pt idx="90">
                  <c:v>40.162979183467478</c:v>
                </c:pt>
                <c:pt idx="91">
                  <c:v>39.885042928575494</c:v>
                </c:pt>
                <c:pt idx="92">
                  <c:v>39.605808888541603</c:v>
                </c:pt>
                <c:pt idx="93">
                  <c:v>39.325231680160954</c:v>
                </c:pt>
                <c:pt idx="94">
                  <c:v>39.043268624269317</c:v>
                </c:pt>
                <c:pt idx="95">
                  <c:v>38.759879851405316</c:v>
                </c:pt>
                <c:pt idx="96">
                  <c:v>38.475028402286782</c:v>
                </c:pt>
                <c:pt idx="97">
                  <c:v>38.188680322469502</c:v>
                </c:pt>
                <c:pt idx="98">
                  <c:v>37.900804750566188</c:v>
                </c:pt>
                <c:pt idx="99">
                  <c:v>37.611373999426959</c:v>
                </c:pt>
                <c:pt idx="100">
                  <c:v>37.320363629708027</c:v>
                </c:pt>
                <c:pt idx="101">
                  <c:v>37.027752515297891</c:v>
                </c:pt>
                <c:pt idx="102">
                  <c:v>36.733522900116</c:v>
                </c:pt>
                <c:pt idx="103">
                  <c:v>36.437660445854789</c:v>
                </c:pt>
                <c:pt idx="104">
                  <c:v>36.140154270300727</c:v>
                </c:pt>
                <c:pt idx="105">
                  <c:v>35.840996975937742</c:v>
                </c:pt>
                <c:pt idx="106">
                  <c:v>35.540184668612447</c:v>
                </c:pt>
                <c:pt idx="107">
                  <c:v>35.237716966118889</c:v>
                </c:pt>
                <c:pt idx="108">
                  <c:v>34.933596996643075</c:v>
                </c:pt>
                <c:pt idx="109">
                  <c:v>34.627831387087966</c:v>
                </c:pt>
                <c:pt idx="110">
                  <c:v>34.320430241384862</c:v>
                </c:pt>
                <c:pt idx="111">
                  <c:v>34.011407108976719</c:v>
                </c:pt>
                <c:pt idx="112">
                  <c:v>33.7007789437356</c:v>
                </c:pt>
                <c:pt idx="113">
                  <c:v>33.388566053652625</c:v>
                </c:pt>
                <c:pt idx="114">
                  <c:v>33.074792041704463</c:v>
                </c:pt>
                <c:pt idx="115">
                  <c:v>32.759483738362292</c:v>
                </c:pt>
                <c:pt idx="116">
                  <c:v>32.4426711262631</c:v>
                </c:pt>
                <c:pt idx="117">
                  <c:v>32.124387257607744</c:v>
                </c:pt>
                <c:pt idx="118">
                  <c:v>31.804668164887204</c:v>
                </c:pt>
                <c:pt idx="119">
                  <c:v>31.483552765564198</c:v>
                </c:pt>
                <c:pt idx="120">
                  <c:v>31.161082761355527</c:v>
                </c:pt>
                <c:pt idx="121">
                  <c:v>30.837302532767886</c:v>
                </c:pt>
                <c:pt idx="122">
                  <c:v>30.512259029538193</c:v>
                </c:pt>
                <c:pt idx="123">
                  <c:v>30.18600165761784</c:v>
                </c:pt>
                <c:pt idx="124">
                  <c:v>29.858582163323462</c:v>
                </c:pt>
                <c:pt idx="125">
                  <c:v>29.530054515245816</c:v>
                </c:pt>
                <c:pt idx="126">
                  <c:v>29.200474784478022</c:v>
                </c:pt>
                <c:pt idx="127">
                  <c:v>28.869901023682058</c:v>
                </c:pt>
                <c:pt idx="128">
                  <c:v>28.538393145465978</c:v>
                </c:pt>
                <c:pt idx="129">
                  <c:v>28.206012800494666</c:v>
                </c:pt>
                <c:pt idx="130">
                  <c:v>27.872823255707289</c:v>
                </c:pt>
                <c:pt idx="131">
                  <c:v>27.538889272952002</c:v>
                </c:pt>
                <c:pt idx="132">
                  <c:v>27.204276988299426</c:v>
                </c:pt>
                <c:pt idx="133">
                  <c:v>26.869053792234794</c:v>
                </c:pt>
                <c:pt idx="134">
                  <c:v>26.53328821087506</c:v>
                </c:pt>
                <c:pt idx="135">
                  <c:v>26.197049788302792</c:v>
                </c:pt>
                <c:pt idx="136">
                  <c:v>25.860408970058089</c:v>
                </c:pt>
                <c:pt idx="137">
                  <c:v>25.523436987779764</c:v>
                </c:pt>
                <c:pt idx="138">
                  <c:v>25.186205744947692</c:v>
                </c:pt>
                <c:pt idx="139">
                  <c:v>24.848787703633484</c:v>
                </c:pt>
                <c:pt idx="140">
                  <c:v>24.511255772139343</c:v>
                </c:pt>
                <c:pt idx="141">
                  <c:v>24.173683193373016</c:v>
                </c:pt>
                <c:pt idx="142">
                  <c:v>23.836143433786749</c:v>
                </c:pt>
                <c:pt idx="143">
                  <c:v>23.498710072695754</c:v>
                </c:pt>
                <c:pt idx="144">
                  <c:v>23.161456691777712</c:v>
                </c:pt>
                <c:pt idx="145">
                  <c:v>22.824456764560473</c:v>
                </c:pt>
                <c:pt idx="146">
                  <c:v>22.487783545705483</c:v>
                </c:pt>
                <c:pt idx="147">
                  <c:v>22.151509959908395</c:v>
                </c:pt>
                <c:pt idx="148">
                  <c:v>21.815708490258597</c:v>
                </c:pt>
                <c:pt idx="149">
                  <c:v>21.480451065921251</c:v>
                </c:pt>
                <c:pt idx="150">
                  <c:v>21.145808949039832</c:v>
                </c:pt>
                <c:pt idx="151">
                  <c:v>20.811852620791921</c:v>
                </c:pt>
                <c:pt idx="152">
                  <c:v>20.478651666571729</c:v>
                </c:pt>
                <c:pt idx="153">
                  <c:v>20.146274660323883</c:v>
                </c:pt>
                <c:pt idx="154">
                  <c:v>19.814789048093353</c:v>
                </c:pt>
                <c:pt idx="155">
                  <c:v>19.484261030920788</c:v>
                </c:pt>
                <c:pt idx="156">
                  <c:v>19.154755447256296</c:v>
                </c:pt>
                <c:pt idx="157">
                  <c:v>18.826335655128734</c:v>
                </c:pt>
                <c:pt idx="158">
                  <c:v>18.499063414357618</c:v>
                </c:pt>
                <c:pt idx="159">
                  <c:v>18.172998769155591</c:v>
                </c:pt>
                <c:pt idx="160">
                  <c:v>17.848199931517719</c:v>
                </c:pt>
                <c:pt idx="161">
                  <c:v>17.524723165846421</c:v>
                </c:pt>
                <c:pt idx="162">
                  <c:v>17.202622675309453</c:v>
                </c:pt>
                <c:pt idx="163">
                  <c:v>16.881950490464991</c:v>
                </c:pt>
                <c:pt idx="164">
                  <c:v>16.562756360727331</c:v>
                </c:pt>
                <c:pt idx="165">
                  <c:v>16.245087649273859</c:v>
                </c:pt>
                <c:pt idx="166">
                  <c:v>15.928989232014104</c:v>
                </c:pt>
                <c:pt idx="167">
                  <c:v>15.61450340125543</c:v>
                </c:pt>
                <c:pt idx="168">
                  <c:v>15.301669774699638</c:v>
                </c:pt>
                <c:pt idx="169">
                  <c:v>14.990525210406698</c:v>
                </c:pt>
                <c:pt idx="170">
                  <c:v>14.681103728333298</c:v>
                </c:pt>
                <c:pt idx="171">
                  <c:v>14.373436439041672</c:v>
                </c:pt>
                <c:pt idx="172">
                  <c:v>14.067551480128531</c:v>
                </c:pt>
                <c:pt idx="173">
                  <c:v>13.763473960884568</c:v>
                </c:pt>
                <c:pt idx="174">
                  <c:v>13.461225915639153</c:v>
                </c:pt>
                <c:pt idx="175">
                  <c:v>13.160826266185211</c:v>
                </c:pt>
                <c:pt idx="176">
                  <c:v>12.862290793606178</c:v>
                </c:pt>
                <c:pt idx="177">
                  <c:v>12.565632119756307</c:v>
                </c:pt>
                <c:pt idx="178">
                  <c:v>12.270859698561523</c:v>
                </c:pt>
                <c:pt idx="179">
                  <c:v>11.977979817225982</c:v>
                </c:pt>
                <c:pt idx="180">
                  <c:v>11.686995607340966</c:v>
                </c:pt>
                <c:pt idx="181">
                  <c:v>11.397907065806145</c:v>
                </c:pt>
                <c:pt idx="182">
                  <c:v>11.110711085385976</c:v>
                </c:pt>
                <c:pt idx="183">
                  <c:v>10.825401494637848</c:v>
                </c:pt>
                <c:pt idx="184">
                  <c:v>10.541969106867333</c:v>
                </c:pt>
                <c:pt idx="185">
                  <c:v>10.260401777686752</c:v>
                </c:pt>
                <c:pt idx="186">
                  <c:v>9.9806844706822169</c:v>
                </c:pt>
                <c:pt idx="187">
                  <c:v>9.7027993306313647</c:v>
                </c:pt>
                <c:pt idx="188">
                  <c:v>9.4267257636510813</c:v>
                </c:pt>
                <c:pt idx="189">
                  <c:v>9.152440523612217</c:v>
                </c:pt>
                <c:pt idx="190">
                  <c:v>8.8799178041131999</c:v>
                </c:pt>
                <c:pt idx="191">
                  <c:v>8.6091293352757337</c:v>
                </c:pt>
                <c:pt idx="192">
                  <c:v>8.3400444846071426</c:v>
                </c:pt>
                <c:pt idx="193">
                  <c:v>8.0726303611575219</c:v>
                </c:pt>
                <c:pt idx="194">
                  <c:v>7.8068519222019432</c:v>
                </c:pt>
                <c:pt idx="195">
                  <c:v>7.5426720816845059</c:v>
                </c:pt>
                <c:pt idx="196">
                  <c:v>7.2800518196730053</c:v>
                </c:pt>
                <c:pt idx="197">
                  <c:v>7.0189502921023532</c:v>
                </c:pt>
                <c:pt idx="198">
                  <c:v>6.7593249401101971</c:v>
                </c:pt>
                <c:pt idx="199">
                  <c:v>6.5011315983090556</c:v>
                </c:pt>
                <c:pt idx="200">
                  <c:v>6.2443246013806668</c:v>
                </c:pt>
                <c:pt idx="201">
                  <c:v>5.9888568884261071</c:v>
                </c:pt>
                <c:pt idx="202">
                  <c:v>5.7346801045574383</c:v>
                </c:pt>
                <c:pt idx="203">
                  <c:v>5.4817446992697896</c:v>
                </c:pt>
                <c:pt idx="204">
                  <c:v>5.230000021192307</c:v>
                </c:pt>
                <c:pt idx="205">
                  <c:v>4.9793944088700712</c:v>
                </c:pt>
                <c:pt idx="206">
                  <c:v>4.7298752772924466</c:v>
                </c:pt>
                <c:pt idx="207">
                  <c:v>4.4813891999385014</c:v>
                </c:pt>
                <c:pt idx="208">
                  <c:v>4.2338819861689085</c:v>
                </c:pt>
                <c:pt idx="209">
                  <c:v>3.9872987538501095</c:v>
                </c:pt>
                <c:pt idx="210">
                  <c:v>3.741583997151039</c:v>
                </c:pt>
                <c:pt idx="211">
                  <c:v>3.4966816495053221</c:v>
                </c:pt>
                <c:pt idx="212">
                  <c:v>3.2525351417792754</c:v>
                </c:pt>
                <c:pt idx="213">
                  <c:v>3.009087455737526</c:v>
                </c:pt>
                <c:pt idx="214">
                  <c:v>2.7662811729365648</c:v>
                </c:pt>
                <c:pt idx="215">
                  <c:v>2.5240585192212146</c:v>
                </c:pt>
                <c:pt idx="216">
                  <c:v>2.2823614050340062</c:v>
                </c:pt>
                <c:pt idx="217">
                  <c:v>2.0411314617834297</c:v>
                </c:pt>
                <c:pt idx="218">
                  <c:v>1.8003100745452665</c:v>
                </c:pt>
                <c:pt idx="219">
                  <c:v>1.5598384114020396</c:v>
                </c:pt>
                <c:pt idx="220">
                  <c:v>1.3196574497465241</c:v>
                </c:pt>
                <c:pt idx="221">
                  <c:v>1.0797079998991297</c:v>
                </c:pt>
                <c:pt idx="222">
                  <c:v>0.83993072640564703</c:v>
                </c:pt>
                <c:pt idx="223">
                  <c:v>0.60026616739662741</c:v>
                </c:pt>
                <c:pt idx="224">
                  <c:v>0.360654752403545</c:v>
                </c:pt>
                <c:pt idx="225">
                  <c:v>0.1210368190338218</c:v>
                </c:pt>
                <c:pt idx="226">
                  <c:v>-0.1186473710845294</c:v>
                </c:pt>
                <c:pt idx="227">
                  <c:v>-0.35845761667471754</c:v>
                </c:pt>
                <c:pt idx="228">
                  <c:v>-0.59845376108577619</c:v>
                </c:pt>
                <c:pt idx="229">
                  <c:v>-0.83869567605668494</c:v>
                </c:pt>
                <c:pt idx="230">
                  <c:v>-1.0792432445594839</c:v>
                </c:pt>
                <c:pt idx="231">
                  <c:v>-1.320156342322518</c:v>
                </c:pt>
                <c:pt idx="232">
                  <c:v>-1.5614948176396188</c:v>
                </c:pt>
                <c:pt idx="233">
                  <c:v>-1.8033184690874169</c:v>
                </c:pt>
                <c:pt idx="234">
                  <c:v>-2.0456870207878168</c:v>
                </c:pt>
                <c:pt idx="235">
                  <c:v>-2.2886600948692504</c:v>
                </c:pt>
                <c:pt idx="236">
                  <c:v>-2.5322971808050463</c:v>
                </c:pt>
                <c:pt idx="237">
                  <c:v>-2.7766576013306699</c:v>
                </c:pt>
                <c:pt idx="238">
                  <c:v>-3.0218004746689777</c:v>
                </c:pt>
                <c:pt idx="239">
                  <c:v>-3.2677846728252717</c:v>
                </c:pt>
                <c:pt idx="240">
                  <c:v>-3.5146687757478912</c:v>
                </c:pt>
                <c:pt idx="241">
                  <c:v>-3.7625110211878781</c:v>
                </c:pt>
                <c:pt idx="242">
                  <c:v>-4.0113692501332805</c:v>
                </c:pt>
                <c:pt idx="243">
                  <c:v>-4.2613008477353373</c:v>
                </c:pt>
                <c:pt idx="244">
                  <c:v>-4.5123626796956371</c:v>
                </c:pt>
                <c:pt idx="245">
                  <c:v>-4.7646110241279009</c:v>
                </c:pt>
                <c:pt idx="246">
                  <c:v>-5.0181014989650397</c:v>
                </c:pt>
                <c:pt idx="247">
                  <c:v>-5.2728889850345517</c:v>
                </c:pt>
                <c:pt idx="248">
                  <c:v>-5.5290275449814654</c:v>
                </c:pt>
                <c:pt idx="249">
                  <c:v>-5.7865703382781479</c:v>
                </c:pt>
                <c:pt idx="250">
                  <c:v>-6.045569532615561</c:v>
                </c:pt>
                <c:pt idx="251">
                  <c:v>-6.3060762120303675</c:v>
                </c:pt>
                <c:pt idx="252">
                  <c:v>-6.5681402821816226</c:v>
                </c:pt>
                <c:pt idx="253">
                  <c:v>-6.8318103732428392</c:v>
                </c:pt>
                <c:pt idx="254">
                  <c:v>-7.0971337409328914</c:v>
                </c:pt>
                <c:pt idx="255">
                  <c:v>-7.3641561662590096</c:v>
                </c:pt>
                <c:pt idx="256">
                  <c:v>-7.6329218545897319</c:v>
                </c:pt>
                <c:pt idx="257">
                  <c:v>-7.9034733347207737</c:v>
                </c:pt>
                <c:pt idx="258">
                  <c:v>-8.1758513586296129</c:v>
                </c:pt>
                <c:pt idx="259">
                  <c:v>-8.4500948026446778</c:v>
                </c:pt>
                <c:pt idx="260">
                  <c:v>-8.7262405707786996</c:v>
                </c:pt>
                <c:pt idx="261">
                  <c:v>-9.0043235009859721</c:v>
                </c:pt>
                <c:pt idx="262">
                  <c:v>-9.2843762751109615</c:v>
                </c:pt>
                <c:pt idx="263">
                  <c:v>-9.566429333288557</c:v>
                </c:pt>
                <c:pt idx="264">
                  <c:v>-9.850510793545336</c:v>
                </c:pt>
                <c:pt idx="265">
                  <c:v>-10.136646377324926</c:v>
                </c:pt>
                <c:pt idx="266">
                  <c:v>-10.42485934162718</c:v>
                </c:pt>
                <c:pt idx="267">
                  <c:v>-10.715170418409441</c:v>
                </c:pt>
                <c:pt idx="268">
                  <c:v>-11.007597761845162</c:v>
                </c:pt>
                <c:pt idx="269">
                  <c:v>-11.302156903971596</c:v>
                </c:pt>
                <c:pt idx="270">
                  <c:v>-11.598860719194718</c:v>
                </c:pt>
                <c:pt idx="271">
                  <c:v>-11.897719398039413</c:v>
                </c:pt>
                <c:pt idx="272">
                  <c:v>-12.198740430451767</c:v>
                </c:pt>
                <c:pt idx="273">
                  <c:v>-12.501928598877397</c:v>
                </c:pt>
                <c:pt idx="274">
                  <c:v>-12.807285981245419</c:v>
                </c:pt>
                <c:pt idx="275">
                  <c:v>-13.114811963897473</c:v>
                </c:pt>
                <c:pt idx="276">
                  <c:v>-13.424503264412879</c:v>
                </c:pt>
                <c:pt idx="277">
                  <c:v>-13.736353964180097</c:v>
                </c:pt>
                <c:pt idx="278">
                  <c:v>-14.050355550486419</c:v>
                </c:pt>
                <c:pt idx="279">
                  <c:v>-14.366496967803265</c:v>
                </c:pt>
                <c:pt idx="280">
                  <c:v>-14.684764677868813</c:v>
                </c:pt>
                <c:pt idx="281">
                  <c:v>-15.005142728092549</c:v>
                </c:pt>
                <c:pt idx="282">
                  <c:v>-15.327612827739657</c:v>
                </c:pt>
                <c:pt idx="283">
                  <c:v>-15.652154431292693</c:v>
                </c:pt>
                <c:pt idx="284">
                  <c:v>-15.978744828338369</c:v>
                </c:pt>
                <c:pt idx="285">
                  <c:v>-16.307359239282878</c:v>
                </c:pt>
                <c:pt idx="286">
                  <c:v>-16.637970916169678</c:v>
                </c:pt>
                <c:pt idx="287">
                  <c:v>-16.970551247848238</c:v>
                </c:pt>
                <c:pt idx="288">
                  <c:v>-17.30506986873046</c:v>
                </c:pt>
                <c:pt idx="289">
                  <c:v>-17.641494770367622</c:v>
                </c:pt>
                <c:pt idx="290">
                  <c:v>-17.979792415083317</c:v>
                </c:pt>
                <c:pt idx="291">
                  <c:v>-18.319927850916219</c:v>
                </c:pt>
                <c:pt idx="292">
                  <c:v>-18.661864827141926</c:v>
                </c:pt>
                <c:pt idx="293">
                  <c:v>-19.005565909675134</c:v>
                </c:pt>
                <c:pt idx="294">
                  <c:v>-19.350992595687842</c:v>
                </c:pt>
                <c:pt idx="295">
                  <c:v>-19.698105426817147</c:v>
                </c:pt>
                <c:pt idx="296">
                  <c:v>-20.046864100382656</c:v>
                </c:pt>
                <c:pt idx="297">
                  <c:v>-20.397227578079985</c:v>
                </c:pt>
                <c:pt idx="298">
                  <c:v>-20.749154191669156</c:v>
                </c:pt>
                <c:pt idx="299">
                  <c:v>-21.102601745227197</c:v>
                </c:pt>
                <c:pt idx="300">
                  <c:v>-21.457527613589082</c:v>
                </c:pt>
                <c:pt idx="301">
                  <c:v>-21.81388883665473</c:v>
                </c:pt>
                <c:pt idx="302">
                  <c:v>-22.171642209292102</c:v>
                </c:pt>
                <c:pt idx="303">
                  <c:v>-22.530744366618634</c:v>
                </c:pt>
                <c:pt idx="304">
                  <c:v>-22.891151864494379</c:v>
                </c:pt>
                <c:pt idx="305">
                  <c:v>-23.252821255106912</c:v>
                </c:pt>
                <c:pt idx="306">
                  <c:v>-23.615709157575413</c:v>
                </c:pt>
                <c:pt idx="307">
                  <c:v>-23.979772323540786</c:v>
                </c:pt>
                <c:pt idx="308">
                  <c:v>-24.344967697752701</c:v>
                </c:pt>
                <c:pt idx="309">
                  <c:v>-24.71125247369482</c:v>
                </c:pt>
                <c:pt idx="310">
                  <c:v>-25.078584144327589</c:v>
                </c:pt>
                <c:pt idx="311">
                  <c:v>-25.446920548052944</c:v>
                </c:pt>
                <c:pt idx="312">
                  <c:v>-25.816219910032345</c:v>
                </c:pt>
                <c:pt idx="313">
                  <c:v>-26.186440879012942</c:v>
                </c:pt>
                <c:pt idx="314">
                  <c:v>-26.557542559831084</c:v>
                </c:pt>
                <c:pt idx="315">
                  <c:v>-26.929484541783747</c:v>
                </c:pt>
                <c:pt idx="316">
                  <c:v>-27.302226923064406</c:v>
                </c:pt>
                <c:pt idx="317">
                  <c:v>-27.675730331473439</c:v>
                </c:pt>
                <c:pt idx="318">
                  <c:v>-28.049955941617096</c:v>
                </c:pt>
                <c:pt idx="319">
                  <c:v>-28.424865488813627</c:v>
                </c:pt>
                <c:pt idx="320">
                  <c:v>-28.800421279925988</c:v>
                </c:pt>
                <c:pt idx="321">
                  <c:v>-29.176586201337965</c:v>
                </c:pt>
                <c:pt idx="322">
                  <c:v>-29.553323724290244</c:v>
                </c:pt>
                <c:pt idx="323">
                  <c:v>-29.930597907784673</c:v>
                </c:pt>
                <c:pt idx="324">
                  <c:v>-30.308373399258638</c:v>
                </c:pt>
                <c:pt idx="325">
                  <c:v>-30.686615433223562</c:v>
                </c:pt>
                <c:pt idx="326">
                  <c:v>-31.065289828050638</c:v>
                </c:pt>
                <c:pt idx="327">
                  <c:v>-31.444362981074416</c:v>
                </c:pt>
                <c:pt idx="328">
                  <c:v>-31.823801862175088</c:v>
                </c:pt>
                <c:pt idx="329">
                  <c:v>-32.203574005984009</c:v>
                </c:pt>
                <c:pt idx="330">
                  <c:v>-32.583647502841707</c:v>
                </c:pt>
                <c:pt idx="331">
                  <c:v>-32.963990988627046</c:v>
                </c:pt>
                <c:pt idx="332">
                  <c:v>-33.344573633554624</c:v>
                </c:pt>
                <c:pt idx="333">
                  <c:v>-33.725365130026624</c:v>
                </c:pt>
                <c:pt idx="334">
                  <c:v>-34.10633567960447</c:v>
                </c:pt>
                <c:pt idx="335">
                  <c:v>-34.487455979153189</c:v>
                </c:pt>
                <c:pt idx="336">
                  <c:v>-34.868697206190689</c:v>
                </c:pt>
                <c:pt idx="337">
                  <c:v>-35.250031003465139</c:v>
                </c:pt>
                <c:pt idx="338">
                  <c:v>-35.631429462758575</c:v>
                </c:pt>
                <c:pt idx="339">
                  <c:v>-36.012865107909668</c:v>
                </c:pt>
                <c:pt idx="340">
                  <c:v>-36.394310877027941</c:v>
                </c:pt>
                <c:pt idx="341">
                  <c:v>-36.775740103864514</c:v>
                </c:pt>
                <c:pt idx="342">
                  <c:v>-37.157126498287305</c:v>
                </c:pt>
                <c:pt idx="343">
                  <c:v>-37.538444125805277</c:v>
                </c:pt>
                <c:pt idx="344">
                  <c:v>-37.919667386075773</c:v>
                </c:pt>
                <c:pt idx="345">
                  <c:v>-38.300770990321801</c:v>
                </c:pt>
                <c:pt idx="346">
                  <c:v>-38.681729937589452</c:v>
                </c:pt>
                <c:pt idx="347">
                  <c:v>-39.062519489765954</c:v>
                </c:pt>
                <c:pt idx="348">
                  <c:v>-39.443115145291486</c:v>
                </c:pt>
                <c:pt idx="349">
                  <c:v>-39.82349261149507</c:v>
                </c:pt>
                <c:pt idx="350">
                  <c:v>-40.203627775499143</c:v>
                </c:pt>
                <c:pt idx="351">
                  <c:v>-40.583496673643005</c:v>
                </c:pt>
                <c:pt idx="352">
                  <c:v>-40.963075459398688</c:v>
                </c:pt>
                <c:pt idx="353">
                  <c:v>-41.342340369761445</c:v>
                </c:pt>
                <c:pt idx="354">
                  <c:v>-41.721267690125394</c:v>
                </c:pt>
                <c:pt idx="355">
                  <c:v>-42.099833717674137</c:v>
                </c:pt>
                <c:pt idx="356">
                  <c:v>-42.478014723346121</c:v>
                </c:pt>
                <c:pt idx="357">
                  <c:v>-42.855786912460559</c:v>
                </c:pt>
                <c:pt idx="358">
                  <c:v>-43.233126384123494</c:v>
                </c:pt>
                <c:pt idx="359">
                  <c:v>-43.610009089562681</c:v>
                </c:pt>
                <c:pt idx="360">
                  <c:v>-43.986410789577619</c:v>
                </c:pt>
                <c:pt idx="361">
                  <c:v>-44.362307011321668</c:v>
                </c:pt>
                <c:pt idx="362">
                  <c:v>-44.737673004668743</c:v>
                </c:pt>
                <c:pt idx="363">
                  <c:v>-45.112483698450731</c:v>
                </c:pt>
                <c:pt idx="364">
                  <c:v>-45.486713656882138</c:v>
                </c:pt>
                <c:pt idx="365">
                  <c:v>-45.860337036521003</c:v>
                </c:pt>
                <c:pt idx="366">
                  <c:v>-46.233327544141545</c:v>
                </c:pt>
                <c:pt idx="367">
                  <c:v>-46.60565839591537</c:v>
                </c:pt>
                <c:pt idx="368">
                  <c:v>-46.977302278327677</c:v>
                </c:pt>
                <c:pt idx="369">
                  <c:v>-47.348231311259582</c:v>
                </c:pt>
                <c:pt idx="370">
                  <c:v>-47.718417013690733</c:v>
                </c:pt>
                <c:pt idx="371">
                  <c:v>-48.087830272476481</c:v>
                </c:pt>
                <c:pt idx="372">
                  <c:v>-48.456441314660673</c:v>
                </c:pt>
                <c:pt idx="373">
                  <c:v>-48.824219683777621</c:v>
                </c:pt>
                <c:pt idx="374">
                  <c:v>-49.191134220592964</c:v>
                </c:pt>
                <c:pt idx="375">
                  <c:v>-49.557153048713886</c:v>
                </c:pt>
                <c:pt idx="376">
                  <c:v>-49.922243565486617</c:v>
                </c:pt>
                <c:pt idx="377">
                  <c:v>-50.286372438566133</c:v>
                </c:pt>
                <c:pt idx="378">
                  <c:v>-50.649505608520123</c:v>
                </c:pt>
                <c:pt idx="379">
                  <c:v>-51.011608297794766</c:v>
                </c:pt>
                <c:pt idx="380">
                  <c:v>-51.372645026323909</c:v>
                </c:pt>
                <c:pt idx="381">
                  <c:v>-51.7325796340305</c:v>
                </c:pt>
                <c:pt idx="382">
                  <c:v>-52.091375310416012</c:v>
                </c:pt>
                <c:pt idx="383">
                  <c:v>-52.448994631383783</c:v>
                </c:pt>
                <c:pt idx="384">
                  <c:v>-52.805399603394946</c:v>
                </c:pt>
                <c:pt idx="385">
                  <c:v>-53.160551714992074</c:v>
                </c:pt>
                <c:pt idx="386">
                  <c:v>-53.514411995676724</c:v>
                </c:pt>
                <c:pt idx="387">
                  <c:v>-53.86694108206153</c:v>
                </c:pt>
                <c:pt idx="388">
                  <c:v>-54.218099291160478</c:v>
                </c:pt>
                <c:pt idx="389">
                  <c:v>-54.567846700619597</c:v>
                </c:pt>
                <c:pt idx="390">
                  <c:v>-54.916143235626997</c:v>
                </c:pt>
                <c:pt idx="391">
                  <c:v>-55.262948762182937</c:v>
                </c:pt>
                <c:pt idx="392">
                  <c:v>-55.608223186343928</c:v>
                </c:pt>
                <c:pt idx="393">
                  <c:v>-55.951926559003184</c:v>
                </c:pt>
                <c:pt idx="394">
                  <c:v>-56.294019185702062</c:v>
                </c:pt>
                <c:pt idx="395">
                  <c:v>-56.634461740917395</c:v>
                </c:pt>
                <c:pt idx="396">
                  <c:v>-56.973215386213496</c:v>
                </c:pt>
                <c:pt idx="397">
                  <c:v>-57.31024189159519</c:v>
                </c:pt>
                <c:pt idx="398">
                  <c:v>-57.645503759355464</c:v>
                </c:pt>
                <c:pt idx="399">
                  <c:v>-57.978964349665333</c:v>
                </c:pt>
                <c:pt idx="400">
                  <c:v>-58.310588007118866</c:v>
                </c:pt>
                <c:pt idx="401">
                  <c:v>-58.640340187415291</c:v>
                </c:pt>
                <c:pt idx="402">
                  <c:v>-58.968187583333965</c:v>
                </c:pt>
                <c:pt idx="403">
                  <c:v>-59.294098249142955</c:v>
                </c:pt>
                <c:pt idx="404">
                  <c:v>-59.618041722570595</c:v>
                </c:pt>
                <c:pt idx="405">
                  <c:v>-59.939989143470029</c:v>
                </c:pt>
                <c:pt idx="406">
                  <c:v>-60.259913368314272</c:v>
                </c:pt>
                <c:pt idx="407">
                  <c:v>-60.577789079672485</c:v>
                </c:pt>
                <c:pt idx="408">
                  <c:v>-60.893592889851284</c:v>
                </c:pt>
                <c:pt idx="409">
                  <c:v>-61.207303437913069</c:v>
                </c:pt>
                <c:pt idx="410">
                  <c:v>-61.518901479331646</c:v>
                </c:pt>
                <c:pt idx="411">
                  <c:v>-61.82836996759967</c:v>
                </c:pt>
                <c:pt idx="412">
                  <c:v>-62.135694127161855</c:v>
                </c:pt>
                <c:pt idx="413">
                  <c:v>-62.440861517118968</c:v>
                </c:pt>
                <c:pt idx="414">
                  <c:v>-62.74386208522705</c:v>
                </c:pt>
                <c:pt idx="415">
                  <c:v>-63.044688211795481</c:v>
                </c:pt>
                <c:pt idx="416">
                  <c:v>-63.343334743180904</c:v>
                </c:pt>
                <c:pt idx="417">
                  <c:v>-63.63979901466066</c:v>
                </c:pt>
                <c:pt idx="418">
                  <c:v>-63.934080862572216</c:v>
                </c:pt>
                <c:pt idx="419">
                  <c:v>-64.226182625694179</c:v>
                </c:pt>
                <c:pt idx="420">
                  <c:v>-64.516109135945229</c:v>
                </c:pt>
                <c:pt idx="421">
                  <c:v>-64.80386769857293</c:v>
                </c:pt>
                <c:pt idx="422">
                  <c:v>-65.08946806209147</c:v>
                </c:pt>
                <c:pt idx="423">
                  <c:v>-65.372922378324375</c:v>
                </c:pt>
                <c:pt idx="424">
                  <c:v>-65.65424515297957</c:v>
                </c:pt>
                <c:pt idx="425">
                  <c:v>-65.933453187271013</c:v>
                </c:pt>
                <c:pt idx="426">
                  <c:v>-66.210565511163836</c:v>
                </c:pt>
                <c:pt idx="427">
                  <c:v>-66.485603308879675</c:v>
                </c:pt>
                <c:pt idx="428">
                  <c:v>-66.758589837354947</c:v>
                </c:pt>
                <c:pt idx="429">
                  <c:v>-67.029550338384354</c:v>
                </c:pt>
                <c:pt idx="430">
                  <c:v>-67.298511945210848</c:v>
                </c:pt>
                <c:pt idx="431">
                  <c:v>-67.565503584354033</c:v>
                </c:pt>
                <c:pt idx="432">
                  <c:v>-67.830555873472719</c:v>
                </c:pt>
                <c:pt idx="433">
                  <c:v>-68.093701016068692</c:v>
                </c:pt>
                <c:pt idx="434">
                  <c:v>-68.354972693827619</c:v>
                </c:pt>
                <c:pt idx="435">
                  <c:v>-68.614405957381436</c:v>
                </c:pt>
                <c:pt idx="436">
                  <c:v>-68.872037116255683</c:v>
                </c:pt>
                <c:pt idx="437">
                  <c:v>-69.12790362873335</c:v>
                </c:pt>
                <c:pt idx="438">
                  <c:v>-69.382043992334999</c:v>
                </c:pt>
                <c:pt idx="439">
                  <c:v>-69.634497635571734</c:v>
                </c:pt>
                <c:pt idx="440">
                  <c:v>-69.885304811584547</c:v>
                </c:pt>
                <c:pt idx="441">
                  <c:v>-70.134506494234643</c:v>
                </c:pt>
                <c:pt idx="442">
                  <c:v>-70.38214427715792</c:v>
                </c:pt>
                <c:pt idx="443">
                  <c:v>-70.628260276244504</c:v>
                </c:pt>
                <c:pt idx="444">
                  <c:v>-70.872897035949961</c:v>
                </c:pt>
                <c:pt idx="445">
                  <c:v>-71.116097439792767</c:v>
                </c:pt>
                <c:pt idx="446">
                  <c:v>-71.357904625336573</c:v>
                </c:pt>
                <c:pt idx="447">
                  <c:v>-71.598361903906479</c:v>
                </c:pt>
                <c:pt idx="448">
                  <c:v>-71.837512685235666</c:v>
                </c:pt>
                <c:pt idx="449">
                  <c:v>-72.075400407194024</c:v>
                </c:pt>
                <c:pt idx="450">
                  <c:v>-72.312068470701291</c:v>
                </c:pt>
                <c:pt idx="451">
                  <c:v>-72.547560179885721</c:v>
                </c:pt>
                <c:pt idx="452">
                  <c:v>-72.781918687512842</c:v>
                </c:pt>
                <c:pt idx="453">
                  <c:v>-73.015186945667267</c:v>
                </c:pt>
                <c:pt idx="454">
                  <c:v>-73.247407661642171</c:v>
                </c:pt>
                <c:pt idx="455">
                  <c:v>-73.478623258960383</c:v>
                </c:pt>
                <c:pt idx="456">
                  <c:v>-73.708875843422518</c:v>
                </c:pt>
                <c:pt idx="457">
                  <c:v>-73.938207174060182</c:v>
                </c:pt>
                <c:pt idx="458">
                  <c:v>-74.166658638846783</c:v>
                </c:pt>
                <c:pt idx="459">
                  <c:v>-74.394271235006443</c:v>
                </c:pt>
                <c:pt idx="460">
                  <c:v>-74.621085553745203</c:v>
                </c:pt>
                <c:pt idx="461">
                  <c:v>-74.847141769219533</c:v>
                </c:pt>
                <c:pt idx="462">
                  <c:v>-75.072479631548759</c:v>
                </c:pt>
                <c:pt idx="463">
                  <c:v>-75.29713846366829</c:v>
                </c:pt>
                <c:pt idx="464">
                  <c:v>-75.521157161822117</c:v>
                </c:pt>
                <c:pt idx="465">
                  <c:v>-75.74457419948655</c:v>
                </c:pt>
                <c:pt idx="466">
                  <c:v>-75.967427634516326</c:v>
                </c:pt>
                <c:pt idx="467">
                  <c:v>-76.189755119307449</c:v>
                </c:pt>
                <c:pt idx="468">
                  <c:v>-76.411593913771156</c:v>
                </c:pt>
                <c:pt idx="469">
                  <c:v>-76.632980900914148</c:v>
                </c:pt>
                <c:pt idx="470">
                  <c:v>-76.85395260482791</c:v>
                </c:pt>
                <c:pt idx="471">
                  <c:v>-77.074545210891515</c:v>
                </c:pt>
                <c:pt idx="472">
                  <c:v>-77.294794587992669</c:v>
                </c:pt>
                <c:pt idx="473">
                  <c:v>-77.514736312585597</c:v>
                </c:pt>
                <c:pt idx="474">
                  <c:v>-77.734405694401389</c:v>
                </c:pt>
                <c:pt idx="475">
                  <c:v>-77.953837803631558</c:v>
                </c:pt>
                <c:pt idx="476">
                  <c:v>-78.173067499415097</c:v>
                </c:pt>
                <c:pt idx="477">
                  <c:v>-78.392129459458729</c:v>
                </c:pt>
                <c:pt idx="478">
                  <c:v>-78.611058210625004</c:v>
                </c:pt>
                <c:pt idx="479">
                  <c:v>-78.829888160328437</c:v>
                </c:pt>
                <c:pt idx="480">
                  <c:v>-79.048653628580851</c:v>
                </c:pt>
                <c:pt idx="481">
                  <c:v>-79.26738888053022</c:v>
                </c:pt>
                <c:pt idx="482">
                  <c:v>-79.48612815933906</c:v>
                </c:pt>
                <c:pt idx="483">
                  <c:v>-79.704905719250149</c:v>
                </c:pt>
                <c:pt idx="484">
                  <c:v>-79.923755858687926</c:v>
                </c:pt>
                <c:pt idx="485">
                  <c:v>-80.142712953243901</c:v>
                </c:pt>
                <c:pt idx="486">
                  <c:v>-80.361811488392505</c:v>
                </c:pt>
                <c:pt idx="487">
                  <c:v>-80.581086091786915</c:v>
                </c:pt>
                <c:pt idx="488">
                  <c:v>-80.800571564975314</c:v>
                </c:pt>
                <c:pt idx="489">
                  <c:v>-81.02030291438399</c:v>
                </c:pt>
                <c:pt idx="490">
                  <c:v>-81.240315381401885</c:v>
                </c:pt>
                <c:pt idx="491">
                  <c:v>-81.460644471408798</c:v>
                </c:pt>
                <c:pt idx="492">
                  <c:v>-81.681325981570637</c:v>
                </c:pt>
                <c:pt idx="493">
                  <c:v>-81.902396027238083</c:v>
                </c:pt>
                <c:pt idx="494">
                  <c:v>-82.123891066765381</c:v>
                </c:pt>
                <c:pt idx="495">
                  <c:v>-82.34584792457045</c:v>
                </c:pt>
                <c:pt idx="496">
                  <c:v>-82.568303812250548</c:v>
                </c:pt>
                <c:pt idx="497">
                  <c:v>-82.791296347559523</c:v>
                </c:pt>
                <c:pt idx="498">
                  <c:v>-83.014863571056281</c:v>
                </c:pt>
                <c:pt idx="499">
                  <c:v>-83.239043960218652</c:v>
                </c:pt>
                <c:pt idx="500">
                  <c:v>-83.463876440825288</c:v>
                </c:pt>
                <c:pt idx="501">
                  <c:v>-83.689400395396177</c:v>
                </c:pt>
                <c:pt idx="502">
                  <c:v>-83.915655668484433</c:v>
                </c:pt>
                <c:pt idx="503">
                  <c:v>-84.142682568611605</c:v>
                </c:pt>
                <c:pt idx="504">
                  <c:v>-84.370521866636295</c:v>
                </c:pt>
                <c:pt idx="505">
                  <c:v>-84.599214790351326</c:v>
                </c:pt>
                <c:pt idx="506">
                  <c:v>-84.82880301510437</c:v>
                </c:pt>
                <c:pt idx="507">
                  <c:v>-85.059328650247011</c:v>
                </c:pt>
                <c:pt idx="508">
                  <c:v>-85.290834221221104</c:v>
                </c:pt>
                <c:pt idx="509">
                  <c:v>-85.523362647103284</c:v>
                </c:pt>
                <c:pt idx="510">
                  <c:v>-85.756957213441865</c:v>
                </c:pt>
                <c:pt idx="511">
                  <c:v>-85.991661540234631</c:v>
                </c:pt>
                <c:pt idx="512">
                  <c:v>-86.227519544914628</c:v>
                </c:pt>
                <c:pt idx="513">
                  <c:v>-86.464575400235788</c:v>
                </c:pt>
                <c:pt idx="514">
                  <c:v>-86.70287348696958</c:v>
                </c:pt>
                <c:pt idx="515">
                  <c:v>-86.942458341358062</c:v>
                </c:pt>
                <c:pt idx="516">
                  <c:v>-87.183374597296975</c:v>
                </c:pt>
                <c:pt idx="517">
                  <c:v>-87.425666923258774</c:v>
                </c:pt>
                <c:pt idx="518">
                  <c:v>-87.669379954003034</c:v>
                </c:pt>
                <c:pt idx="519">
                  <c:v>-87.914558217163972</c:v>
                </c:pt>
                <c:pt idx="520">
                  <c:v>-88.161246054849698</c:v>
                </c:pt>
                <c:pt idx="521">
                  <c:v>-88.409487540432565</c:v>
                </c:pt>
                <c:pt idx="522">
                  <c:v>-88.659326390761208</c:v>
                </c:pt>
                <c:pt idx="523">
                  <c:v>-88.91080587407599</c:v>
                </c:pt>
                <c:pt idx="524">
                  <c:v>-89.163968713959861</c:v>
                </c:pt>
                <c:pt idx="525">
                  <c:v>-89.418856989712467</c:v>
                </c:pt>
                <c:pt idx="526">
                  <c:v>-89.675512033584553</c:v>
                </c:pt>
                <c:pt idx="527">
                  <c:v>-89.933974325365881</c:v>
                </c:pt>
                <c:pt idx="528">
                  <c:v>-90.194283384866395</c:v>
                </c:pt>
                <c:pt idx="529">
                  <c:v>-90.456477662882989</c:v>
                </c:pt>
                <c:pt idx="530">
                  <c:v>-90.720594431281853</c:v>
                </c:pt>
                <c:pt idx="531">
                  <c:v>-90.986669672876218</c:v>
                </c:pt>
                <c:pt idx="532">
                  <c:v>-91.254737971804076</c:v>
                </c:pt>
                <c:pt idx="533">
                  <c:v>-91.524832405150022</c:v>
                </c:pt>
                <c:pt idx="534">
                  <c:v>-91.796984436567726</c:v>
                </c:pt>
                <c:pt idx="535">
                  <c:v>-92.071223812682888</c:v>
                </c:pt>
                <c:pt idx="536">
                  <c:v>-92.347578463055243</c:v>
                </c:pt>
                <c:pt idx="537">
                  <c:v>-92.626074404483902</c:v>
                </c:pt>
                <c:pt idx="538">
                  <c:v>-92.906735650419506</c:v>
                </c:pt>
                <c:pt idx="539">
                  <c:v>-93.189584126233314</c:v>
                </c:pt>
                <c:pt idx="540">
                  <c:v>-93.474639591057311</c:v>
                </c:pt>
                <c:pt idx="541">
                  <c:v>-93.761919566872905</c:v>
                </c:pt>
              </c:numCache>
            </c:numRef>
          </c:yVal>
          <c:smooth val="1"/>
          <c:extLst>
            <c:ext xmlns:c16="http://schemas.microsoft.com/office/drawing/2014/chart" uri="{C3380CC4-5D6E-409C-BE32-E72D297353CC}">
              <c16:uniqueId val="{00000000-02B0-48FE-B0E1-3EE5F93E5E46}"/>
            </c:ext>
          </c:extLst>
        </c:ser>
        <c:ser>
          <c:idx val="2"/>
          <c:order val="2"/>
          <c:tx>
            <c:v>f_LP</c:v>
          </c:tx>
          <c:spPr>
            <a:ln w="38100" cmpd="sng"/>
          </c:spPr>
          <c:marker>
            <c:symbol val="x"/>
            <c:size val="7"/>
            <c:spPr>
              <a:noFill/>
            </c:spPr>
          </c:marker>
          <c:dPt>
            <c:idx val="0"/>
            <c:marker>
              <c:spPr>
                <a:noFill/>
                <a:ln w="19050">
                  <a:solidFill>
                    <a:schemeClr val="tx1"/>
                  </a:solidFill>
                </a:ln>
              </c:spPr>
            </c:marker>
            <c:bubble3D val="0"/>
            <c:extLst>
              <c:ext xmlns:c16="http://schemas.microsoft.com/office/drawing/2014/chart" uri="{C3380CC4-5D6E-409C-BE32-E72D297353CC}">
                <c16:uniqueId val="{00000001-02B0-48FE-B0E1-3EE5F93E5E46}"/>
              </c:ext>
            </c:extLst>
          </c:dPt>
          <c:dLbls>
            <c:dLbl>
              <c:idx val="0"/>
              <c:tx>
                <c:rich>
                  <a:bodyPr/>
                  <a:lstStyle/>
                  <a:p>
                    <a:r>
                      <a:rPr lang="en-US" sz="1100" b="1"/>
                      <a:t>f</a:t>
                    </a:r>
                    <a:r>
                      <a:rPr lang="en-US" sz="1100" b="1" baseline="-25000"/>
                      <a:t>LP</a:t>
                    </a:r>
                    <a:endParaRPr lang="en-US" b="1" baseline="-25000"/>
                  </a:p>
                </c:rich>
              </c:tx>
              <c:dLblPos val="b"/>
              <c:showLegendKey val="0"/>
              <c:showVal val="0"/>
              <c:showCatName val="0"/>
              <c:showSerName val="1"/>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1-02B0-48FE-B0E1-3EE5F93E5E46}"/>
                </c:ext>
              </c:extLst>
            </c:dLbl>
            <c:spPr>
              <a:noFill/>
              <a:ln>
                <a:noFill/>
              </a:ln>
              <a:effectLst/>
            </c:spPr>
            <c:dLblPos val="b"/>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CCM_Loop_Modeling_Isolated!$O$11</c:f>
              <c:numCache>
                <c:formatCode>0</c:formatCode>
                <c:ptCount val="1"/>
                <c:pt idx="0">
                  <c:v>3.056473529885507</c:v>
                </c:pt>
              </c:numCache>
            </c:numRef>
          </c:xVal>
          <c:yVal>
            <c:numRef>
              <c:f>CCM_Loop_Modeling_Isolated!$AW$11</c:f>
              <c:numCache>
                <c:formatCode>0.000</c:formatCode>
                <c:ptCount val="1"/>
                <c:pt idx="0">
                  <c:v>84.650951715086947</c:v>
                </c:pt>
              </c:numCache>
            </c:numRef>
          </c:yVal>
          <c:smooth val="0"/>
          <c:extLst>
            <c:ext xmlns:c16="http://schemas.microsoft.com/office/drawing/2014/chart" uri="{C3380CC4-5D6E-409C-BE32-E72D297353CC}">
              <c16:uniqueId val="{00000002-02B0-48FE-B0E1-3EE5F93E5E46}"/>
            </c:ext>
          </c:extLst>
        </c:ser>
        <c:ser>
          <c:idx val="3"/>
          <c:order val="3"/>
          <c:tx>
            <c:v>fz_rhp</c:v>
          </c:tx>
          <c:spPr>
            <a:ln>
              <a:solidFill>
                <a:schemeClr val="tx1"/>
              </a:solidFill>
            </a:ln>
          </c:spPr>
          <c:marker>
            <c:symbol val="circle"/>
            <c:size val="7"/>
            <c:spPr>
              <a:noFill/>
              <a:ln w="19050">
                <a:solidFill>
                  <a:schemeClr val="tx1"/>
                </a:solidFill>
              </a:ln>
            </c:spPr>
          </c:marker>
          <c:dLbls>
            <c:dLbl>
              <c:idx val="0"/>
              <c:layout>
                <c:manualLayout>
                  <c:x val="8.0501209561423519E-3"/>
                  <c:y val="-1.5493667278504181E-2"/>
                </c:manualLayout>
              </c:layout>
              <c:dLblPos val="r"/>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3-02B0-48FE-B0E1-3EE5F93E5E46}"/>
                </c:ext>
              </c:extLst>
            </c:dLbl>
            <c:spPr>
              <a:noFill/>
              <a:ln>
                <a:noFill/>
              </a:ln>
              <a:effectLst/>
            </c:spPr>
            <c:txPr>
              <a:bodyPr/>
              <a:lstStyle/>
              <a:p>
                <a:pPr>
                  <a:defRPr b="1"/>
                </a:pPr>
                <a:endParaRPr lang="en-US"/>
              </a:p>
            </c:txPr>
            <c:dLblPos val="t"/>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CCM_Loop_Modeling_Isolated!$O$9</c:f>
              <c:numCache>
                <c:formatCode>0</c:formatCode>
                <c:ptCount val="1"/>
                <c:pt idx="0">
                  <c:v>47157.020175376398</c:v>
                </c:pt>
              </c:numCache>
            </c:numRef>
          </c:xVal>
          <c:yVal>
            <c:numRef>
              <c:f>CCM_Loop_Modeling_Isolated!$AW$9</c:f>
              <c:numCache>
                <c:formatCode>0.000</c:formatCode>
                <c:ptCount val="1"/>
                <c:pt idx="0">
                  <c:v>-46.365446149523599</c:v>
                </c:pt>
              </c:numCache>
            </c:numRef>
          </c:yVal>
          <c:smooth val="1"/>
          <c:extLst>
            <c:ext xmlns:c16="http://schemas.microsoft.com/office/drawing/2014/chart" uri="{C3380CC4-5D6E-409C-BE32-E72D297353CC}">
              <c16:uniqueId val="{00000004-02B0-48FE-B0E1-3EE5F93E5E46}"/>
            </c:ext>
          </c:extLst>
        </c:ser>
        <c:ser>
          <c:idx val="4"/>
          <c:order val="4"/>
          <c:tx>
            <c:v>f_esr</c:v>
          </c:tx>
          <c:spPr>
            <a:ln>
              <a:noFill/>
            </a:ln>
          </c:spPr>
          <c:marker>
            <c:symbol val="circle"/>
            <c:size val="5"/>
            <c:spPr>
              <a:noFill/>
              <a:ln w="19050">
                <a:solidFill>
                  <a:schemeClr val="tx1"/>
                </a:solidFill>
              </a:ln>
            </c:spPr>
          </c:marker>
          <c:dPt>
            <c:idx val="0"/>
            <c:marker>
              <c:symbol val="circle"/>
              <c:size val="7"/>
            </c:marker>
            <c:bubble3D val="0"/>
            <c:extLst>
              <c:ext xmlns:c16="http://schemas.microsoft.com/office/drawing/2014/chart" uri="{C3380CC4-5D6E-409C-BE32-E72D297353CC}">
                <c16:uniqueId val="{00000005-02B0-48FE-B0E1-3EE5F93E5E46}"/>
              </c:ext>
            </c:extLst>
          </c:dPt>
          <c:dLbls>
            <c:dLbl>
              <c:idx val="0"/>
              <c:layout>
                <c:manualLayout>
                  <c:x val="-5.990474489899654E-2"/>
                  <c:y val="-1.2457193490087108E-2"/>
                </c:manualLayout>
              </c:layout>
              <c:dLblPos val="r"/>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5-02B0-48FE-B0E1-3EE5F93E5E46}"/>
                </c:ext>
              </c:extLst>
            </c:dLbl>
            <c:spPr>
              <a:noFill/>
              <a:ln>
                <a:noFill/>
              </a:ln>
              <a:effectLst/>
            </c:spPr>
            <c:txPr>
              <a:bodyPr/>
              <a:lstStyle/>
              <a:p>
                <a:pPr>
                  <a:defRPr b="1"/>
                </a:pPr>
                <a:endParaRPr lang="en-US"/>
              </a:p>
            </c:txPr>
            <c:dLblPos val="t"/>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CCM_Loop_Modeling_Isolated!$O$10</c:f>
              <c:numCache>
                <c:formatCode>0</c:formatCode>
                <c:ptCount val="1"/>
                <c:pt idx="0">
                  <c:v>147365.68804805123</c:v>
                </c:pt>
              </c:numCache>
            </c:numRef>
          </c:xVal>
          <c:yVal>
            <c:numRef>
              <c:f>CCM_Loop_Modeling_Isolated!$AW$10</c:f>
              <c:numCache>
                <c:formatCode>0.000</c:formatCode>
                <c:ptCount val="1"/>
                <c:pt idx="0">
                  <c:v>-63.295589950410836</c:v>
                </c:pt>
              </c:numCache>
            </c:numRef>
          </c:yVal>
          <c:smooth val="1"/>
          <c:extLst>
            <c:ext xmlns:c16="http://schemas.microsoft.com/office/drawing/2014/chart" uri="{C3380CC4-5D6E-409C-BE32-E72D297353CC}">
              <c16:uniqueId val="{00000006-02B0-48FE-B0E1-3EE5F93E5E46}"/>
            </c:ext>
          </c:extLst>
        </c:ser>
        <c:ser>
          <c:idx val="5"/>
          <c:order val="5"/>
          <c:tx>
            <c:v>fz_ea</c:v>
          </c:tx>
          <c:marker>
            <c:symbol val="circle"/>
            <c:size val="8"/>
            <c:spPr>
              <a:noFill/>
              <a:ln w="25400">
                <a:solidFill>
                  <a:srgbClr val="00B0F0"/>
                </a:solidFill>
              </a:ln>
            </c:spPr>
          </c:marker>
          <c:dLbls>
            <c:dLbl>
              <c:idx val="0"/>
              <c:spPr/>
              <c:txPr>
                <a:bodyPr/>
                <a:lstStyle/>
                <a:p>
                  <a:pPr>
                    <a:defRPr b="1"/>
                  </a:pPr>
                  <a:endParaRPr lang="en-US"/>
                </a:p>
              </c:txPr>
              <c:dLblPos val="b"/>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7-02B0-48FE-B0E1-3EE5F93E5E46}"/>
                </c:ext>
              </c:extLst>
            </c:dLbl>
            <c:spPr>
              <a:noFill/>
              <a:ln>
                <a:noFill/>
              </a:ln>
              <a:effectLst/>
            </c:spPr>
            <c:showLegendKey val="0"/>
            <c:showVal val="0"/>
            <c:showCatName val="0"/>
            <c:showSerName val="0"/>
            <c:showPercent val="0"/>
            <c:showBubbleSize val="0"/>
            <c:extLst>
              <c:ext xmlns:c15="http://schemas.microsoft.com/office/drawing/2012/chart" uri="{CE6537A1-D6FC-4f65-9D91-7224C49458BB}">
                <c15:showLeaderLines val="0"/>
              </c:ext>
            </c:extLst>
          </c:dLbls>
          <c:xVal>
            <c:numRef>
              <c:f>CCM_Loop_Modeling_Isolated!$O$12</c:f>
              <c:numCache>
                <c:formatCode>General</c:formatCode>
                <c:ptCount val="1"/>
                <c:pt idx="0">
                  <c:v>602.85963292384599</c:v>
                </c:pt>
              </c:numCache>
            </c:numRef>
          </c:xVal>
          <c:yVal>
            <c:numRef>
              <c:f>CCM_Loop_Modeling_Isolated!$AW$12</c:f>
              <c:numCache>
                <c:formatCode>0.000</c:formatCode>
                <c:ptCount val="1"/>
                <c:pt idx="0">
                  <c:v>12.559239021080026</c:v>
                </c:pt>
              </c:numCache>
            </c:numRef>
          </c:yVal>
          <c:smooth val="1"/>
          <c:extLst>
            <c:ext xmlns:c16="http://schemas.microsoft.com/office/drawing/2014/chart" uri="{C3380CC4-5D6E-409C-BE32-E72D297353CC}">
              <c16:uniqueId val="{00000008-02B0-48FE-B0E1-3EE5F93E5E46}"/>
            </c:ext>
          </c:extLst>
        </c:ser>
        <c:dLbls>
          <c:showLegendKey val="0"/>
          <c:showVal val="0"/>
          <c:showCatName val="0"/>
          <c:showSerName val="0"/>
          <c:showPercent val="0"/>
          <c:showBubbleSize val="0"/>
        </c:dLbls>
        <c:axId val="589404800"/>
        <c:axId val="589419264"/>
      </c:scatterChart>
      <c:scatterChart>
        <c:scatterStyle val="smoothMarker"/>
        <c:varyColors val="0"/>
        <c:ser>
          <c:idx val="1"/>
          <c:order val="1"/>
          <c:tx>
            <c:v>Phase (deg)</c:v>
          </c:tx>
          <c:spPr>
            <a:ln w="28575">
              <a:solidFill>
                <a:schemeClr val="tx1">
                  <a:lumMod val="95000"/>
                  <a:lumOff val="5000"/>
                </a:schemeClr>
              </a:solidFill>
              <a:prstDash val="sysDash"/>
            </a:ln>
          </c:spPr>
          <c:marker>
            <c:symbol val="none"/>
          </c:marker>
          <c:xVal>
            <c:numRef>
              <c:f>CCM_Loop_Modeling_Isolated!$O$19:$O$560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CCM_Loop_Modeling_Isolated!$AX$19:$AX$560</c:f>
              <c:numCache>
                <c:formatCode>General</c:formatCode>
                <c:ptCount val="542"/>
                <c:pt idx="0">
                  <c:v>36.233471941420845</c:v>
                </c:pt>
                <c:pt idx="1">
                  <c:v>36.268821567406299</c:v>
                </c:pt>
                <c:pt idx="2">
                  <c:v>36.316367154623975</c:v>
                </c:pt>
                <c:pt idx="3">
                  <c:v>36.375941695800485</c:v>
                </c:pt>
                <c:pt idx="4">
                  <c:v>36.447364994572702</c:v>
                </c:pt>
                <c:pt idx="5">
                  <c:v>36.530443569300893</c:v>
                </c:pt>
                <c:pt idx="6">
                  <c:v>36.62497056230842</c:v>
                </c:pt>
                <c:pt idx="7">
                  <c:v>36.730725657712</c:v>
                </c:pt>
                <c:pt idx="8">
                  <c:v>36.847475011139323</c:v>
                </c:pt>
                <c:pt idx="9">
                  <c:v>36.974971194760279</c:v>
                </c:pt>
                <c:pt idx="10">
                  <c:v>37.112953161135835</c:v>
                </c:pt>
                <c:pt idx="11">
                  <c:v>37.261146229437728</c:v>
                </c:pt>
                <c:pt idx="12">
                  <c:v>37.419262097599812</c:v>
                </c:pt>
                <c:pt idx="13">
                  <c:v>37.586998883934662</c:v>
                </c:pt>
                <c:pt idx="14">
                  <c:v>37.764041201672683</c:v>
                </c:pt>
                <c:pt idx="15">
                  <c:v>37.95006026976359</c:v>
                </c:pt>
                <c:pt idx="16">
                  <c:v>38.144714063112175</c:v>
                </c:pt>
                <c:pt idx="17">
                  <c:v>38.347647505219882</c:v>
                </c:pt>
                <c:pt idx="18">
                  <c:v>38.558492705935386</c:v>
                </c:pt>
                <c:pt idx="19">
                  <c:v>38.776869246723379</c:v>
                </c:pt>
                <c:pt idx="20">
                  <c:v>39.002384515518358</c:v>
                </c:pt>
                <c:pt idx="21">
                  <c:v>39.234634092831129</c:v>
                </c:pt>
                <c:pt idx="22">
                  <c:v>39.473202190371751</c:v>
                </c:pt>
                <c:pt idx="23">
                  <c:v>39.717662142976828</c:v>
                </c:pt>
                <c:pt idx="24">
                  <c:v>39.967576954154531</c:v>
                </c:pt>
                <c:pt idx="25">
                  <c:v>40.222499895055634</c:v>
                </c:pt>
                <c:pt idx="26">
                  <c:v>40.481975156139441</c:v>
                </c:pt>
                <c:pt idx="27">
                  <c:v>40.745538550299933</c:v>
                </c:pt>
                <c:pt idx="28">
                  <c:v>41.012718265653248</c:v>
                </c:pt>
                <c:pt idx="29">
                  <c:v>41.283035665693873</c:v>
                </c:pt>
                <c:pt idx="30">
                  <c:v>41.556006133997627</c:v>
                </c:pt>
                <c:pt idx="31">
                  <c:v>41.831139960178945</c:v>
                </c:pt>
                <c:pt idx="32">
                  <c:v>42.107943263351828</c:v>
                </c:pt>
                <c:pt idx="33">
                  <c:v>42.385918948949396</c:v>
                </c:pt>
                <c:pt idx="34">
                  <c:v>42.664567694371023</c:v>
                </c:pt>
                <c:pt idx="35">
                  <c:v>42.943388958646686</c:v>
                </c:pt>
                <c:pt idx="36">
                  <c:v>43.221882011044819</c:v>
                </c:pt>
                <c:pt idx="37">
                  <c:v>43.499546973369647</c:v>
                </c:pt>
                <c:pt idx="38">
                  <c:v>43.775885870593264</c:v>
                </c:pt>
                <c:pt idx="39">
                  <c:v>44.050403684399214</c:v>
                </c:pt>
                <c:pt idx="40">
                  <c:v>44.322609404267787</c:v>
                </c:pt>
                <c:pt idx="41">
                  <c:v>44.592017070806008</c:v>
                </c:pt>
                <c:pt idx="42">
                  <c:v>44.858146806198093</c:v>
                </c:pt>
                <c:pt idx="43">
                  <c:v>45.120525826879131</c:v>
                </c:pt>
                <c:pt idx="44">
                  <c:v>45.378689433805029</c:v>
                </c:pt>
                <c:pt idx="45">
                  <c:v>45.632181976046311</c:v>
                </c:pt>
                <c:pt idx="46">
                  <c:v>45.880557783802359</c:v>
                </c:pt>
                <c:pt idx="47">
                  <c:v>46.123382067351614</c:v>
                </c:pt>
                <c:pt idx="48">
                  <c:v>46.360231778911562</c:v>
                </c:pt>
                <c:pt idx="49">
                  <c:v>46.590696434844396</c:v>
                </c:pt>
                <c:pt idx="50">
                  <c:v>46.814378896124552</c:v>
                </c:pt>
                <c:pt idx="51">
                  <c:v>47.030896105478405</c:v>
                </c:pt>
                <c:pt idx="52">
                  <c:v>47.239879780074141</c:v>
                </c:pt>
                <c:pt idx="53">
                  <c:v>47.44097705911804</c:v>
                </c:pt>
                <c:pt idx="54">
                  <c:v>47.633851106142927</c:v>
                </c:pt>
                <c:pt idx="55">
                  <c:v>47.818181666204708</c:v>
                </c:pt>
                <c:pt idx="56">
                  <c:v>47.993665578576831</c:v>
                </c:pt>
                <c:pt idx="57">
                  <c:v>48.160017245873185</c:v>
                </c:pt>
                <c:pt idx="58">
                  <c:v>48.316969060832662</c:v>
                </c:pt>
                <c:pt idx="59">
                  <c:v>48.464271792241227</c:v>
                </c:pt>
                <c:pt idx="60">
                  <c:v>48.601694931677706</c:v>
                </c:pt>
                <c:pt idx="61">
                  <c:v>48.729027002903401</c:v>
                </c:pt>
                <c:pt idx="62">
                  <c:v>48.846075835826753</c:v>
                </c:pt>
                <c:pt idx="63">
                  <c:v>48.95266880701282</c:v>
                </c:pt>
                <c:pt idx="64">
                  <c:v>49.04865304869962</c:v>
                </c:pt>
                <c:pt idx="65">
                  <c:v>49.13389562823896</c:v>
                </c:pt>
                <c:pt idx="66">
                  <c:v>49.208283699777311</c:v>
                </c:pt>
                <c:pt idx="67">
                  <c:v>49.271724629855576</c:v>
                </c:pt>
                <c:pt idx="68">
                  <c:v>49.324146098422126</c:v>
                </c:pt>
                <c:pt idx="69">
                  <c:v>49.365496176564434</c:v>
                </c:pt>
                <c:pt idx="70">
                  <c:v>49.395743381998251</c:v>
                </c:pt>
                <c:pt idx="71">
                  <c:v>49.414876713123846</c:v>
                </c:pt>
                <c:pt idx="72">
                  <c:v>49.422905662154967</c:v>
                </c:pt>
                <c:pt idx="73">
                  <c:v>49.419860207557228</c:v>
                </c:pt>
                <c:pt idx="74">
                  <c:v>49.405790785726303</c:v>
                </c:pt>
                <c:pt idx="75">
                  <c:v>49.38076824154863</c:v>
                </c:pt>
                <c:pt idx="76">
                  <c:v>49.34488375719112</c:v>
                </c:pt>
                <c:pt idx="77">
                  <c:v>49.298248758203805</c:v>
                </c:pt>
                <c:pt idx="78">
                  <c:v>49.240994795747682</c:v>
                </c:pt>
                <c:pt idx="79">
                  <c:v>49.173273403529379</c:v>
                </c:pt>
                <c:pt idx="80">
                  <c:v>49.095255927819203</c:v>
                </c:pt>
                <c:pt idx="81">
                  <c:v>49.007133328755913</c:v>
                </c:pt>
                <c:pt idx="82">
                  <c:v>48.909115951000743</c:v>
                </c:pt>
                <c:pt idx="83">
                  <c:v>48.801433261711367</c:v>
                </c:pt>
                <c:pt idx="84">
                  <c:v>48.684333553762229</c:v>
                </c:pt>
                <c:pt idx="85">
                  <c:v>48.55808361212825</c:v>
                </c:pt>
                <c:pt idx="86">
                  <c:v>48.422968341403156</c:v>
                </c:pt>
                <c:pt idx="87">
                  <c:v>48.279290352521961</c:v>
                </c:pt>
                <c:pt idx="88">
                  <c:v>48.127369506908359</c:v>
                </c:pt>
                <c:pt idx="89">
                  <c:v>47.967542416471019</c:v>
                </c:pt>
                <c:pt idx="90">
                  <c:v>47.80016189812379</c:v>
                </c:pt>
                <c:pt idx="91">
                  <c:v>47.625596381803945</c:v>
                </c:pt>
                <c:pt idx="92">
                  <c:v>47.444229271305922</c:v>
                </c:pt>
                <c:pt idx="93">
                  <c:v>47.256458257628417</c:v>
                </c:pt>
                <c:pt idx="94">
                  <c:v>47.062694584951032</c:v>
                </c:pt>
                <c:pt idx="95">
                  <c:v>46.863362269793349</c:v>
                </c:pt>
                <c:pt idx="96">
                  <c:v>46.658897274380408</c:v>
                </c:pt>
                <c:pt idx="97">
                  <c:v>46.449746635709985</c:v>
                </c:pt>
                <c:pt idx="98">
                  <c:v>46.236367552297615</c:v>
                </c:pt>
                <c:pt idx="99">
                  <c:v>46.019226431053994</c:v>
                </c:pt>
                <c:pt idx="100">
                  <c:v>45.798797897213291</c:v>
                </c:pt>
                <c:pt idx="101">
                  <c:v>45.575563770669355</c:v>
                </c:pt>
                <c:pt idx="102">
                  <c:v>45.350012012494481</c:v>
                </c:pt>
                <c:pt idx="103">
                  <c:v>45.122635645784463</c:v>
                </c:pt>
                <c:pt idx="104">
                  <c:v>44.893931655305295</c:v>
                </c:pt>
                <c:pt idx="105">
                  <c:v>44.664399870687951</c:v>
                </c:pt>
                <c:pt idx="106">
                  <c:v>44.434541838142138</c:v>
                </c:pt>
                <c:pt idx="107">
                  <c:v>44.204859685805957</c:v>
                </c:pt>
                <c:pt idx="108">
                  <c:v>43.975854987947244</c:v>
                </c:pt>
                <c:pt idx="109">
                  <c:v>43.748027633241335</c:v>
                </c:pt>
                <c:pt idx="110">
                  <c:v>43.521874702314861</c:v>
                </c:pt>
                <c:pt idx="111">
                  <c:v>43.297889359620697</c:v>
                </c:pt>
                <c:pt idx="112">
                  <c:v>43.076559764531595</c:v>
                </c:pt>
                <c:pt idx="113">
                  <c:v>42.858368006301632</c:v>
                </c:pt>
                <c:pt idx="114">
                  <c:v>42.643789067237968</c:v>
                </c:pt>
                <c:pt idx="115">
                  <c:v>42.433289818083523</c:v>
                </c:pt>
                <c:pt idx="116">
                  <c:v>42.227328049209305</c:v>
                </c:pt>
                <c:pt idx="117">
                  <c:v>42.026351540795766</c:v>
                </c:pt>
                <c:pt idx="118">
                  <c:v>41.830797174707833</c:v>
                </c:pt>
                <c:pt idx="119">
                  <c:v>41.641090090310691</c:v>
                </c:pt>
                <c:pt idx="120">
                  <c:v>41.457642885962692</c:v>
                </c:pt>
                <c:pt idx="121">
                  <c:v>41.280854867452049</c:v>
                </c:pt>
                <c:pt idx="122">
                  <c:v>41.111111344143133</c:v>
                </c:pt>
                <c:pt idx="123">
                  <c:v>40.948782973132758</c:v>
                </c:pt>
                <c:pt idx="124">
                  <c:v>40.794225151279242</c:v>
                </c:pt>
                <c:pt idx="125">
                  <c:v>40.647777454527308</c:v>
                </c:pt>
                <c:pt idx="126">
                  <c:v>40.509763123586943</c:v>
                </c:pt>
                <c:pt idx="127">
                  <c:v>40.380488594669949</c:v>
                </c:pt>
                <c:pt idx="128">
                  <c:v>40.260243073686034</c:v>
                </c:pt>
                <c:pt idx="129">
                  <c:v>40.149298152058726</c:v>
                </c:pt>
                <c:pt idx="130">
                  <c:v>40.047907462101726</c:v>
                </c:pt>
                <c:pt idx="131">
                  <c:v>39.956306369764896</c:v>
                </c:pt>
                <c:pt idx="132">
                  <c:v>39.874711702441253</c:v>
                </c:pt>
                <c:pt idx="133">
                  <c:v>39.803321509487674</c:v>
                </c:pt>
                <c:pt idx="134">
                  <c:v>39.742314853115445</c:v>
                </c:pt>
                <c:pt idx="135">
                  <c:v>39.691851627348122</c:v>
                </c:pt>
                <c:pt idx="136">
                  <c:v>39.65207240284704</c:v>
                </c:pt>
                <c:pt idx="137">
                  <c:v>39.623098295540714</c:v>
                </c:pt>
                <c:pt idx="138">
                  <c:v>39.605030857170078</c:v>
                </c:pt>
                <c:pt idx="139">
                  <c:v>39.597951986071102</c:v>
                </c:pt>
                <c:pt idx="140">
                  <c:v>39.60192385675947</c:v>
                </c:pt>
                <c:pt idx="141">
                  <c:v>39.616988867146489</c:v>
                </c:pt>
                <c:pt idx="142">
                  <c:v>39.643169602502077</c:v>
                </c:pt>
                <c:pt idx="143">
                  <c:v>39.680468815577633</c:v>
                </c:pt>
                <c:pt idx="144">
                  <c:v>39.728869422613343</c:v>
                </c:pt>
                <c:pt idx="145">
                  <c:v>39.788334515267024</c:v>
                </c:pt>
                <c:pt idx="146">
                  <c:v>39.858807388813396</c:v>
                </c:pt>
                <c:pt idx="147">
                  <c:v>39.940211587261253</c:v>
                </c:pt>
                <c:pt idx="148">
                  <c:v>40.032450966333876</c:v>
                </c:pt>
                <c:pt idx="149">
                  <c:v>40.135409775523271</c:v>
                </c:pt>
                <c:pt idx="150">
                  <c:v>40.248952760680979</c:v>
                </c:pt>
                <c:pt idx="151">
                  <c:v>40.372925288827915</c:v>
                </c:pt>
                <c:pt idx="152">
                  <c:v>40.50715349705262</c:v>
                </c:pt>
                <c:pt idx="153">
                  <c:v>40.651444467514729</c:v>
                </c:pt>
                <c:pt idx="154">
                  <c:v>40.805586430681728</c:v>
                </c:pt>
                <c:pt idx="155">
                  <c:v>40.969348998988991</c:v>
                </c:pt>
                <c:pt idx="156">
                  <c:v>41.142483433127964</c:v>
                </c:pt>
                <c:pt idx="157">
                  <c:v>41.324722943133686</c:v>
                </c:pt>
                <c:pt idx="158">
                  <c:v>41.515783026359522</c:v>
                </c:pt>
                <c:pt idx="159">
                  <c:v>41.715361844285454</c:v>
                </c:pt>
                <c:pt idx="160">
                  <c:v>41.923140639921307</c:v>
                </c:pt>
                <c:pt idx="161">
                  <c:v>42.138784197322686</c:v>
                </c:pt>
                <c:pt idx="162">
                  <c:v>42.36194134445109</c:v>
                </c:pt>
                <c:pt idx="163">
                  <c:v>42.592245500273641</c:v>
                </c:pt>
                <c:pt idx="164">
                  <c:v>42.829315266623432</c:v>
                </c:pt>
                <c:pt idx="165">
                  <c:v>43.072755064921765</c:v>
                </c:pt>
                <c:pt idx="166">
                  <c:v>43.32215581743197</c:v>
                </c:pt>
                <c:pt idx="167">
                  <c:v>43.577095672225965</c:v>
                </c:pt>
                <c:pt idx="168">
                  <c:v>43.837140770578451</c:v>
                </c:pt>
                <c:pt idx="169">
                  <c:v>44.101846054992592</c:v>
                </c:pt>
                <c:pt idx="170">
                  <c:v>44.370756115570792</c:v>
                </c:pt>
                <c:pt idx="171">
                  <c:v>44.643406071956647</c:v>
                </c:pt>
                <c:pt idx="172">
                  <c:v>44.919322487596645</c:v>
                </c:pt>
                <c:pt idx="173">
                  <c:v>45.198024312628114</c:v>
                </c:pt>
                <c:pt idx="174">
                  <c:v>45.479023851286634</c:v>
                </c:pt>
                <c:pt idx="175">
                  <c:v>45.76182774935215</c:v>
                </c:pt>
                <c:pt idx="176">
                  <c:v>46.045937996838376</c:v>
                </c:pt>
                <c:pt idx="177">
                  <c:v>46.330852940856417</c:v>
                </c:pt>
                <c:pt idx="178">
                  <c:v>46.616068303389291</c:v>
                </c:pt>
                <c:pt idx="179">
                  <c:v>46.901078198565337</c:v>
                </c:pt>
                <c:pt idx="180">
                  <c:v>47.185376143958777</c:v>
                </c:pt>
                <c:pt idx="181">
                  <c:v>47.468456060440204</c:v>
                </c:pt>
                <c:pt idx="182">
                  <c:v>47.749813255172143</c:v>
                </c:pt>
                <c:pt idx="183">
                  <c:v>48.028945382487073</c:v>
                </c:pt>
                <c:pt idx="184">
                  <c:v>48.305353377594024</c:v>
                </c:pt>
                <c:pt idx="185">
                  <c:v>48.578542358325052</c:v>
                </c:pt>
                <c:pt idx="186">
                  <c:v>48.848022490469049</c:v>
                </c:pt>
                <c:pt idx="187">
                  <c:v>49.113309812617615</c:v>
                </c:pt>
                <c:pt idx="188">
                  <c:v>49.373927016874283</c:v>
                </c:pt>
                <c:pt idx="189">
                  <c:v>49.629404182245644</c:v>
                </c:pt>
                <c:pt idx="190">
                  <c:v>49.879279458025366</c:v>
                </c:pt>
                <c:pt idx="191">
                  <c:v>50.123099694993662</c:v>
                </c:pt>
                <c:pt idx="192">
                  <c:v>50.360421022799429</c:v>
                </c:pt>
                <c:pt idx="193">
                  <c:v>50.590809372397587</c:v>
                </c:pt>
                <c:pt idx="194">
                  <c:v>50.813840942984108</c:v>
                </c:pt>
                <c:pt idx="195">
                  <c:v>51.029102613346815</c:v>
                </c:pt>
                <c:pt idx="196">
                  <c:v>51.236192298091375</c:v>
                </c:pt>
                <c:pt idx="197">
                  <c:v>51.434719249657086</c:v>
                </c:pt>
                <c:pt idx="198">
                  <c:v>51.624304307489432</c:v>
                </c:pt>
                <c:pt idx="199">
                  <c:v>51.804580096159818</c:v>
                </c:pt>
                <c:pt idx="200">
                  <c:v>51.975191174589405</c:v>
                </c:pt>
                <c:pt idx="201">
                  <c:v>52.135794138874672</c:v>
                </c:pt>
                <c:pt idx="202">
                  <c:v>52.286057681506783</c:v>
                </c:pt>
                <c:pt idx="203">
                  <c:v>52.425662610022727</c:v>
                </c:pt>
                <c:pt idx="204">
                  <c:v>52.554301828335369</c:v>
                </c:pt>
                <c:pt idx="205">
                  <c:v>52.671680284147271</c:v>
                </c:pt>
                <c:pt idx="206">
                  <c:v>52.777514885972465</c:v>
                </c:pt>
                <c:pt idx="207">
                  <c:v>52.871534393368862</c:v>
                </c:pt>
                <c:pt idx="208">
                  <c:v>52.95347928401997</c:v>
                </c:pt>
                <c:pt idx="209">
                  <c:v>53.023101601306344</c:v>
                </c:pt>
                <c:pt idx="210">
                  <c:v>53.080164785969529</c:v>
                </c:pt>
                <c:pt idx="211">
                  <c:v>53.124443495411228</c:v>
                </c:pt>
                <c:pt idx="212">
                  <c:v>53.15572341407038</c:v>
                </c:pt>
                <c:pt idx="213">
                  <c:v>53.173801058203956</c:v>
                </c:pt>
                <c:pt idx="214">
                  <c:v>53.17848357825477</c:v>
                </c:pt>
                <c:pt idx="215">
                  <c:v>53.169588561818898</c:v>
                </c:pt>
                <c:pt idx="216">
                  <c:v>53.146943840057858</c:v>
                </c:pt>
                <c:pt idx="217">
                  <c:v>53.110387300191007</c:v>
                </c:pt>
                <c:pt idx="218">
                  <c:v>53.059766706502259</c:v>
                </c:pt>
                <c:pt idx="219">
                  <c:v>52.994939532079336</c:v>
                </c:pt>
                <c:pt idx="220">
                  <c:v>52.915772803266641</c:v>
                </c:pt>
                <c:pt idx="221">
                  <c:v>52.822142958590362</c:v>
                </c:pt>
                <c:pt idx="222">
                  <c:v>52.713935723661429</c:v>
                </c:pt>
                <c:pt idx="223">
                  <c:v>52.59104600332909</c:v>
                </c:pt>
                <c:pt idx="224">
                  <c:v>52.453377792104959</c:v>
                </c:pt>
                <c:pt idx="225">
                  <c:v>52.300844103624527</c:v>
                </c:pt>
                <c:pt idx="226">
                  <c:v>52.133366919667601</c:v>
                </c:pt>
                <c:pt idx="227">
                  <c:v>51.95087715900349</c:v>
                </c:pt>
                <c:pt idx="228">
                  <c:v>51.753314666074495</c:v>
                </c:pt>
                <c:pt idx="229">
                  <c:v>51.540628219275625</c:v>
                </c:pt>
                <c:pt idx="230">
                  <c:v>51.312775558342764</c:v>
                </c:pt>
                <c:pt idx="231">
                  <c:v>51.069723430104638</c:v>
                </c:pt>
                <c:pt idx="232">
                  <c:v>50.811447651611651</c:v>
                </c:pt>
                <c:pt idx="233">
                  <c:v>50.537933189400505</c:v>
                </c:pt>
                <c:pt idx="234">
                  <c:v>50.24917425342278</c:v>
                </c:pt>
                <c:pt idx="235">
                  <c:v>49.945174403918458</c:v>
                </c:pt>
                <c:pt idx="236">
                  <c:v>49.625946669290627</c:v>
                </c:pt>
                <c:pt idx="237">
                  <c:v>49.291513672811384</c:v>
                </c:pt>
                <c:pt idx="238">
                  <c:v>48.941907765776037</c:v>
                </c:pt>
                <c:pt idx="239">
                  <c:v>48.577171164520564</c:v>
                </c:pt>
                <c:pt idx="240">
                  <c:v>48.197356088524508</c:v>
                </c:pt>
                <c:pt idx="241">
                  <c:v>47.802524896650205</c:v>
                </c:pt>
                <c:pt idx="242">
                  <c:v>47.392750218411578</c:v>
                </c:pt>
                <c:pt idx="243">
                  <c:v>46.968115077035527</c:v>
                </c:pt>
                <c:pt idx="244">
                  <c:v>46.528713000956692</c:v>
                </c:pt>
                <c:pt idx="245">
                  <c:v>46.074648120315459</c:v>
                </c:pt>
                <c:pt idx="246">
                  <c:v>45.606035244963593</c:v>
                </c:pt>
                <c:pt idx="247">
                  <c:v>45.122999920462796</c:v>
                </c:pt>
                <c:pt idx="248">
                  <c:v>44.625678458576672</c:v>
                </c:pt>
                <c:pt idx="249">
                  <c:v>44.114217938803918</c:v>
                </c:pt>
                <c:pt idx="250">
                  <c:v>43.588776177589388</c:v>
                </c:pt>
                <c:pt idx="251">
                  <c:v>43.049521661991974</c:v>
                </c:pt>
                <c:pt idx="252">
                  <c:v>42.49663344475465</c:v>
                </c:pt>
                <c:pt idx="253">
                  <c:v>41.930300997944876</c:v>
                </c:pt>
                <c:pt idx="254">
                  <c:v>41.350724022613086</c:v>
                </c:pt>
                <c:pt idx="255">
                  <c:v>40.758112212203706</c:v>
                </c:pt>
                <c:pt idx="256">
                  <c:v>40.152684967833295</c:v>
                </c:pt>
                <c:pt idx="257">
                  <c:v>39.53467106392263</c:v>
                </c:pt>
                <c:pt idx="258">
                  <c:v>38.90430826312263</c:v>
                </c:pt>
                <c:pt idx="259">
                  <c:v>38.261842879924977</c:v>
                </c:pt>
                <c:pt idx="260">
                  <c:v>37.607529292859731</c:v>
                </c:pt>
                <c:pt idx="261">
                  <c:v>36.94162940569246</c:v>
                </c:pt>
                <c:pt idx="262">
                  <c:v>36.264412058581605</c:v>
                </c:pt>
                <c:pt idx="263">
                  <c:v>35.576152390698979</c:v>
                </c:pt>
                <c:pt idx="264">
                  <c:v>34.877131156379875</c:v>
                </c:pt>
                <c:pt idx="265">
                  <c:v>34.167633997399001</c:v>
                </c:pt>
                <c:pt idx="266">
                  <c:v>33.44795067452813</c:v>
                </c:pt>
                <c:pt idx="267">
                  <c:v>32.718374262017669</c:v>
                </c:pt>
                <c:pt idx="268">
                  <c:v>31.979200309150677</c:v>
                </c:pt>
                <c:pt idx="269">
                  <c:v>31.23072597343684</c:v>
                </c:pt>
                <c:pt idx="270">
                  <c:v>30.473249130442408</c:v>
                </c:pt>
                <c:pt idx="271">
                  <c:v>29.707067465566855</c:v>
                </c:pt>
                <c:pt idx="272">
                  <c:v>28.932477553386661</c:v>
                </c:pt>
                <c:pt idx="273">
                  <c:v>28.149773930398542</c:v>
                </c:pt>
                <c:pt idx="274">
                  <c:v>27.359248167154117</c:v>
                </c:pt>
                <c:pt idx="275">
                  <c:v>26.561187945861057</c:v>
                </c:pt>
                <c:pt idx="276">
                  <c:v>25.755876149541471</c:v>
                </c:pt>
                <c:pt idx="277">
                  <c:v>24.943589968786277</c:v>
                </c:pt>
                <c:pt idx="278">
                  <c:v>24.124600032005024</c:v>
                </c:pt>
                <c:pt idx="279">
                  <c:v>23.299169564894871</c:v>
                </c:pt>
                <c:pt idx="280">
                  <c:v>22.467553584580749</c:v>
                </c:pt>
                <c:pt idx="281">
                  <c:v>21.629998133580376</c:v>
                </c:pt>
                <c:pt idx="282">
                  <c:v>20.786739558368716</c:v>
                </c:pt>
                <c:pt idx="283">
                  <c:v>19.938003836926335</c:v>
                </c:pt>
                <c:pt idx="284">
                  <c:v>19.084005959192552</c:v>
                </c:pt>
                <c:pt idx="285">
                  <c:v>18.224949363887795</c:v>
                </c:pt>
                <c:pt idx="286">
                  <c:v>17.361025434667994</c:v>
                </c:pt>
                <c:pt idx="287">
                  <c:v>16.492413058070316</c:v>
                </c:pt>
                <c:pt idx="288">
                  <c:v>15.61927824520693</c:v>
                </c:pt>
                <c:pt idx="289">
                  <c:v>14.74177381865468</c:v>
                </c:pt>
                <c:pt idx="290">
                  <c:v>13.86003916549844</c:v>
                </c:pt>
                <c:pt idx="291">
                  <c:v>12.974200057015674</c:v>
                </c:pt>
                <c:pt idx="292">
                  <c:v>12.084368535040456</c:v>
                </c:pt>
                <c:pt idx="293">
                  <c:v>11.190642864618804</c:v>
                </c:pt>
                <c:pt idx="294">
                  <c:v>10.293107552196764</c:v>
                </c:pt>
                <c:pt idx="295">
                  <c:v>9.3918334282191438</c:v>
                </c:pt>
                <c:pt idx="296">
                  <c:v>8.4868777927174044</c:v>
                </c:pt>
                <c:pt idx="297">
                  <c:v>7.5782846221926397</c:v>
                </c:pt>
                <c:pt idx="298">
                  <c:v>6.666084835877542</c:v>
                </c:pt>
                <c:pt idx="299">
                  <c:v>5.7502966192675684</c:v>
                </c:pt>
                <c:pt idx="300">
                  <c:v>4.8309258026730619</c:v>
                </c:pt>
                <c:pt idx="301">
                  <c:v>3.9079662924340215</c:v>
                </c:pt>
                <c:pt idx="302">
                  <c:v>2.9814005523637683</c:v>
                </c:pt>
                <c:pt idx="303">
                  <c:v>2.0512001329544738</c:v>
                </c:pt>
                <c:pt idx="304">
                  <c:v>1.1173262458647382</c:v>
                </c:pt>
                <c:pt idx="305">
                  <c:v>0.17973038122610144</c:v>
                </c:pt>
                <c:pt idx="306">
                  <c:v>-0.76164503465387057</c:v>
                </c:pt>
                <c:pt idx="307">
                  <c:v>-1.7068659435581612</c:v>
                </c:pt>
                <c:pt idx="308">
                  <c:v>-2.6560059238909939</c:v>
                </c:pt>
                <c:pt idx="309">
                  <c:v>-3.6091454256853162</c:v>
                </c:pt>
                <c:pt idx="310">
                  <c:v>-4.5663709742119005</c:v>
                </c:pt>
                <c:pt idx="311">
                  <c:v>-5.5277743442277849</c:v>
                </c:pt>
                <c:pt idx="312">
                  <c:v>-6.4934517068068223</c:v>
                </c:pt>
                <c:pt idx="313">
                  <c:v>-7.4635027506232889</c:v>
                </c:pt>
                <c:pt idx="314">
                  <c:v>-8.4380297794706873</c:v>
                </c:pt>
                <c:pt idx="315">
                  <c:v>-9.4171367877517547</c:v>
                </c:pt>
                <c:pt idx="316">
                  <c:v>-10.400928515612728</c:v>
                </c:pt>
                <c:pt idx="317">
                  <c:v>-11.389509485373356</c:v>
                </c:pt>
                <c:pt idx="318">
                  <c:v>-12.382983020890284</c:v>
                </c:pt>
                <c:pt idx="319">
                  <c:v>-13.381450251499272</c:v>
                </c:pt>
                <c:pt idx="320">
                  <c:v>-14.385009102215994</c:v>
                </c:pt>
                <c:pt idx="321">
                  <c:v>-15.39375327193286</c:v>
                </c:pt>
                <c:pt idx="322">
                  <c:v>-16.407771201427952</c:v>
                </c:pt>
                <c:pt idx="323">
                  <c:v>-17.427145033111486</c:v>
                </c:pt>
                <c:pt idx="324">
                  <c:v>-18.451949564570967</c:v>
                </c:pt>
                <c:pt idx="325">
                  <c:v>-19.482251198123031</c:v>
                </c:pt>
                <c:pt idx="326">
                  <c:v>-20.518106888776856</c:v>
                </c:pt>
                <c:pt idx="327">
                  <c:v>-21.559563093211246</c:v>
                </c:pt>
                <c:pt idx="328">
                  <c:v>-22.606654722591596</c:v>
                </c:pt>
                <c:pt idx="329">
                  <c:v>-23.659404102316575</c:v>
                </c:pt>
                <c:pt idx="330">
                  <c:v>-24.717819942018444</c:v>
                </c:pt>
                <c:pt idx="331">
                  <c:v>-25.781896319455736</c:v>
                </c:pt>
                <c:pt idx="332">
                  <c:v>-26.851611682189247</c:v>
                </c:pt>
                <c:pt idx="333">
                  <c:v>-27.926927871256357</c:v>
                </c:pt>
                <c:pt idx="334">
                  <c:v>-29.007789171327353</c:v>
                </c:pt>
                <c:pt idx="335">
                  <c:v>-30.09412139214048</c:v>
                </c:pt>
                <c:pt idx="336">
                  <c:v>-31.185830986276603</c:v>
                </c:pt>
                <c:pt idx="337">
                  <c:v>-32.282804208622004</c:v>
                </c:pt>
                <c:pt idx="338">
                  <c:v>-33.384906323081879</c:v>
                </c:pt>
                <c:pt idx="339">
                  <c:v>-34.491980862357494</c:v>
                </c:pt>
                <c:pt idx="340">
                  <c:v>-35.603848946750681</c:v>
                </c:pt>
                <c:pt idx="341">
                  <c:v>-36.720308668122975</c:v>
                </c:pt>
                <c:pt idx="342">
                  <c:v>-37.841134545200923</c:v>
                </c:pt>
                <c:pt idx="343">
                  <c:v>-38.966077056471747</c:v>
                </c:pt>
                <c:pt idx="344">
                  <c:v>-40.094862256876063</c:v>
                </c:pt>
                <c:pt idx="345">
                  <c:v>-41.227191484397373</c:v>
                </c:pt>
                <c:pt idx="346">
                  <c:v>-42.362741162492021</c:v>
                </c:pt>
                <c:pt idx="347">
                  <c:v>-43.50116270403003</c:v>
                </c:pt>
                <c:pt idx="348">
                  <c:v>-44.642082522105277</c:v>
                </c:pt>
                <c:pt idx="349">
                  <c:v>-45.785102152634046</c:v>
                </c:pt>
                <c:pt idx="350">
                  <c:v>-46.929798493168228</c:v>
                </c:pt>
                <c:pt idx="351">
                  <c:v>-48.075724161749058</c:v>
                </c:pt>
                <c:pt idx="352">
                  <c:v>-49.222407978964128</c:v>
                </c:pt>
                <c:pt idx="353">
                  <c:v>-50.369355575596941</c:v>
                </c:pt>
                <c:pt idx="354">
                  <c:v>-51.516050127457156</c:v>
                </c:pt>
                <c:pt idx="355">
                  <c:v>-52.661953218040189</c:v>
                </c:pt>
                <c:pt idx="356">
                  <c:v>-53.806505828758802</c:v>
                </c:pt>
                <c:pt idx="357">
                  <c:v>-54.949129455439333</c:v>
                </c:pt>
                <c:pt idx="358">
                  <c:v>-56.089227348770507</c:v>
                </c:pt>
                <c:pt idx="359">
                  <c:v>-57.226185875302455</c:v>
                </c:pt>
                <c:pt idx="360">
                  <c:v>-58.359375994549787</c:v>
                </c:pt>
                <c:pt idx="361">
                  <c:v>-59.488154846658851</c:v>
                </c:pt>
                <c:pt idx="362">
                  <c:v>-60.611867444089739</c:v>
                </c:pt>
                <c:pt idx="363">
                  <c:v>-61.729848459737489</c:v>
                </c:pt>
                <c:pt idx="364">
                  <c:v>-62.841424102984533</c:v>
                </c:pt>
                <c:pt idx="365">
                  <c:v>-63.945914074294876</c:v>
                </c:pt>
                <c:pt idx="366">
                  <c:v>-65.04263358817451</c:v>
                </c:pt>
                <c:pt idx="367">
                  <c:v>-66.130895453609526</c:v>
                </c:pt>
                <c:pt idx="368">
                  <c:v>-67.210012200542138</c:v>
                </c:pt>
                <c:pt idx="369">
                  <c:v>-68.279298240430961</c:v>
                </c:pt>
                <c:pt idx="370">
                  <c:v>-69.338072048640115</c:v>
                </c:pt>
                <c:pt idx="371">
                  <c:v>-70.385658356155986</c:v>
                </c:pt>
                <c:pt idx="372">
                  <c:v>-71.421390338070907</c:v>
                </c:pt>
                <c:pt idx="373">
                  <c:v>-72.444611786302602</c:v>
                </c:pt>
                <c:pt idx="374">
                  <c:v>-73.454679254202404</c:v>
                </c:pt>
                <c:pt idx="375">
                  <c:v>-74.450964161016614</c:v>
                </c:pt>
                <c:pt idx="376">
                  <c:v>-75.432854844553702</c:v>
                </c:pt>
                <c:pt idx="377">
                  <c:v>-76.39975855095912</c:v>
                </c:pt>
                <c:pt idx="378">
                  <c:v>-77.351103351097095</c:v>
                </c:pt>
                <c:pt idx="379">
                  <c:v>-78.286339973745157</c:v>
                </c:pt>
                <c:pt idx="380">
                  <c:v>-79.204943546572878</c:v>
                </c:pt>
                <c:pt idx="381">
                  <c:v>-80.106415236694417</c:v>
                </c:pt>
                <c:pt idx="382">
                  <c:v>-80.990283783457187</c:v>
                </c:pt>
                <c:pt idx="383">
                  <c:v>-81.856106917003302</c:v>
                </c:pt>
                <c:pt idx="384">
                  <c:v>-82.703472657053524</c:v>
                </c:pt>
                <c:pt idx="385">
                  <c:v>-83.532000487259324</c:v>
                </c:pt>
                <c:pt idx="386">
                  <c:v>-84.341342401361175</c:v>
                </c:pt>
                <c:pt idx="387">
                  <c:v>-85.131183818258194</c:v>
                </c:pt>
                <c:pt idx="388">
                  <c:v>-85.901244363935149</c:v>
                </c:pt>
                <c:pt idx="389">
                  <c:v>-86.651278518987411</c:v>
                </c:pt>
                <c:pt idx="390">
                  <c:v>-87.381076131254517</c:v>
                </c:pt>
                <c:pt idx="391">
                  <c:v>-88.090462793774222</c:v>
                </c:pt>
                <c:pt idx="392">
                  <c:v>-88.779300088937518</c:v>
                </c:pt>
                <c:pt idx="393">
                  <c:v>-89.447485700348736</c:v>
                </c:pt>
                <c:pt idx="394">
                  <c:v>-90.094953394450954</c:v>
                </c:pt>
                <c:pt idx="395">
                  <c:v>-90.721672874511214</c:v>
                </c:pt>
                <c:pt idx="396">
                  <c:v>-91.327649510038015</c:v>
                </c:pt>
                <c:pt idx="397">
                  <c:v>-91.912923945146233</c:v>
                </c:pt>
                <c:pt idx="398">
                  <c:v>-92.477571589793726</c:v>
                </c:pt>
                <c:pt idx="399">
                  <c:v>-93.021701998192796</c:v>
                </c:pt>
                <c:pt idx="400">
                  <c:v>-93.545458139055157</c:v>
                </c:pt>
                <c:pt idx="401">
                  <c:v>-94.049015562650737</c:v>
                </c:pt>
                <c:pt idx="402">
                  <c:v>-94.532581469985942</c:v>
                </c:pt>
                <c:pt idx="403">
                  <c:v>-94.996393689692439</c:v>
                </c:pt>
                <c:pt idx="404">
                  <c:v>-95.440719568501748</c:v>
                </c:pt>
                <c:pt idx="405">
                  <c:v>-95.865854781454644</c:v>
                </c:pt>
                <c:pt idx="406">
                  <c:v>-96.272122068245707</c:v>
                </c:pt>
                <c:pt idx="407">
                  <c:v>-96.659869902342734</c:v>
                </c:pt>
                <c:pt idx="408">
                  <c:v>-97.029471099754687</c:v>
                </c:pt>
                <c:pt idx="409">
                  <c:v>-97.381321374520923</c:v>
                </c:pt>
                <c:pt idx="410">
                  <c:v>-97.715837848184734</c:v>
                </c:pt>
                <c:pt idx="411">
                  <c:v>-98.033457520669401</c:v>
                </c:pt>
                <c:pt idx="412">
                  <c:v>-98.334635710109936</c:v>
                </c:pt>
                <c:pt idx="413">
                  <c:v>-98.619844469279528</c:v>
                </c:pt>
                <c:pt idx="414">
                  <c:v>-98.889570986313359</c:v>
                </c:pt>
                <c:pt idx="415">
                  <c:v>-99.144315977436406</c:v>
                </c:pt>
                <c:pt idx="416">
                  <c:v>-99.384592079371473</c:v>
                </c:pt>
                <c:pt idx="417">
                  <c:v>-99.61092224901077</c:v>
                </c:pt>
                <c:pt idx="418">
                  <c:v>-99.823838177798876</c:v>
                </c:pt>
                <c:pt idx="419">
                  <c:v>-100.02387872808315</c:v>
                </c:pt>
                <c:pt idx="420">
                  <c:v>-100.2115883984244</c:v>
                </c:pt>
                <c:pt idx="421">
                  <c:v>-100.38751582457586</c:v>
                </c:pt>
                <c:pt idx="422">
                  <c:v>-100.55221232246231</c:v>
                </c:pt>
                <c:pt idx="423">
                  <c:v>-100.70623047910173</c:v>
                </c:pt>
                <c:pt idx="424">
                  <c:v>-100.85012279693942</c:v>
                </c:pt>
                <c:pt idx="425">
                  <c:v>-100.98444039658915</c:v>
                </c:pt>
                <c:pt idx="426">
                  <c:v>-101.10973178243316</c:v>
                </c:pt>
                <c:pt idx="427">
                  <c:v>-101.22654167497465</c:v>
                </c:pt>
                <c:pt idx="428">
                  <c:v>-101.33540991326218</c:v>
                </c:pt>
                <c:pt idx="429">
                  <c:v>-101.43687043010324</c:v>
                </c:pt>
                <c:pt idx="430">
                  <c:v>-101.53145030217817</c:v>
                </c:pt>
                <c:pt idx="431">
                  <c:v>-101.61966887657287</c:v>
                </c:pt>
                <c:pt idx="432">
                  <c:v>-101.70203697464056</c:v>
                </c:pt>
                <c:pt idx="433">
                  <c:v>-101.77905617353298</c:v>
                </c:pt>
                <c:pt idx="434">
                  <c:v>-101.85121816517415</c:v>
                </c:pt>
                <c:pt idx="435">
                  <c:v>-101.91900419192268</c:v>
                </c:pt>
                <c:pt idx="436">
                  <c:v>-101.98288455766826</c:v>
                </c:pt>
                <c:pt idx="437">
                  <c:v>-102.04331821264358</c:v>
                </c:pt>
                <c:pt idx="438">
                  <c:v>-102.10075240981384</c:v>
                </c:pt>
                <c:pt idx="439">
                  <c:v>-102.15562243032748</c:v>
                </c:pt>
                <c:pt idx="440">
                  <c:v>-102.20835137517952</c:v>
                </c:pt>
                <c:pt idx="441">
                  <c:v>-102.25935001994993</c:v>
                </c:pt>
                <c:pt idx="442">
                  <c:v>-102.30901672924713</c:v>
                </c:pt>
                <c:pt idx="443">
                  <c:v>-102.35773742728661</c:v>
                </c:pt>
                <c:pt idx="444">
                  <c:v>-102.4058856208901</c:v>
                </c:pt>
                <c:pt idx="445">
                  <c:v>-102.45382247108999</c:v>
                </c:pt>
                <c:pt idx="446">
                  <c:v>-102.50189690945216</c:v>
                </c:pt>
                <c:pt idx="447">
                  <c:v>-102.55044579521363</c:v>
                </c:pt>
                <c:pt idx="448">
                  <c:v>-102.59979410933921</c:v>
                </c:pt>
                <c:pt idx="449">
                  <c:v>-102.65025518164187</c:v>
                </c:pt>
                <c:pt idx="450">
                  <c:v>-102.70213094718572</c:v>
                </c:pt>
                <c:pt idx="451">
                  <c:v>-102.75571222828484</c:v>
                </c:pt>
                <c:pt idx="452">
                  <c:v>-102.81127903853189</c:v>
                </c:pt>
                <c:pt idx="453">
                  <c:v>-102.86910090542109</c:v>
                </c:pt>
                <c:pt idx="454">
                  <c:v>-102.92943720828771</c:v>
                </c:pt>
                <c:pt idx="455">
                  <c:v>-102.9925375284425</c:v>
                </c:pt>
                <c:pt idx="456">
                  <c:v>-103.05864200855112</c:v>
                </c:pt>
                <c:pt idx="457">
                  <c:v>-103.12798171848948</c:v>
                </c:pt>
                <c:pt idx="458">
                  <c:v>-103.20077902507639</c:v>
                </c:pt>
                <c:pt idx="459">
                  <c:v>-103.27724796327323</c:v>
                </c:pt>
                <c:pt idx="460">
                  <c:v>-103.35759460661401</c:v>
                </c:pt>
                <c:pt idx="461">
                  <c:v>-103.4420174348046</c:v>
                </c:pt>
                <c:pt idx="462">
                  <c:v>-103.53070769660323</c:v>
                </c:pt>
                <c:pt idx="463">
                  <c:v>-103.62384976625682</c:v>
                </c:pt>
                <c:pt idx="464">
                  <c:v>-103.721621491926</c:v>
                </c:pt>
                <c:pt idx="465">
                  <c:v>-103.82419453468071</c:v>
                </c:pt>
                <c:pt idx="466">
                  <c:v>-103.93173469679247</c:v>
                </c:pt>
                <c:pt idx="467">
                  <c:v>-104.04440223817623</c:v>
                </c:pt>
                <c:pt idx="468">
                  <c:v>-104.16235217996498</c:v>
                </c:pt>
                <c:pt idx="469">
                  <c:v>-104.28573459430655</c:v>
                </c:pt>
                <c:pt idx="470">
                  <c:v>-104.41469487958342</c:v>
                </c:pt>
                <c:pt idx="471">
                  <c:v>-104.54937402034807</c:v>
                </c:pt>
                <c:pt idx="472">
                  <c:v>-104.68990883135237</c:v>
                </c:pt>
                <c:pt idx="473">
                  <c:v>-104.83643218513077</c:v>
                </c:pt>
                <c:pt idx="474">
                  <c:v>-104.98907322266487</c:v>
                </c:pt>
                <c:pt idx="475">
                  <c:v>-105.14795754672016</c:v>
                </c:pt>
                <c:pt idx="476">
                  <c:v>-105.31320739749972</c:v>
                </c:pt>
                <c:pt idx="477">
                  <c:v>-105.48494181031246</c:v>
                </c:pt>
                <c:pt idx="478">
                  <c:v>-105.6632767549923</c:v>
                </c:pt>
                <c:pt idx="479">
                  <c:v>-105.84832525684453</c:v>
                </c:pt>
                <c:pt idx="480">
                  <c:v>-106.04019749893264</c:v>
                </c:pt>
                <c:pt idx="481">
                  <c:v>-106.23900090554126</c:v>
                </c:pt>
                <c:pt idx="482">
                  <c:v>-106.44484020668718</c:v>
                </c:pt>
                <c:pt idx="483">
                  <c:v>-106.65781748356686</c:v>
                </c:pt>
                <c:pt idx="484">
                  <c:v>-106.87803219485689</c:v>
                </c:pt>
                <c:pt idx="485">
                  <c:v>-107.10558118380527</c:v>
                </c:pt>
                <c:pt idx="486">
                  <c:v>-107.34055866607319</c:v>
                </c:pt>
                <c:pt idx="487">
                  <c:v>-107.58305619830861</c:v>
                </c:pt>
                <c:pt idx="488">
                  <c:v>-107.83316262746084</c:v>
                </c:pt>
                <c:pt idx="489">
                  <c:v>-108.09096402086851</c:v>
                </c:pt>
                <c:pt idx="490">
                  <c:v>-108.3565435771846</c:v>
                </c:pt>
                <c:pt idx="491">
                  <c:v>-108.62998151823399</c:v>
                </c:pt>
                <c:pt idx="492">
                  <c:v>-108.91135496193695</c:v>
                </c:pt>
                <c:pt idx="493">
                  <c:v>-109.20073777647433</c:v>
                </c:pt>
                <c:pt idx="494">
                  <c:v>-109.49820041591629</c:v>
                </c:pt>
                <c:pt idx="495">
                  <c:v>-109.80380973759262</c:v>
                </c:pt>
                <c:pt idx="496">
                  <c:v>-110.11762880154018</c:v>
                </c:pt>
                <c:pt idx="497">
                  <c:v>-110.43971665243313</c:v>
                </c:pt>
                <c:pt idx="498">
                  <c:v>-110.77012808447697</c:v>
                </c:pt>
                <c:pt idx="499">
                  <c:v>-111.1089133898264</c:v>
                </c:pt>
                <c:pt idx="500">
                  <c:v>-111.45611809118638</c:v>
                </c:pt>
                <c:pt idx="501">
                  <c:v>-111.81178265934622</c:v>
                </c:pt>
                <c:pt idx="502">
                  <c:v>-112.17594221651363</c:v>
                </c:pt>
                <c:pt idx="503">
                  <c:v>-112.54862622642702</c:v>
                </c:pt>
                <c:pt idx="504">
                  <c:v>-112.92985817234992</c:v>
                </c:pt>
                <c:pt idx="505">
                  <c:v>-113.31965522418764</c:v>
                </c:pt>
                <c:pt idx="506">
                  <c:v>-113.71802789610133</c:v>
                </c:pt>
                <c:pt idx="507">
                  <c:v>-114.12497969614363</c:v>
                </c:pt>
                <c:pt idx="508">
                  <c:v>-114.54050676959348</c:v>
                </c:pt>
                <c:pt idx="509">
                  <c:v>-114.96459753781897</c:v>
                </c:pt>
                <c:pt idx="510">
                  <c:v>-115.39723233465918</c:v>
                </c:pt>
                <c:pt idx="511">
                  <c:v>-115.83838304247527</c:v>
                </c:pt>
                <c:pt idx="512">
                  <c:v>-116.28801273018014</c:v>
                </c:pt>
                <c:pt idx="513">
                  <c:v>-116.74607529570746</c:v>
                </c:pt>
                <c:pt idx="514">
                  <c:v>-117.21251511553869</c:v>
                </c:pt>
                <c:pt idx="515">
                  <c:v>-117.68726670403902</c:v>
                </c:pt>
                <c:pt idx="516">
                  <c:v>-118.17025438549319</c:v>
                </c:pt>
                <c:pt idx="517">
                  <c:v>-118.66139198184256</c:v>
                </c:pt>
                <c:pt idx="518">
                  <c:v>-119.16058251922014</c:v>
                </c:pt>
                <c:pt idx="519">
                  <c:v>-119.66771795647253</c:v>
                </c:pt>
                <c:pt idx="520">
                  <c:v>-120.18267893889578</c:v>
                </c:pt>
                <c:pt idx="521">
                  <c:v>-120.70533458044899</c:v>
                </c:pt>
                <c:pt idx="522">
                  <c:v>-121.23554227770153</c:v>
                </c:pt>
                <c:pt idx="523">
                  <c:v>-121.77314755873579</c:v>
                </c:pt>
                <c:pt idx="524">
                  <c:v>-122.31798397014806</c:v>
                </c:pt>
                <c:pt idx="525">
                  <c:v>-122.8698730051853</c:v>
                </c:pt>
                <c:pt idx="526">
                  <c:v>-123.42862407589364</c:v>
                </c:pt>
                <c:pt idx="527">
                  <c:v>-123.99403453196598</c:v>
                </c:pt>
                <c:pt idx="528">
                  <c:v>-124.56588972873054</c:v>
                </c:pt>
                <c:pt idx="529">
                  <c:v>-125.14396314645248</c:v>
                </c:pt>
                <c:pt idx="530">
                  <c:v>-125.72801656277485</c:v>
                </c:pt>
                <c:pt idx="531">
                  <c:v>-126.31780027978768</c:v>
                </c:pt>
                <c:pt idx="532">
                  <c:v>-126.91305340678167</c:v>
                </c:pt>
                <c:pt idx="533">
                  <c:v>-127.51350419933091</c:v>
                </c:pt>
                <c:pt idx="534">
                  <c:v>-128.1188704548527</c:v>
                </c:pt>
                <c:pt idx="535">
                  <c:v>-128.72885996432092</c:v>
                </c:pt>
                <c:pt idx="536">
                  <c:v>-129.34317101927107</c:v>
                </c:pt>
                <c:pt idx="537">
                  <c:v>-129.96149297272564</c:v>
                </c:pt>
                <c:pt idx="538">
                  <c:v>-130.5835068521169</c:v>
                </c:pt>
                <c:pt idx="539">
                  <c:v>-131.20888602176063</c:v>
                </c:pt>
                <c:pt idx="540">
                  <c:v>-131.83729689190505</c:v>
                </c:pt>
                <c:pt idx="541">
                  <c:v>-132.46839967088002</c:v>
                </c:pt>
              </c:numCache>
            </c:numRef>
          </c:yVal>
          <c:smooth val="1"/>
          <c:extLst>
            <c:ext xmlns:c16="http://schemas.microsoft.com/office/drawing/2014/chart" uri="{C3380CC4-5D6E-409C-BE32-E72D297353CC}">
              <c16:uniqueId val="{00000009-02B0-48FE-B0E1-3EE5F93E5E46}"/>
            </c:ext>
          </c:extLst>
        </c:ser>
        <c:dLbls>
          <c:showLegendKey val="0"/>
          <c:showVal val="0"/>
          <c:showCatName val="0"/>
          <c:showSerName val="0"/>
          <c:showPercent val="0"/>
          <c:showBubbleSize val="0"/>
        </c:dLbls>
        <c:axId val="589562624"/>
        <c:axId val="589421184"/>
      </c:scatterChart>
      <c:valAx>
        <c:axId val="589404800"/>
        <c:scaling>
          <c:logBase val="10"/>
          <c:orientation val="minMax"/>
          <c:max val="2000000"/>
          <c:min val="100"/>
        </c:scaling>
        <c:delete val="0"/>
        <c:axPos val="b"/>
        <c:minorGridlines/>
        <c:title>
          <c:tx>
            <c:rich>
              <a:bodyPr/>
              <a:lstStyle/>
              <a:p>
                <a:pPr>
                  <a:defRPr/>
                </a:pPr>
                <a:r>
                  <a:rPr lang="en-US"/>
                  <a:t>Frequency</a:t>
                </a:r>
                <a:r>
                  <a:rPr lang="en-US" baseline="0"/>
                  <a:t> (Hz)</a:t>
                </a:r>
                <a:endParaRPr lang="en-US"/>
              </a:p>
            </c:rich>
          </c:tx>
          <c:overlay val="0"/>
        </c:title>
        <c:numFmt formatCode="0" sourceLinked="0"/>
        <c:majorTickMark val="out"/>
        <c:minorTickMark val="none"/>
        <c:tickLblPos val="low"/>
        <c:txPr>
          <a:bodyPr/>
          <a:lstStyle/>
          <a:p>
            <a:pPr>
              <a:defRPr b="1"/>
            </a:pPr>
            <a:endParaRPr lang="en-US"/>
          </a:p>
        </c:txPr>
        <c:crossAx val="589419264"/>
        <c:crosses val="autoZero"/>
        <c:crossBetween val="midCat"/>
      </c:valAx>
      <c:valAx>
        <c:axId val="589419264"/>
        <c:scaling>
          <c:orientation val="minMax"/>
          <c:max val="40"/>
          <c:min val="-40"/>
        </c:scaling>
        <c:delete val="0"/>
        <c:axPos val="l"/>
        <c:majorGridlines/>
        <c:minorGridlines/>
        <c:title>
          <c:tx>
            <c:rich>
              <a:bodyPr rot="-5400000" vert="horz"/>
              <a:lstStyle/>
              <a:p>
                <a:pPr>
                  <a:defRPr/>
                </a:pPr>
                <a:r>
                  <a:rPr lang="en-US">
                    <a:solidFill>
                      <a:srgbClr val="FF0000"/>
                    </a:solidFill>
                  </a:rPr>
                  <a:t>Gain</a:t>
                </a:r>
                <a:r>
                  <a:rPr lang="en-US" baseline="0">
                    <a:solidFill>
                      <a:srgbClr val="FF0000"/>
                    </a:solidFill>
                  </a:rPr>
                  <a:t> (dB)</a:t>
                </a:r>
                <a:endParaRPr lang="en-US">
                  <a:solidFill>
                    <a:srgbClr val="FF0000"/>
                  </a:solidFill>
                </a:endParaRPr>
              </a:p>
            </c:rich>
          </c:tx>
          <c:overlay val="0"/>
        </c:title>
        <c:numFmt formatCode="General" sourceLinked="0"/>
        <c:majorTickMark val="out"/>
        <c:minorTickMark val="none"/>
        <c:tickLblPos val="nextTo"/>
        <c:txPr>
          <a:bodyPr/>
          <a:lstStyle/>
          <a:p>
            <a:pPr>
              <a:defRPr b="1">
                <a:solidFill>
                  <a:srgbClr val="FF0000"/>
                </a:solidFill>
              </a:defRPr>
            </a:pPr>
            <a:endParaRPr lang="en-US"/>
          </a:p>
        </c:txPr>
        <c:crossAx val="589404800"/>
        <c:crosses val="autoZero"/>
        <c:crossBetween val="midCat"/>
        <c:majorUnit val="20"/>
        <c:minorUnit val="10"/>
      </c:valAx>
      <c:valAx>
        <c:axId val="589421184"/>
        <c:scaling>
          <c:orientation val="minMax"/>
          <c:max val="180"/>
          <c:min val="-180"/>
        </c:scaling>
        <c:delete val="0"/>
        <c:axPos val="r"/>
        <c:title>
          <c:tx>
            <c:rich>
              <a:bodyPr rot="-5400000" vert="horz"/>
              <a:lstStyle/>
              <a:p>
                <a:pPr>
                  <a:defRPr/>
                </a:pPr>
                <a:r>
                  <a:rPr lang="en-US"/>
                  <a:t>Phase (deg)</a:t>
                </a:r>
              </a:p>
            </c:rich>
          </c:tx>
          <c:overlay val="0"/>
        </c:title>
        <c:numFmt formatCode="General" sourceLinked="1"/>
        <c:majorTickMark val="out"/>
        <c:minorTickMark val="none"/>
        <c:tickLblPos val="nextTo"/>
        <c:txPr>
          <a:bodyPr/>
          <a:lstStyle/>
          <a:p>
            <a:pPr>
              <a:defRPr b="1">
                <a:solidFill>
                  <a:schemeClr val="tx1">
                    <a:lumMod val="95000"/>
                    <a:lumOff val="5000"/>
                  </a:schemeClr>
                </a:solidFill>
              </a:defRPr>
            </a:pPr>
            <a:endParaRPr lang="en-US"/>
          </a:p>
        </c:txPr>
        <c:crossAx val="589562624"/>
        <c:crosses val="max"/>
        <c:crossBetween val="midCat"/>
        <c:majorUnit val="90"/>
        <c:minorUnit val="45"/>
      </c:valAx>
      <c:valAx>
        <c:axId val="589562624"/>
        <c:scaling>
          <c:logBase val="10"/>
          <c:orientation val="minMax"/>
        </c:scaling>
        <c:delete val="1"/>
        <c:axPos val="b"/>
        <c:numFmt formatCode="0.00" sourceLinked="1"/>
        <c:majorTickMark val="out"/>
        <c:minorTickMark val="none"/>
        <c:tickLblPos val="nextTo"/>
        <c:crossAx val="589421184"/>
        <c:crosses val="autoZero"/>
        <c:crossBetween val="midCat"/>
      </c:valAx>
    </c:plotArea>
    <c:legend>
      <c:legendPos val="r"/>
      <c:legendEntry>
        <c:idx val="1"/>
        <c:delete val="1"/>
      </c:legendEntry>
      <c:legendEntry>
        <c:idx val="2"/>
        <c:delete val="1"/>
      </c:legendEntry>
      <c:legendEntry>
        <c:idx val="3"/>
        <c:delete val="1"/>
      </c:legendEntry>
      <c:legendEntry>
        <c:idx val="4"/>
        <c:delete val="1"/>
      </c:legendEntry>
      <c:layout>
        <c:manualLayout>
          <c:xMode val="edge"/>
          <c:yMode val="edge"/>
          <c:x val="0.61392536510371165"/>
          <c:y val="7.0381012799940294E-3"/>
          <c:w val="0.28497500584606611"/>
          <c:h val="7.9643865606846526E-2"/>
        </c:manualLayout>
      </c:layout>
      <c:overlay val="1"/>
    </c:legend>
    <c:plotVisOnly val="1"/>
    <c:dispBlanksAs val="gap"/>
    <c:showDLblsOverMax val="0"/>
  </c:chart>
  <c:spPr>
    <a:ln>
      <a:noFill/>
    </a:ln>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Error</a:t>
            </a:r>
            <a:r>
              <a:rPr lang="en-US" baseline="0"/>
              <a:t> Amplifier Transfer</a:t>
            </a:r>
          </a:p>
        </c:rich>
      </c:tx>
      <c:overlay val="0"/>
    </c:title>
    <c:autoTitleDeleted val="0"/>
    <c:plotArea>
      <c:layout/>
      <c:scatterChart>
        <c:scatterStyle val="smoothMarker"/>
        <c:varyColors val="0"/>
        <c:ser>
          <c:idx val="0"/>
          <c:order val="0"/>
          <c:marker>
            <c:symbol val="none"/>
          </c:marker>
          <c:xVal>
            <c:numRef>
              <c:f>CCM_Loop_Modeling_Isolated!$O$19:$O$560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CCM_Loop_Modeling_Isolated!$AT$19:$AT$560</c:f>
              <c:numCache>
                <c:formatCode>General</c:formatCode>
                <c:ptCount val="542"/>
                <c:pt idx="0">
                  <c:v>28.168399917672563</c:v>
                </c:pt>
                <c:pt idx="1">
                  <c:v>28.000109770036516</c:v>
                </c:pt>
                <c:pt idx="2">
                  <c:v>27.833044167189005</c:v>
                </c:pt>
                <c:pt idx="3">
                  <c:v>27.667239462600786</c:v>
                </c:pt>
                <c:pt idx="4">
                  <c:v>27.502732226835956</c:v>
                </c:pt>
                <c:pt idx="5">
                  <c:v>27.339559175961131</c:v>
                </c:pt>
                <c:pt idx="6">
                  <c:v>27.17775709473246</c:v>
                </c:pt>
                <c:pt idx="7">
                  <c:v>27.017362754584923</c:v>
                </c:pt>
                <c:pt idx="8">
                  <c:v>26.858412826491008</c:v>
                </c:pt>
                <c:pt idx="9">
                  <c:v>26.700943788797218</c:v>
                </c:pt>
                <c:pt idx="10">
                  <c:v>26.544991830195258</c:v>
                </c:pt>
                <c:pt idx="11">
                  <c:v>26.390592748033214</c:v>
                </c:pt>
                <c:pt idx="12">
                  <c:v>26.237781842222869</c:v>
                </c:pt>
                <c:pt idx="13">
                  <c:v>26.086593805051717</c:v>
                </c:pt>
                <c:pt idx="14">
                  <c:v>25.93706260726162</c:v>
                </c:pt>
                <c:pt idx="15">
                  <c:v>25.789221380809639</c:v>
                </c:pt>
                <c:pt idx="16">
                  <c:v>25.643102298778977</c:v>
                </c:pt>
                <c:pt idx="17">
                  <c:v>25.498736452959967</c:v>
                </c:pt>
                <c:pt idx="18">
                  <c:v>25.356153729670041</c:v>
                </c:pt>
                <c:pt idx="19">
                  <c:v>25.215382684428519</c:v>
                </c:pt>
                <c:pt idx="20">
                  <c:v>25.076450416142944</c:v>
                </c:pt>
                <c:pt idx="21">
                  <c:v>24.939382441502804</c:v>
                </c:pt>
                <c:pt idx="22">
                  <c:v>24.804202570307456</c:v>
                </c:pt>
                <c:pt idx="23">
                  <c:v>24.670932782478779</c:v>
                </c:pt>
                <c:pt idx="24">
                  <c:v>24.539593107530102</c:v>
                </c:pt>
                <c:pt idx="25">
                  <c:v>24.410201507268408</c:v>
                </c:pt>
                <c:pt idx="26">
                  <c:v>24.282773762512662</c:v>
                </c:pt>
                <c:pt idx="27">
                  <c:v>24.1573233645992</c:v>
                </c:pt>
                <c:pt idx="28">
                  <c:v>24.033861412430504</c:v>
                </c:pt>
                <c:pt idx="29">
                  <c:v>23.912396515795812</c:v>
                </c:pt>
                <c:pt idx="30">
                  <c:v>23.792934705658414</c:v>
                </c:pt>
                <c:pt idx="31">
                  <c:v>23.675479352056087</c:v>
                </c:pt>
                <c:pt idx="32">
                  <c:v>23.560031090211432</c:v>
                </c:pt>
                <c:pt idx="33">
                  <c:v>23.446587755383955</c:v>
                </c:pt>
                <c:pt idx="34">
                  <c:v>23.335144326930664</c:v>
                </c:pt>
                <c:pt idx="35">
                  <c:v>23.225692881963667</c:v>
                </c:pt>
                <c:pt idx="36">
                  <c:v>23.118222558915718</c:v>
                </c:pt>
                <c:pt idx="37">
                  <c:v>23.012719531239341</c:v>
                </c:pt>
                <c:pt idx="38">
                  <c:v>22.909166991380477</c:v>
                </c:pt>
                <c:pt idx="39">
                  <c:v>22.807545145077967</c:v>
                </c:pt>
                <c:pt idx="40">
                  <c:v>22.70783121595505</c:v>
                </c:pt>
                <c:pt idx="41">
                  <c:v>22.609999460282275</c:v>
                </c:pt>
                <c:pt idx="42">
                  <c:v>22.51402119171</c:v>
                </c:pt>
                <c:pt idx="43">
                  <c:v>22.419864815689522</c:v>
                </c:pt>
                <c:pt idx="44">
                  <c:v>22.327495873231232</c:v>
                </c:pt>
                <c:pt idx="45">
                  <c:v>22.236877093581668</c:v>
                </c:pt>
                <c:pt idx="46">
                  <c:v>22.147968455344138</c:v>
                </c:pt>
                <c:pt idx="47">
                  <c:v>22.060727255518053</c:v>
                </c:pt>
                <c:pt idx="48">
                  <c:v>21.975108185893472</c:v>
                </c:pt>
                <c:pt idx="49">
                  <c:v>21.891063416204201</c:v>
                </c:pt>
                <c:pt idx="50">
                  <c:v>21.808542683424964</c:v>
                </c:pt>
                <c:pt idx="51">
                  <c:v>21.727493386584481</c:v>
                </c:pt>
                <c:pt idx="52">
                  <c:v>21.647860686466331</c:v>
                </c:pt>
                <c:pt idx="53">
                  <c:v>21.569587609576082</c:v>
                </c:pt>
                <c:pt idx="54">
                  <c:v>21.492615155770302</c:v>
                </c:pt>
                <c:pt idx="55">
                  <c:v>21.416882408965989</c:v>
                </c:pt>
                <c:pt idx="56">
                  <c:v>21.342326650381921</c:v>
                </c:pt>
                <c:pt idx="57">
                  <c:v>21.268883473799537</c:v>
                </c:pt>
                <c:pt idx="58">
                  <c:v>21.196486902375099</c:v>
                </c:pt>
                <c:pt idx="59">
                  <c:v>21.125069506581475</c:v>
                </c:pt>
                <c:pt idx="60">
                  <c:v>21.054562522909407</c:v>
                </c:pt>
                <c:pt idx="61">
                  <c:v>20.984895973009262</c:v>
                </c:pt>
                <c:pt idx="62">
                  <c:v>20.915998783008888</c:v>
                </c:pt>
                <c:pt idx="63">
                  <c:v>20.847798902797969</c:v>
                </c:pt>
                <c:pt idx="64">
                  <c:v>20.780223425118546</c:v>
                </c:pt>
                <c:pt idx="65">
                  <c:v>20.713198704357314</c:v>
                </c:pt>
                <c:pt idx="66">
                  <c:v>20.646650474977783</c:v>
                </c:pt>
                <c:pt idx="67">
                  <c:v>20.580503969578725</c:v>
                </c:pt>
                <c:pt idx="68">
                  <c:v>20.514684036602411</c:v>
                </c:pt>
                <c:pt idx="69">
                  <c:v>20.449115257753341</c:v>
                </c:pt>
                <c:pt idx="70">
                  <c:v>20.383722065214279</c:v>
                </c:pt>
                <c:pt idx="71">
                  <c:v>20.318428858772677</c:v>
                </c:pt>
                <c:pt idx="72">
                  <c:v>20.253160122984298</c:v>
                </c:pt>
                <c:pt idx="73">
                  <c:v>20.18784054451331</c:v>
                </c:pt>
                <c:pt idx="74">
                  <c:v>20.122395129789052</c:v>
                </c:pt>
                <c:pt idx="75">
                  <c:v>20.056749323117401</c:v>
                </c:pt>
                <c:pt idx="76">
                  <c:v>19.990829125373413</c:v>
                </c:pt>
                <c:pt idx="77">
                  <c:v>19.9245612133851</c:v>
                </c:pt>
                <c:pt idx="78">
                  <c:v>19.85787306009361</c:v>
                </c:pt>
                <c:pt idx="79">
                  <c:v>19.790693055546672</c:v>
                </c:pt>
                <c:pt idx="80">
                  <c:v>19.722950628746059</c:v>
                </c:pt>
                <c:pt idx="81">
                  <c:v>19.654576370329355</c:v>
                </c:pt>
                <c:pt idx="82">
                  <c:v>19.585502156022624</c:v>
                </c:pt>
                <c:pt idx="83">
                  <c:v>19.515661270751345</c:v>
                </c:pt>
                <c:pt idx="84">
                  <c:v>19.444988533246061</c:v>
                </c:pt>
                <c:pt idx="85">
                  <c:v>19.373420420927147</c:v>
                </c:pt>
                <c:pt idx="86">
                  <c:v>19.300895194797508</c:v>
                </c:pt>
                <c:pt idx="87">
                  <c:v>19.227353024019749</c:v>
                </c:pt>
                <c:pt idx="88">
                  <c:v>19.152736109800781</c:v>
                </c:pt>
                <c:pt idx="89">
                  <c:v>19.076988808156429</c:v>
                </c:pt>
                <c:pt idx="90">
                  <c:v>19.000057751081577</c:v>
                </c:pt>
                <c:pt idx="91">
                  <c:v>18.921891965607681</c:v>
                </c:pt>
                <c:pt idx="92">
                  <c:v>18.842442990193224</c:v>
                </c:pt>
                <c:pt idx="93">
                  <c:v>18.761664987859938</c:v>
                </c:pt>
                <c:pt idx="94">
                  <c:v>18.679514855464067</c:v>
                </c:pt>
                <c:pt idx="95">
                  <c:v>18.595952328476063</c:v>
                </c:pt>
                <c:pt idx="96">
                  <c:v>18.5109400806335</c:v>
                </c:pt>
                <c:pt idx="97">
                  <c:v>18.424443817834629</c:v>
                </c:pt>
                <c:pt idx="98">
                  <c:v>18.336432365649276</c:v>
                </c:pt>
                <c:pt idx="99">
                  <c:v>18.246877749845638</c:v>
                </c:pt>
                <c:pt idx="100">
                  <c:v>18.155755269359986</c:v>
                </c:pt>
                <c:pt idx="101">
                  <c:v>18.063043561176109</c:v>
                </c:pt>
                <c:pt idx="102">
                  <c:v>17.968724656629085</c:v>
                </c:pt>
                <c:pt idx="103">
                  <c:v>17.87278402870313</c:v>
                </c:pt>
                <c:pt idx="104">
                  <c:v>17.77521062995816</c:v>
                </c:pt>
                <c:pt idx="105">
                  <c:v>17.675996920787647</c:v>
                </c:pt>
                <c:pt idx="106">
                  <c:v>17.575138887786814</c:v>
                </c:pt>
                <c:pt idx="107">
                  <c:v>17.472636052087939</c:v>
                </c:pt>
                <c:pt idx="108">
                  <c:v>17.3684914676024</c:v>
                </c:pt>
                <c:pt idx="109">
                  <c:v>17.262711709190494</c:v>
                </c:pt>
                <c:pt idx="110">
                  <c:v>17.155306850863749</c:v>
                </c:pt>
                <c:pt idx="111">
                  <c:v>17.046290434205439</c:v>
                </c:pt>
                <c:pt idx="112">
                  <c:v>16.935679427271634</c:v>
                </c:pt>
                <c:pt idx="113">
                  <c:v>16.823494174310834</c:v>
                </c:pt>
                <c:pt idx="114">
                  <c:v>16.709758336705839</c:v>
                </c:pt>
                <c:pt idx="115">
                  <c:v>16.594498825605193</c:v>
                </c:pt>
                <c:pt idx="116">
                  <c:v>16.477745726762684</c:v>
                </c:pt>
                <c:pt idx="117">
                  <c:v>16.359532218151404</c:v>
                </c:pt>
                <c:pt idx="118">
                  <c:v>16.23989448095238</c:v>
                </c:pt>
                <c:pt idx="119">
                  <c:v>16.118871604547252</c:v>
                </c:pt>
                <c:pt idx="120">
                  <c:v>15.996505486159624</c:v>
                </c:pt>
                <c:pt idx="121">
                  <c:v>15.872840725799422</c:v>
                </c:pt>
                <c:pt idx="122">
                  <c:v>15.747924517161216</c:v>
                </c:pt>
                <c:pt idx="123">
                  <c:v>15.621806535118477</c:v>
                </c:pt>
                <c:pt idx="124">
                  <c:v>15.494538820434723</c:v>
                </c:pt>
                <c:pt idx="125">
                  <c:v>15.36617566228712</c:v>
                </c:pt>
                <c:pt idx="126">
                  <c:v>15.236773479163553</c:v>
                </c:pt>
                <c:pt idx="127">
                  <c:v>15.106390698652593</c:v>
                </c:pt>
                <c:pt idx="128">
                  <c:v>14.975087636601979</c:v>
                </c:pt>
                <c:pt idx="129">
                  <c:v>14.842926376069448</c:v>
                </c:pt>
                <c:pt idx="130">
                  <c:v>14.709970646439368</c:v>
                </c:pt>
                <c:pt idx="131">
                  <c:v>14.576285703019883</c:v>
                </c:pt>
                <c:pt idx="132">
                  <c:v>14.441938207381419</c:v>
                </c:pt>
                <c:pt idx="133">
                  <c:v>14.30699610864089</c:v>
                </c:pt>
                <c:pt idx="134">
                  <c:v>14.171528525837665</c:v>
                </c:pt>
                <c:pt idx="135">
                  <c:v>14.035605631497516</c:v>
                </c:pt>
                <c:pt idx="136">
                  <c:v>13.899298536426352</c:v>
                </c:pt>
                <c:pt idx="137">
                  <c:v>13.762679175729176</c:v>
                </c:pt>
                <c:pt idx="138">
                  <c:v>13.625820196006831</c:v>
                </c:pt>
                <c:pt idx="139">
                  <c:v>13.4887948436425</c:v>
                </c:pt>
                <c:pt idx="140">
                  <c:v>13.351676854059386</c:v>
                </c:pt>
                <c:pt idx="141">
                  <c:v>13.214540341800905</c:v>
                </c:pt>
                <c:pt idx="142">
                  <c:v>13.077459691264862</c:v>
                </c:pt>
                <c:pt idx="143">
                  <c:v>12.940509447909715</c:v>
                </c:pt>
                <c:pt idx="144">
                  <c:v>12.803764209738823</c:v>
                </c:pt>
                <c:pt idx="145">
                  <c:v>12.667298518872837</c:v>
                </c:pt>
                <c:pt idx="146">
                  <c:v>12.531186753022103</c:v>
                </c:pt>
                <c:pt idx="147">
                  <c:v>12.395503016684234</c:v>
                </c:pt>
                <c:pt idx="148">
                  <c:v>12.260321031912309</c:v>
                </c:pt>
                <c:pt idx="149">
                  <c:v>12.125714028523099</c:v>
                </c:pt>
                <c:pt idx="150">
                  <c:v>11.991754633645868</c:v>
                </c:pt>
                <c:pt idx="151">
                  <c:v>11.858514760550666</c:v>
                </c:pt>
                <c:pt idx="152">
                  <c:v>11.726065496734247</c:v>
                </c:pt>
                <c:pt idx="153">
                  <c:v>11.59447699129168</c:v>
                </c:pt>
                <c:pt idx="154">
                  <c:v>11.46381834164684</c:v>
                </c:pt>
                <c:pt idx="155">
                  <c:v>11.334157479772514</c:v>
                </c:pt>
                <c:pt idx="156">
                  <c:v>11.205561058082665</c:v>
                </c:pt>
                <c:pt idx="157">
                  <c:v>11.078094335236472</c:v>
                </c:pt>
                <c:pt idx="158">
                  <c:v>10.951821062149897</c:v>
                </c:pt>
                <c:pt idx="159">
                  <c:v>10.826803368566136</c:v>
                </c:pt>
                <c:pt idx="160">
                  <c:v>10.703101650590288</c:v>
                </c:pt>
                <c:pt idx="161">
                  <c:v>10.58077445964182</c:v>
                </c:pt>
                <c:pt idx="162">
                  <c:v>10.459878393329085</c:v>
                </c:pt>
                <c:pt idx="163">
                  <c:v>10.340467988787774</c:v>
                </c:pt>
                <c:pt idx="164">
                  <c:v>10.222595619062771</c:v>
                </c:pt>
                <c:pt idx="165">
                  <c:v>10.106311393141658</c:v>
                </c:pt>
                <c:pt idx="166">
                  <c:v>9.9916630602686336</c:v>
                </c:pt>
                <c:pt idx="167">
                  <c:v>9.8786959191790569</c:v>
                </c:pt>
                <c:pt idx="168">
                  <c:v>9.7674527328994589</c:v>
                </c:pt>
                <c:pt idx="169">
                  <c:v>9.6579736497531687</c:v>
                </c:pt>
                <c:pt idx="170">
                  <c:v>9.5502961311909118</c:v>
                </c:pt>
                <c:pt idx="171">
                  <c:v>9.4444548870466765</c:v>
                </c:pt>
                <c:pt idx="172">
                  <c:v>9.3404818187776897</c:v>
                </c:pt>
                <c:pt idx="173">
                  <c:v>9.2384059712079765</c:v>
                </c:pt>
                <c:pt idx="174">
                  <c:v>9.1382534932360517</c:v>
                </c:pt>
                <c:pt idx="175">
                  <c:v>9.0400476079106049</c:v>
                </c:pt>
                <c:pt idx="176">
                  <c:v>8.9438085922041832</c:v>
                </c:pt>
                <c:pt idx="177">
                  <c:v>8.8495537667433837</c:v>
                </c:pt>
                <c:pt idx="178">
                  <c:v>8.7572974956700929</c:v>
                </c:pt>
                <c:pt idx="179">
                  <c:v>8.6670511967262556</c:v>
                </c:pt>
                <c:pt idx="180">
                  <c:v>8.5788233615662328</c:v>
                </c:pt>
                <c:pt idx="181">
                  <c:v>8.4926195862127258</c:v>
                </c:pt>
                <c:pt idx="182">
                  <c:v>8.4084426114859987</c:v>
                </c:pt>
                <c:pt idx="183">
                  <c:v>8.3262923731477763</c:v>
                </c:pt>
                <c:pt idx="184">
                  <c:v>8.2461660614209684</c:v>
                </c:pt>
                <c:pt idx="185">
                  <c:v>8.1680581894655209</c:v>
                </c:pt>
                <c:pt idx="186">
                  <c:v>8.0919606703203844</c:v>
                </c:pt>
                <c:pt idx="187">
                  <c:v>8.0178629017535616</c:v>
                </c:pt>
                <c:pt idx="188">
                  <c:v>7.945751858405238</c:v>
                </c:pt>
                <c:pt idx="189">
                  <c:v>7.8756121905580221</c:v>
                </c:pt>
                <c:pt idx="190">
                  <c:v>7.8074263288278534</c:v>
                </c:pt>
                <c:pt idx="191">
                  <c:v>7.7411745940359911</c:v>
                </c:pt>
                <c:pt idx="192">
                  <c:v>7.6768353115013443</c:v>
                </c:pt>
                <c:pt idx="193">
                  <c:v>7.614384928978243</c:v>
                </c:pt>
                <c:pt idx="194">
                  <c:v>7.5537981374608387</c:v>
                </c:pt>
                <c:pt idx="195">
                  <c:v>7.4950479940803607</c:v>
                </c:pt>
                <c:pt idx="196">
                  <c:v>7.4381060463340614</c:v>
                </c:pt>
                <c:pt idx="197">
                  <c:v>7.3829424569072835</c:v>
                </c:pt>
                <c:pt idx="198">
                  <c:v>7.3295261283748045</c:v>
                </c:pt>
                <c:pt idx="199">
                  <c:v>7.2778248271054746</c:v>
                </c:pt>
                <c:pt idx="200">
                  <c:v>7.2278053057308034</c:v>
                </c:pt>
                <c:pt idx="201">
                  <c:v>7.1794334235834345</c:v>
                </c:pt>
                <c:pt idx="202">
                  <c:v>7.1326742645590198</c:v>
                </c:pt>
                <c:pt idx="203">
                  <c:v>7.0874922519045089</c:v>
                </c:pt>
                <c:pt idx="204">
                  <c:v>7.0438512594894087</c:v>
                </c:pt>
                <c:pt idx="205">
                  <c:v>7.0017147191670315</c:v>
                </c:pt>
                <c:pt idx="206">
                  <c:v>6.9610457238896215</c:v>
                </c:pt>
                <c:pt idx="207">
                  <c:v>6.9218071262906111</c:v>
                </c:pt>
                <c:pt idx="208">
                  <c:v>6.8839616325012294</c:v>
                </c:pt>
                <c:pt idx="209">
                  <c:v>6.8474718910177774</c:v>
                </c:pt>
                <c:pt idx="210">
                  <c:v>6.812300576483409</c:v>
                </c:pt>
                <c:pt idx="211">
                  <c:v>6.7784104682951742</c:v>
                </c:pt>
                <c:pt idx="212">
                  <c:v>6.7457645239860327</c:v>
                </c:pt>
                <c:pt idx="213">
                  <c:v>6.7143259473759533</c:v>
                </c:pt>
                <c:pt idx="214">
                  <c:v>6.6840582515163485</c:v>
                </c:pt>
                <c:pt idx="215">
                  <c:v>6.6549253164897912</c:v>
                </c:pt>
                <c:pt idx="216">
                  <c:v>6.6268914421520115</c:v>
                </c:pt>
                <c:pt idx="217">
                  <c:v>6.5999213959324168</c:v>
                </c:pt>
                <c:pt idx="218">
                  <c:v>6.5739804558278392</c:v>
                </c:pt>
                <c:pt idx="219">
                  <c:v>6.5490344487469798</c:v>
                </c:pt>
                <c:pt idx="220">
                  <c:v>6.5250497843758222</c:v>
                </c:pt>
                <c:pt idx="221">
                  <c:v>6.5019934847493444</c:v>
                </c:pt>
                <c:pt idx="222">
                  <c:v>6.4798332097234539</c:v>
                </c:pt>
                <c:pt idx="223">
                  <c:v>6.4585372785492314</c:v>
                </c:pt>
                <c:pt idx="224">
                  <c:v>6.4380746877565507</c:v>
                </c:pt>
                <c:pt idx="225">
                  <c:v>6.418415125556586</c:v>
                </c:pt>
                <c:pt idx="226">
                  <c:v>6.3995289829748501</c:v>
                </c:pt>
                <c:pt idx="227">
                  <c:v>6.3813873619234238</c:v>
                </c:pt>
                <c:pt idx="228">
                  <c:v>6.3639620804209276</c:v>
                </c:pt>
                <c:pt idx="229">
                  <c:v>6.3472256751632292</c:v>
                </c:pt>
                <c:pt idx="230">
                  <c:v>6.3311514016444717</c:v>
                </c:pt>
                <c:pt idx="231">
                  <c:v>6.3157132320206291</c:v>
                </c:pt>
                <c:pt idx="232">
                  <c:v>6.3008858509022927</c:v>
                </c:pt>
                <c:pt idx="233">
                  <c:v>6.286644649256079</c:v>
                </c:pt>
                <c:pt idx="234">
                  <c:v>6.2729657165839665</c:v>
                </c:pt>
                <c:pt idx="235">
                  <c:v>6.2598258315456023</c:v>
                </c:pt>
                <c:pt idx="236">
                  <c:v>6.2472024511768804</c:v>
                </c:pt>
                <c:pt idx="237">
                  <c:v>6.235073698849714</c:v>
                </c:pt>
                <c:pt idx="238">
                  <c:v>6.223418351111615</c:v>
                </c:pt>
                <c:pt idx="239">
                  <c:v>6.2122158235319036</c:v>
                </c:pt>
                <c:pt idx="240">
                  <c:v>6.2014461556748701</c:v>
                </c:pt>
                <c:pt idx="241">
                  <c:v>6.1910899953111231</c:v>
                </c:pt>
                <c:pt idx="242">
                  <c:v>6.1811285819689141</c:v>
                </c:pt>
                <c:pt idx="243">
                  <c:v>6.171543729922389</c:v>
                </c:pt>
                <c:pt idx="244">
                  <c:v>6.1623178107006993</c:v>
                </c:pt>
                <c:pt idx="245">
                  <c:v>6.153433735200645</c:v>
                </c:pt>
                <c:pt idx="246">
                  <c:v>6.1448749354728722</c:v>
                </c:pt>
                <c:pt idx="247">
                  <c:v>6.1366253462476301</c:v>
                </c:pt>
                <c:pt idx="248">
                  <c:v>6.1286693862599853</c:v>
                </c:pt>
                <c:pt idx="249">
                  <c:v>6.120991939425739</c:v>
                </c:pt>
                <c:pt idx="250">
                  <c:v>6.113578335915566</c:v>
                </c:pt>
                <c:pt idx="251">
                  <c:v>6.1064143331697176</c:v>
                </c:pt>
                <c:pt idx="252">
                  <c:v>6.099486096886845</c:v>
                </c:pt>
                <c:pt idx="253">
                  <c:v>6.0927801820214924</c:v>
                </c:pt>
                <c:pt idx="254">
                  <c:v>6.086283513814859</c:v>
                </c:pt>
                <c:pt idx="255">
                  <c:v>6.0799833688822797</c:v>
                </c:pt>
                <c:pt idx="256">
                  <c:v>6.0738673563758603</c:v>
                </c:pt>
                <c:pt idx="257">
                  <c:v>6.0679233992374151</c:v>
                </c:pt>
                <c:pt idx="258">
                  <c:v>6.0621397155537782</c:v>
                </c:pt>
                <c:pt idx="259">
                  <c:v>6.0565048000223429</c:v>
                </c:pt>
                <c:pt idx="260">
                  <c:v>6.0510074055336442</c:v>
                </c:pt>
                <c:pt idx="261">
                  <c:v>6.0456365248729771</c:v>
                </c:pt>
                <c:pt idx="262">
                  <c:v>6.040381372542587</c:v>
                </c:pt>
                <c:pt idx="263">
                  <c:v>6.0352313667038802</c:v>
                </c:pt>
                <c:pt idx="264">
                  <c:v>6.0301761112341747</c:v>
                </c:pt>
                <c:pt idx="265">
                  <c:v>6.0252053778947401</c:v>
                </c:pt>
                <c:pt idx="266">
                  <c:v>6.0203090886035451</c:v>
                </c:pt>
                <c:pt idx="267">
                  <c:v>6.0154772978031934</c:v>
                </c:pt>
                <c:pt idx="268">
                  <c:v>6.010700174915411</c:v>
                </c:pt>
                <c:pt idx="269">
                  <c:v>6.0059679868728333</c:v>
                </c:pt>
                <c:pt idx="270">
                  <c:v>6.001271080714722</c:v>
                </c:pt>
                <c:pt idx="271">
                  <c:v>5.9965998662359787</c:v>
                </c:pt>
                <c:pt idx="272">
                  <c:v>5.9919447986754371</c:v>
                </c:pt>
                <c:pt idx="273">
                  <c:v>5.9872963614311256</c:v>
                </c:pt>
                <c:pt idx="274">
                  <c:v>5.9826450487879113</c:v>
                </c:pt>
                <c:pt idx="275">
                  <c:v>5.9779813486439313</c:v>
                </c:pt>
                <c:pt idx="276">
                  <c:v>5.9732957252204653</c:v>
                </c:pt>
                <c:pt idx="277">
                  <c:v>5.9685786017429674</c:v>
                </c:pt>
                <c:pt idx="278">
                  <c:v>5.9638203430766188</c:v>
                </c:pt>
                <c:pt idx="279">
                  <c:v>5.9590112383042673</c:v>
                </c:pt>
                <c:pt idx="280">
                  <c:v>5.9541414832316075</c:v>
                </c:pt>
                <c:pt idx="281">
                  <c:v>5.9492011628076034</c:v>
                </c:pt>
                <c:pt idx="282">
                  <c:v>5.9441802334459712</c:v>
                </c:pt>
                <c:pt idx="283">
                  <c:v>5.9390685052372696</c:v>
                </c:pt>
                <c:pt idx="284">
                  <c:v>5.9338556240388556</c:v>
                </c:pt>
                <c:pt idx="285">
                  <c:v>5.9285310534344049</c:v>
                </c:pt>
                <c:pt idx="286">
                  <c:v>5.9230840565514677</c:v>
                </c:pt>
                <c:pt idx="287">
                  <c:v>5.9175036777319896</c:v>
                </c:pt>
                <c:pt idx="288">
                  <c:v>5.9117787240477071</c:v>
                </c:pt>
                <c:pt idx="289">
                  <c:v>5.9058977466561302</c:v>
                </c:pt>
                <c:pt idx="290">
                  <c:v>5.8998490219956512</c:v>
                </c:pt>
                <c:pt idx="291">
                  <c:v>5.8936205328166755</c:v>
                </c:pt>
                <c:pt idx="292">
                  <c:v>5.8871999490522562</c:v>
                </c:pt>
                <c:pt idx="293">
                  <c:v>5.8805746085319779</c:v>
                </c:pt>
                <c:pt idx="294">
                  <c:v>5.8737314975443589</c:v>
                </c:pt>
                <c:pt idx="295">
                  <c:v>5.8666572312591603</c:v>
                </c:pt>
                <c:pt idx="296">
                  <c:v>5.8593380340210333</c:v>
                </c:pt>
                <c:pt idx="297">
                  <c:v>5.8517597195319802</c:v>
                </c:pt>
                <c:pt idx="298">
                  <c:v>5.8439076709414293</c:v>
                </c:pt>
                <c:pt idx="299">
                  <c:v>5.8357668208691349</c:v>
                </c:pt>
                <c:pt idx="300">
                  <c:v>5.8273216313886369</c:v>
                </c:pt>
                <c:pt idx="301">
                  <c:v>5.8185560740046895</c:v>
                </c:pt>
                <c:pt idx="302">
                  <c:v>5.8094536096625129</c:v>
                </c:pt>
                <c:pt idx="303">
                  <c:v>5.7999971688327898</c:v>
                </c:pt>
                <c:pt idx="304">
                  <c:v>5.7901691317210835</c:v>
                </c:pt>
                <c:pt idx="305">
                  <c:v>5.7799513086567389</c:v>
                </c:pt>
                <c:pt idx="306">
                  <c:v>5.7693249207227124</c:v>
                </c:pt>
                <c:pt idx="307">
                  <c:v>5.7582705806951529</c:v>
                </c:pt>
                <c:pt idx="308">
                  <c:v>5.7467682743662527</c:v>
                </c:pt>
                <c:pt idx="309">
                  <c:v>5.7347973423347751</c:v>
                </c:pt>
                <c:pt idx="310">
                  <c:v>5.7223364623520734</c:v>
                </c:pt>
                <c:pt idx="311">
                  <c:v>5.7093636323234778</c:v>
                </c:pt>
                <c:pt idx="312">
                  <c:v>5.695856154069741</c:v>
                </c:pt>
                <c:pt idx="313">
                  <c:v>5.6817906179630606</c:v>
                </c:pt>
                <c:pt idx="314">
                  <c:v>5.6671428885606856</c:v>
                </c:pt>
                <c:pt idx="315">
                  <c:v>5.6518880913672156</c:v>
                </c:pt>
                <c:pt idx="316">
                  <c:v>5.6360006008653505</c:v>
                </c:pt>
                <c:pt idx="317">
                  <c:v>5.6194540299636344</c:v>
                </c:pt>
                <c:pt idx="318">
                  <c:v>5.6022212210176754</c:v>
                </c:pt>
                <c:pt idx="319">
                  <c:v>5.584274238590158</c:v>
                </c:pt>
                <c:pt idx="320">
                  <c:v>5.5655843641213156</c:v>
                </c:pt>
                <c:pt idx="321">
                  <c:v>5.5461220926917338</c:v>
                </c:pt>
                <c:pt idx="322">
                  <c:v>5.5258571320617484</c:v>
                </c:pt>
                <c:pt idx="323">
                  <c:v>5.50475840418129</c:v>
                </c:pt>
                <c:pt idx="324">
                  <c:v>5.4827940493687697</c:v>
                </c:pt>
                <c:pt idx="325">
                  <c:v>5.4599314333571893</c:v>
                </c:pt>
                <c:pt idx="326">
                  <c:v>5.4361371574142625</c:v>
                </c:pt>
                <c:pt idx="327">
                  <c:v>5.4113770717408949</c:v>
                </c:pt>
                <c:pt idx="328">
                  <c:v>5.3856162923506723</c:v>
                </c:pt>
                <c:pt idx="329">
                  <c:v>5.3588192216338459</c:v>
                </c:pt>
                <c:pt idx="330">
                  <c:v>5.3309495728016811</c:v>
                </c:pt>
                <c:pt idx="331">
                  <c:v>5.3019703984014397</c:v>
                </c:pt>
                <c:pt idx="332">
                  <c:v>5.2718441230819408</c:v>
                </c:pt>
                <c:pt idx="333">
                  <c:v>5.2405325807774368</c:v>
                </c:pt>
                <c:pt idx="334">
                  <c:v>5.2079970564624727</c:v>
                </c:pt>
                <c:pt idx="335">
                  <c:v>5.1741983326114607</c:v>
                </c:pt>
                <c:pt idx="336">
                  <c:v>5.1390967404759227</c:v>
                </c:pt>
                <c:pt idx="337">
                  <c:v>5.1026522162655477</c:v>
                </c:pt>
                <c:pt idx="338">
                  <c:v>5.0648243622933187</c:v>
                </c:pt>
                <c:pt idx="339">
                  <c:v>5.0255725131104274</c:v>
                </c:pt>
                <c:pt idx="340">
                  <c:v>4.9848558066238118</c:v>
                </c:pt>
                <c:pt idx="341">
                  <c:v>4.9426332601480469</c:v>
                </c:pt>
                <c:pt idx="342">
                  <c:v>4.8988638513048146</c:v>
                </c:pt>
                <c:pt idx="343">
                  <c:v>4.853506603635255</c:v>
                </c:pt>
                <c:pt idx="344">
                  <c:v>4.8065206767447997</c:v>
                </c:pt>
                <c:pt idx="345">
                  <c:v>4.7578654607520479</c:v>
                </c:pt>
                <c:pt idx="346">
                  <c:v>4.7075006747581307</c:v>
                </c:pt>
                <c:pt idx="347">
                  <c:v>4.6553864690051974</c:v>
                </c:pt>
                <c:pt idx="348">
                  <c:v>4.6014835303363375</c:v>
                </c:pt>
                <c:pt idx="349">
                  <c:v>4.5457531905176909</c:v>
                </c:pt>
                <c:pt idx="350">
                  <c:v>4.4881575369306619</c:v>
                </c:pt>
                <c:pt idx="351">
                  <c:v>4.4286595250950773</c:v>
                </c:pt>
                <c:pt idx="352">
                  <c:v>4.3672230924298017</c:v>
                </c:pt>
                <c:pt idx="353">
                  <c:v>4.3038132726211629</c:v>
                </c:pt>
                <c:pt idx="354">
                  <c:v>4.2383963099234743</c:v>
                </c:pt>
                <c:pt idx="355">
                  <c:v>4.170939772684557</c:v>
                </c:pt>
                <c:pt idx="356">
                  <c:v>4.1014126653592626</c:v>
                </c:pt>
                <c:pt idx="357">
                  <c:v>4.0297855382546501</c:v>
                </c:pt>
                <c:pt idx="358">
                  <c:v>3.956030594233066</c:v>
                </c:pt>
                <c:pt idx="359">
                  <c:v>3.8801217915989898</c:v>
                </c:pt>
                <c:pt idx="360">
                  <c:v>3.8020349423944033</c:v>
                </c:pt>
                <c:pt idx="361">
                  <c:v>3.7217478053434054</c:v>
                </c:pt>
                <c:pt idx="362">
                  <c:v>3.6392401727075803</c:v>
                </c:pt>
                <c:pt idx="363">
                  <c:v>3.5544939503473461</c:v>
                </c:pt>
                <c:pt idx="364">
                  <c:v>3.4674932303233708</c:v>
                </c:pt>
                <c:pt idx="365">
                  <c:v>3.3782243554257412</c:v>
                </c:pt>
                <c:pt idx="366">
                  <c:v>3.2866759750750472</c:v>
                </c:pt>
                <c:pt idx="367">
                  <c:v>3.1928390921110128</c:v>
                </c:pt>
                <c:pt idx="368">
                  <c:v>3.0967071000525297</c:v>
                </c:pt>
                <c:pt idx="369">
                  <c:v>2.9982758105012803</c:v>
                </c:pt>
                <c:pt idx="370">
                  <c:v>2.8975434704400307</c:v>
                </c:pt>
                <c:pt idx="371">
                  <c:v>2.794510769270758</c:v>
                </c:pt>
                <c:pt idx="372">
                  <c:v>2.6891808355272935</c:v>
                </c:pt>
                <c:pt idx="373">
                  <c:v>2.5815592232908511</c:v>
                </c:pt>
                <c:pt idx="374">
                  <c:v>2.4716538884286341</c:v>
                </c:pt>
                <c:pt idx="375">
                  <c:v>2.3594751548679098</c:v>
                </c:pt>
                <c:pt idx="376">
                  <c:v>2.2450356712018902</c:v>
                </c:pt>
                <c:pt idx="377">
                  <c:v>2.1283503580109637</c:v>
                </c:pt>
                <c:pt idx="378">
                  <c:v>2.0094363463561966</c:v>
                </c:pt>
                <c:pt idx="379">
                  <c:v>1.8883129079739505</c:v>
                </c:pt>
                <c:pt idx="380">
                  <c:v>1.7650013777627551</c:v>
                </c:pt>
                <c:pt idx="381">
                  <c:v>1.6395250692083616</c:v>
                </c:pt>
                <c:pt idx="382">
                  <c:v>1.5119091834355045</c:v>
                </c:pt>
                <c:pt idx="383">
                  <c:v>1.382180712615414</c:v>
                </c:pt>
                <c:pt idx="384">
                  <c:v>1.2503683384772293</c:v>
                </c:pt>
                <c:pt idx="385">
                  <c:v>1.1165023266964522</c:v>
                </c:pt>
                <c:pt idx="386">
                  <c:v>0.98061441793226944</c:v>
                </c:pt>
                <c:pt idx="387">
                  <c:v>0.84273771629046412</c:v>
                </c:pt>
                <c:pt idx="388">
                  <c:v>0.70290657597387818</c:v>
                </c:pt>
                <c:pt idx="389">
                  <c:v>0.56115648686568531</c:v>
                </c:pt>
                <c:pt idx="390">
                  <c:v>0.41752395976460882</c:v>
                </c:pt>
                <c:pt idx="391">
                  <c:v>0.27204641195819523</c:v>
                </c:pt>
                <c:pt idx="392">
                  <c:v>0.12476205378429543</c:v>
                </c:pt>
                <c:pt idx="393">
                  <c:v>-2.429022321428511E-2</c:v>
                </c:pt>
                <c:pt idx="394">
                  <c:v>-0.17507095598227704</c:v>
                </c:pt>
                <c:pt idx="395">
                  <c:v>-0.32754021697928465</c:v>
                </c:pt>
                <c:pt idx="396">
                  <c:v>-0.48165771808644897</c:v>
                </c:pt>
                <c:pt idx="397">
                  <c:v>-0.63738291098240563</c:v>
                </c:pt>
                <c:pt idx="398">
                  <c:v>-0.79467508363889228</c:v>
                </c:pt>
                <c:pt idx="399">
                  <c:v>-0.9534934526326776</c:v>
                </c:pt>
                <c:pt idx="400">
                  <c:v>-1.1137972510271739</c:v>
                </c:pt>
                <c:pt idx="401">
                  <c:v>-1.2755458116242679</c:v>
                </c:pt>
                <c:pt idx="402">
                  <c:v>-1.4386986454365633</c:v>
                </c:pt>
                <c:pt idx="403">
                  <c:v>-1.6032155152755792</c:v>
                </c:pt>
                <c:pt idx="404">
                  <c:v>-1.7690565043942348</c:v>
                </c:pt>
                <c:pt idx="405">
                  <c:v>-1.936182080161573</c:v>
                </c:pt>
                <c:pt idx="406">
                  <c:v>-2.1045531527859351</c:v>
                </c:pt>
                <c:pt idx="407">
                  <c:v>-2.2741311291328801</c:v>
                </c:pt>
                <c:pt idx="408">
                  <c:v>-2.4448779617177778</c:v>
                </c:pt>
                <c:pt idx="409">
                  <c:v>-2.6167561929761627</c:v>
                </c:pt>
                <c:pt idx="410">
                  <c:v>-2.7897289949393751</c:v>
                </c:pt>
                <c:pt idx="411">
                  <c:v>-2.9637602044640907</c:v>
                </c:pt>
                <c:pt idx="412">
                  <c:v>-3.1388143541772653</c:v>
                </c:pt>
                <c:pt idx="413">
                  <c:v>-3.314856699315702</c:v>
                </c:pt>
                <c:pt idx="414">
                  <c:v>-3.4918532406475227</c:v>
                </c:pt>
                <c:pt idx="415">
                  <c:v>-3.6697707436715818</c:v>
                </c:pt>
                <c:pt idx="416">
                  <c:v>-3.8485767542974814</c:v>
                </c:pt>
                <c:pt idx="417">
                  <c:v>-4.0282396112106262</c:v>
                </c:pt>
                <c:pt idx="418">
                  <c:v>-4.2087284551299353</c:v>
                </c:pt>
                <c:pt idx="419">
                  <c:v>-4.3900132351643197</c:v>
                </c:pt>
                <c:pt idx="420">
                  <c:v>-4.5720647124727822</c:v>
                </c:pt>
                <c:pt idx="421">
                  <c:v>-4.7548544614297459</c:v>
                </c:pt>
                <c:pt idx="422">
                  <c:v>-4.9383548684913352</c:v>
                </c:pt>
                <c:pt idx="423">
                  <c:v>-5.1225391289563849</c:v>
                </c:pt>
                <c:pt idx="424">
                  <c:v>-5.3073812418047286</c:v>
                </c:pt>
                <c:pt idx="425">
                  <c:v>-5.4928560027927151</c:v>
                </c:pt>
                <c:pt idx="426">
                  <c:v>-5.6789389959767362</c:v>
                </c:pt>
                <c:pt idx="427">
                  <c:v>-5.8656065838258229</c:v>
                </c:pt>
                <c:pt idx="428">
                  <c:v>-6.0528358960796291</c:v>
                </c:pt>
                <c:pt idx="429">
                  <c:v>-6.2406048174984186</c:v>
                </c:pt>
                <c:pt idx="430">
                  <c:v>-6.4288919746401696</c:v>
                </c:pt>
                <c:pt idx="431">
                  <c:v>-6.61767672179786</c:v>
                </c:pt>
                <c:pt idx="432">
                  <c:v>-6.8069391262146848</c:v>
                </c:pt>
                <c:pt idx="433">
                  <c:v>-6.9966599526923501</c:v>
                </c:pt>
                <c:pt idx="434">
                  <c:v>-7.1868206476960292</c:v>
                </c:pt>
                <c:pt idx="435">
                  <c:v>-7.3774033230526923</c:v>
                </c:pt>
                <c:pt idx="436">
                  <c:v>-7.5683907393332923</c:v>
                </c:pt>
                <c:pt idx="437">
                  <c:v>-7.7597662889996899</c:v>
                </c:pt>
                <c:pt idx="438">
                  <c:v>-7.9515139793922653</c:v>
                </c:pt>
                <c:pt idx="439">
                  <c:v>-8.1436184156263742</c:v>
                </c:pt>
                <c:pt idx="440">
                  <c:v>-8.3360647834595145</c:v>
                </c:pt>
                <c:pt idx="441">
                  <c:v>-8.5288388321862971</c:v>
                </c:pt>
                <c:pt idx="442">
                  <c:v>-8.7219268576110576</c:v>
                </c:pt>
                <c:pt idx="443">
                  <c:v>-8.9153156851435167</c:v>
                </c:pt>
                <c:pt idx="444">
                  <c:v>-9.1089926530579053</c:v>
                </c:pt>
                <c:pt idx="445">
                  <c:v>-9.3029455959517229</c:v>
                </c:pt>
                <c:pt idx="446">
                  <c:v>-9.4971628284347602</c:v>
                </c:pt>
                <c:pt idx="447">
                  <c:v>-9.6916331290765427</c:v>
                </c:pt>
                <c:pt idx="448">
                  <c:v>-9.8863457246351985</c:v>
                </c:pt>
                <c:pt idx="449">
                  <c:v>-10.081290274588719</c:v>
                </c:pt>
                <c:pt idx="450">
                  <c:v>-10.276456855986156</c:v>
                </c:pt>
                <c:pt idx="451">
                  <c:v>-10.471835948630783</c:v>
                </c:pt>
                <c:pt idx="452">
                  <c:v>-10.667418420610508</c:v>
                </c:pt>
                <c:pt idx="453">
                  <c:v>-10.863195514181783</c:v>
                </c:pt>
                <c:pt idx="454">
                  <c:v>-11.059158832015289</c:v>
                </c:pt>
                <c:pt idx="455">
                  <c:v>-11.255300323808559</c:v>
                </c:pt>
                <c:pt idx="456">
                  <c:v>-11.451612273268438</c:v>
                </c:pt>
                <c:pt idx="457">
                  <c:v>-11.648087285465845</c:v>
                </c:pt>
                <c:pt idx="458">
                  <c:v>-11.844718274561979</c:v>
                </c:pt>
                <c:pt idx="459">
                  <c:v>-12.041498451906367</c:v>
                </c:pt>
                <c:pt idx="460">
                  <c:v>-12.238421314502787</c:v>
                </c:pt>
                <c:pt idx="461">
                  <c:v>-12.435480633841799</c:v>
                </c:pt>
                <c:pt idx="462">
                  <c:v>-12.632670445094751</c:v>
                </c:pt>
                <c:pt idx="463">
                  <c:v>-12.829985036664231</c:v>
                </c:pt>
                <c:pt idx="464">
                  <c:v>-13.027418940086539</c:v>
                </c:pt>
                <c:pt idx="465">
                  <c:v>-13.224966920278799</c:v>
                </c:pt>
                <c:pt idx="466">
                  <c:v>-13.422623966125336</c:v>
                </c:pt>
                <c:pt idx="467">
                  <c:v>-13.620385281395089</c:v>
                </c:pt>
                <c:pt idx="468">
                  <c:v>-13.818246275984228</c:v>
                </c:pt>
                <c:pt idx="469">
                  <c:v>-14.016202557474937</c:v>
                </c:pt>
                <c:pt idx="470">
                  <c:v>-14.214249923003022</c:v>
                </c:pt>
                <c:pt idx="471">
                  <c:v>-14.41238435142772</c:v>
                </c:pt>
                <c:pt idx="472">
                  <c:v>-14.610601995792347</c:v>
                </c:pt>
                <c:pt idx="473">
                  <c:v>-14.808899176071257</c:v>
                </c:pt>
                <c:pt idx="474">
                  <c:v>-15.007272372192688</c:v>
                </c:pt>
                <c:pt idx="475">
                  <c:v>-15.205718217329721</c:v>
                </c:pt>
                <c:pt idx="476">
                  <c:v>-15.404233491451084</c:v>
                </c:pt>
                <c:pt idx="477">
                  <c:v>-15.60281511512461</c:v>
                </c:pt>
                <c:pt idx="478">
                  <c:v>-15.801460143563052</c:v>
                </c:pt>
                <c:pt idx="479">
                  <c:v>-16.00016576090707</c:v>
                </c:pt>
                <c:pt idx="480">
                  <c:v>-16.198929274735296</c:v>
                </c:pt>
                <c:pt idx="481">
                  <c:v>-16.397748110794478</c:v>
                </c:pt>
                <c:pt idx="482">
                  <c:v>-16.596619807943036</c:v>
                </c:pt>
                <c:pt idx="483">
                  <c:v>-16.795542013298295</c:v>
                </c:pt>
                <c:pt idx="484">
                  <c:v>-16.994512477582731</c:v>
                </c:pt>
                <c:pt idx="485">
                  <c:v>-17.193529050660214</c:v>
                </c:pt>
                <c:pt idx="486">
                  <c:v>-17.392589677255543</c:v>
                </c:pt>
                <c:pt idx="487">
                  <c:v>-17.591692392852366</c:v>
                </c:pt>
                <c:pt idx="488">
                  <c:v>-17.790835319759122</c:v>
                </c:pt>
                <c:pt idx="489">
                  <c:v>-17.990016663341098</c:v>
                </c:pt>
                <c:pt idx="490">
                  <c:v>-18.189234708407895</c:v>
                </c:pt>
                <c:pt idx="491">
                  <c:v>-18.388487815754829</c:v>
                </c:pt>
                <c:pt idx="492">
                  <c:v>-18.58777441884753</c:v>
                </c:pt>
                <c:pt idx="493">
                  <c:v>-18.787093020648321</c:v>
                </c:pt>
                <c:pt idx="494">
                  <c:v>-18.986442190576625</c:v>
                </c:pt>
                <c:pt idx="495">
                  <c:v>-19.185820561597666</c:v>
                </c:pt>
                <c:pt idx="496">
                  <c:v>-19.385226827436838</c:v>
                </c:pt>
                <c:pt idx="497">
                  <c:v>-19.584659739910848</c:v>
                </c:pt>
                <c:pt idx="498">
                  <c:v>-19.784118106375765</c:v>
                </c:pt>
                <c:pt idx="499">
                  <c:v>-19.983600787281976</c:v>
                </c:pt>
                <c:pt idx="500">
                  <c:v>-20.183106693836343</c:v>
                </c:pt>
                <c:pt idx="501">
                  <c:v>-20.382634785764104</c:v>
                </c:pt>
                <c:pt idx="502">
                  <c:v>-20.582184069167383</c:v>
                </c:pt>
                <c:pt idx="503">
                  <c:v>-20.781753594477244</c:v>
                </c:pt>
                <c:pt idx="504">
                  <c:v>-20.981342454493273</c:v>
                </c:pt>
                <c:pt idx="505">
                  <c:v>-21.180949782509661</c:v>
                </c:pt>
                <c:pt idx="506">
                  <c:v>-21.380574750521614</c:v>
                </c:pt>
                <c:pt idx="507">
                  <c:v>-21.580216567510462</c:v>
                </c:pt>
                <c:pt idx="508">
                  <c:v>-21.779874477803943</c:v>
                </c:pt>
                <c:pt idx="509">
                  <c:v>-21.979547759507359</c:v>
                </c:pt>
                <c:pt idx="510">
                  <c:v>-22.179235723003924</c:v>
                </c:pt>
                <c:pt idx="511">
                  <c:v>-22.378937709520656</c:v>
                </c:pt>
                <c:pt idx="512">
                  <c:v>-22.578653089757136</c:v>
                </c:pt>
                <c:pt idx="513">
                  <c:v>-22.778381262574708</c:v>
                </c:pt>
                <c:pt idx="514">
                  <c:v>-22.978121653743084</c:v>
                </c:pt>
                <c:pt idx="515">
                  <c:v>-23.177873714742091</c:v>
                </c:pt>
                <c:pt idx="516">
                  <c:v>-23.377636921616268</c:v>
                </c:pt>
                <c:pt idx="517">
                  <c:v>-23.57741077388053</c:v>
                </c:pt>
                <c:pt idx="518">
                  <c:v>-23.777194793472987</c:v>
                </c:pt>
                <c:pt idx="519">
                  <c:v>-23.976988523755011</c:v>
                </c:pt>
                <c:pt idx="520">
                  <c:v>-24.176791528555267</c:v>
                </c:pt>
                <c:pt idx="521">
                  <c:v>-24.376603391255948</c:v>
                </c:pt>
                <c:pt idx="522">
                  <c:v>-24.576423713919318</c:v>
                </c:pt>
                <c:pt idx="523">
                  <c:v>-24.776252116453456</c:v>
                </c:pt>
                <c:pt idx="524">
                  <c:v>-24.976088235814462</c:v>
                </c:pt>
                <c:pt idx="525">
                  <c:v>-25.175931725244666</c:v>
                </c:pt>
                <c:pt idx="526">
                  <c:v>-25.37578225354401</c:v>
                </c:pt>
                <c:pt idx="527">
                  <c:v>-25.575639504374333</c:v>
                </c:pt>
                <c:pt idx="528">
                  <c:v>-25.775503175594082</c:v>
                </c:pt>
                <c:pt idx="529">
                  <c:v>-25.975372978623664</c:v>
                </c:pt>
                <c:pt idx="530">
                  <c:v>-26.175248637837406</c:v>
                </c:pt>
                <c:pt idx="531">
                  <c:v>-26.375129889984258</c:v>
                </c:pt>
                <c:pt idx="532">
                  <c:v>-26.575016483632965</c:v>
                </c:pt>
                <c:pt idx="533">
                  <c:v>-26.77490817864296</c:v>
                </c:pt>
                <c:pt idx="534">
                  <c:v>-26.974804745658378</c:v>
                </c:pt>
                <c:pt idx="535">
                  <c:v>-27.17470596562481</c:v>
                </c:pt>
                <c:pt idx="536">
                  <c:v>-27.374611629326978</c:v>
                </c:pt>
                <c:pt idx="537">
                  <c:v>-27.574521536948566</c:v>
                </c:pt>
                <c:pt idx="538">
                  <c:v>-27.774435497649993</c:v>
                </c:pt>
                <c:pt idx="539">
                  <c:v>-27.974353329166131</c:v>
                </c:pt>
                <c:pt idx="540">
                  <c:v>-28.174274857421469</c:v>
                </c:pt>
                <c:pt idx="541">
                  <c:v>-28.374199916163057</c:v>
                </c:pt>
              </c:numCache>
            </c:numRef>
          </c:yVal>
          <c:smooth val="1"/>
          <c:extLst>
            <c:ext xmlns:c16="http://schemas.microsoft.com/office/drawing/2014/chart" uri="{C3380CC4-5D6E-409C-BE32-E72D297353CC}">
              <c16:uniqueId val="{00000000-0C9A-445E-BBBF-BF1175B0A6DF}"/>
            </c:ext>
          </c:extLst>
        </c:ser>
        <c:dLbls>
          <c:showLegendKey val="0"/>
          <c:showVal val="0"/>
          <c:showCatName val="0"/>
          <c:showSerName val="0"/>
          <c:showPercent val="0"/>
          <c:showBubbleSize val="0"/>
        </c:dLbls>
        <c:axId val="337758080"/>
        <c:axId val="384032768"/>
      </c:scatterChart>
      <c:scatterChart>
        <c:scatterStyle val="smoothMarker"/>
        <c:varyColors val="0"/>
        <c:ser>
          <c:idx val="1"/>
          <c:order val="1"/>
          <c:marker>
            <c:symbol val="none"/>
          </c:marker>
          <c:xVal>
            <c:numRef>
              <c:f>CCM_Loop_Modeling_Isolated!$O$19:$O$560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CCM_Loop_Modeling_Isolated!$AU$19:$AU$560</c:f>
              <c:numCache>
                <c:formatCode>General</c:formatCode>
                <c:ptCount val="542"/>
                <c:pt idx="0">
                  <c:v>109.72124564048566</c:v>
                </c:pt>
                <c:pt idx="1">
                  <c:v>110.11765735057431</c:v>
                </c:pt>
                <c:pt idx="2">
                  <c:v>110.51944153469982</c:v>
                </c:pt>
                <c:pt idx="3">
                  <c:v>110.9265132034319</c:v>
                </c:pt>
                <c:pt idx="4">
                  <c:v>111.33877663305971</c:v>
                </c:pt>
                <c:pt idx="5">
                  <c:v>111.75612501148403</c:v>
                </c:pt>
                <c:pt idx="6">
                  <c:v>112.17844010175784</c:v>
                </c:pt>
                <c:pt idx="7">
                  <c:v>112.60559192634022</c:v>
                </c:pt>
                <c:pt idx="8">
                  <c:v>113.03743847521778</c:v>
                </c:pt>
                <c:pt idx="9">
                  <c:v>113.47382544112533</c:v>
                </c:pt>
                <c:pt idx="10">
                  <c:v>113.91458598513802</c:v>
                </c:pt>
                <c:pt idx="11">
                  <c:v>114.35954053592215</c:v>
                </c:pt>
                <c:pt idx="12">
                  <c:v>114.80849662591372</c:v>
                </c:pt>
                <c:pt idx="13">
                  <c:v>115.26124876764011</c:v>
                </c:pt>
                <c:pt idx="14">
                  <c:v>115.71757837330671</c:v>
                </c:pt>
                <c:pt idx="15">
                  <c:v>116.17725372063857</c:v>
                </c:pt>
                <c:pt idx="16">
                  <c:v>116.64002996778936</c:v>
                </c:pt>
                <c:pt idx="17">
                  <c:v>117.10564921991745</c:v>
                </c:pt>
                <c:pt idx="18">
                  <c:v>117.57384064976299</c:v>
                </c:pt>
                <c:pt idx="19">
                  <c:v>118.04432067425807</c:v>
                </c:pt>
                <c:pt idx="20">
                  <c:v>118.51679318886319</c:v>
                </c:pt>
                <c:pt idx="21">
                  <c:v>118.99094986092561</c:v>
                </c:pt>
                <c:pt idx="22">
                  <c:v>119.4664704829553</c:v>
                </c:pt>
                <c:pt idx="23">
                  <c:v>119.94302338624645</c:v>
                </c:pt>
                <c:pt idx="24">
                  <c:v>120.42026591480011</c:v>
                </c:pt>
                <c:pt idx="25">
                  <c:v>120.897844959013</c:v>
                </c:pt>
                <c:pt idx="26">
                  <c:v>121.37539754806168</c:v>
                </c:pt>
                <c:pt idx="27">
                  <c:v>121.85255149942081</c:v>
                </c:pt>
                <c:pt idx="28">
                  <c:v>122.32892612339973</c:v>
                </c:pt>
                <c:pt idx="29">
                  <c:v>122.80413298009769</c:v>
                </c:pt>
                <c:pt idx="30">
                  <c:v>123.27777668566128</c:v>
                </c:pt>
                <c:pt idx="31">
                  <c:v>123.74945576426734</c:v>
                </c:pt>
                <c:pt idx="32">
                  <c:v>124.21876354180927</c:v>
                </c:pt>
                <c:pt idx="33">
                  <c:v>124.68528907688007</c:v>
                </c:pt>
                <c:pt idx="34">
                  <c:v>125.14861812427199</c:v>
                </c:pt>
                <c:pt idx="35">
                  <c:v>125.60833412594511</c:v>
                </c:pt>
                <c:pt idx="36">
                  <c:v>126.06401922416384</c:v>
                </c:pt>
                <c:pt idx="37">
                  <c:v>126.51525529133222</c:v>
                </c:pt>
                <c:pt idx="38">
                  <c:v>126.96162497096768</c:v>
                </c:pt>
                <c:pt idx="39">
                  <c:v>127.40271272419658</c:v>
                </c:pt>
                <c:pt idx="40">
                  <c:v>127.83810587621672</c:v>
                </c:pt>
                <c:pt idx="41">
                  <c:v>128.26739565725575</c:v>
                </c:pt>
                <c:pt idx="42">
                  <c:v>128.69017823273768</c:v>
                </c:pt>
                <c:pt idx="43">
                  <c:v>129.10605571760254</c:v>
                </c:pt>
                <c:pt idx="44">
                  <c:v>129.51463717000786</c:v>
                </c:pt>
                <c:pt idx="45">
                  <c:v>129.91553956000033</c:v>
                </c:pt>
                <c:pt idx="46">
                  <c:v>130.30838870912424</c:v>
                </c:pt>
                <c:pt idx="47">
                  <c:v>130.6928201973611</c:v>
                </c:pt>
                <c:pt idx="48">
                  <c:v>131.06848023425803</c:v>
                </c:pt>
                <c:pt idx="49">
                  <c:v>131.4350264915758</c:v>
                </c:pt>
                <c:pt idx="50">
                  <c:v>131.79212889526951</c:v>
                </c:pt>
                <c:pt idx="51">
                  <c:v>132.1394703751192</c:v>
                </c:pt>
                <c:pt idx="52">
                  <c:v>132.47674757080046</c:v>
                </c:pt>
                <c:pt idx="53">
                  <c:v>132.80367149366933</c:v>
                </c:pt>
                <c:pt idx="54">
                  <c:v>133.11996814396809</c:v>
                </c:pt>
                <c:pt idx="55">
                  <c:v>133.4253790836008</c:v>
                </c:pt>
                <c:pt idx="56">
                  <c:v>133.71966196499753</c:v>
                </c:pt>
                <c:pt idx="57">
                  <c:v>134.0025910169382</c:v>
                </c:pt>
                <c:pt idx="58">
                  <c:v>134.27395748851157</c:v>
                </c:pt>
                <c:pt idx="59">
                  <c:v>134.53357005263192</c:v>
                </c:pt>
                <c:pt idx="60">
                  <c:v>134.78125517074963</c:v>
                </c:pt>
                <c:pt idx="61">
                  <c:v>135.01685742053067</c:v>
                </c:pt>
                <c:pt idx="62">
                  <c:v>135.24023978839543</c:v>
                </c:pt>
                <c:pt idx="63">
                  <c:v>135.45128392884357</c:v>
                </c:pt>
                <c:pt idx="64">
                  <c:v>135.64989039249744</c:v>
                </c:pt>
                <c:pt idx="65">
                  <c:v>135.83597882474305</c:v>
                </c:pt>
                <c:pt idx="66">
                  <c:v>136.0094881367574</c:v>
                </c:pt>
                <c:pt idx="67">
                  <c:v>136.17037665057188</c:v>
                </c:pt>
                <c:pt idx="68">
                  <c:v>136.3186222196419</c:v>
                </c:pt>
                <c:pt idx="69">
                  <c:v>136.45422232620388</c:v>
                </c:pt>
                <c:pt idx="70">
                  <c:v>136.57719415644047</c:v>
                </c:pt>
                <c:pt idx="71">
                  <c:v>136.68757465423968</c:v>
                </c:pt>
                <c:pt idx="72">
                  <c:v>136.78542055404176</c:v>
                </c:pt>
                <c:pt idx="73">
                  <c:v>136.87080839299236</c:v>
                </c:pt>
                <c:pt idx="74">
                  <c:v>136.94383450231891</c:v>
                </c:pt>
                <c:pt idx="75">
                  <c:v>137.00461497756086</c:v>
                </c:pt>
                <c:pt idx="76">
                  <c:v>137.053285626991</c:v>
                </c:pt>
                <c:pt idx="77">
                  <c:v>137.09000189729997</c:v>
                </c:pt>
                <c:pt idx="78">
                  <c:v>137.1149387753475</c:v>
                </c:pt>
                <c:pt idx="79">
                  <c:v>137.12829066455953</c:v>
                </c:pt>
                <c:pt idx="80">
                  <c:v>137.13027123433682</c:v>
                </c:pt>
                <c:pt idx="81">
                  <c:v>137.12111324067379</c:v>
                </c:pt>
                <c:pt idx="82">
                  <c:v>137.10106831604915</c:v>
                </c:pt>
                <c:pt idx="83">
                  <c:v>137.0704067265537</c:v>
                </c:pt>
                <c:pt idx="84">
                  <c:v>137.02941709417732</c:v>
                </c:pt>
                <c:pt idx="85">
                  <c:v>136.97840608217444</c:v>
                </c:pt>
                <c:pt idx="86">
                  <c:v>136.91769804147515</c:v>
                </c:pt>
                <c:pt idx="87">
                  <c:v>136.84763461621202</c:v>
                </c:pt>
                <c:pt idx="88">
                  <c:v>136.7685743065835</c:v>
                </c:pt>
                <c:pt idx="89">
                  <c:v>136.68089198747899</c:v>
                </c:pt>
                <c:pt idx="90">
                  <c:v>136.58497838154091</c:v>
                </c:pt>
                <c:pt idx="91">
                  <c:v>136.4812394856404</c:v>
                </c:pt>
                <c:pt idx="92">
                  <c:v>136.3700959500857</c:v>
                </c:pt>
                <c:pt idx="93">
                  <c:v>136.25198241026442</c:v>
                </c:pt>
                <c:pt idx="94">
                  <c:v>136.12734677083731</c:v>
                </c:pt>
                <c:pt idx="95">
                  <c:v>135.99664944304089</c:v>
                </c:pt>
                <c:pt idx="96">
                  <c:v>135.86036253612679</c:v>
                </c:pt>
                <c:pt idx="97">
                  <c:v>135.71896900443508</c:v>
                </c:pt>
                <c:pt idx="98">
                  <c:v>135.57296175208373</c:v>
                </c:pt>
                <c:pt idx="99">
                  <c:v>135.42284269773251</c:v>
                </c:pt>
                <c:pt idx="100">
                  <c:v>135.26912180234334</c:v>
                </c:pt>
                <c:pt idx="101">
                  <c:v>135.11231606330082</c:v>
                </c:pt>
                <c:pt idx="102">
                  <c:v>134.95294847867063</c:v>
                </c:pt>
                <c:pt idx="103">
                  <c:v>134.79154698574624</c:v>
                </c:pt>
                <c:pt idx="104">
                  <c:v>134.62864337836302</c:v>
                </c:pt>
                <c:pt idx="105">
                  <c:v>134.46477220773303</c:v>
                </c:pt>
                <c:pt idx="106">
                  <c:v>134.30046967177563</c:v>
                </c:pt>
                <c:pt idx="107">
                  <c:v>134.1362724980676</c:v>
                </c:pt>
                <c:pt idx="108">
                  <c:v>133.97271682563277</c:v>
                </c:pt>
                <c:pt idx="109">
                  <c:v>133.81033709080359</c:v>
                </c:pt>
                <c:pt idx="110">
                  <c:v>133.64966492234765</c:v>
                </c:pt>
                <c:pt idx="111">
                  <c:v>133.49122805093279</c:v>
                </c:pt>
                <c:pt idx="112">
                  <c:v>133.33554923782177</c:v>
                </c:pt>
                <c:pt idx="113">
                  <c:v>133.18314522745331</c:v>
                </c:pt>
                <c:pt idx="114">
                  <c:v>133.0345257282566</c:v>
                </c:pt>
                <c:pt idx="115">
                  <c:v>132.89019242570691</c:v>
                </c:pt>
                <c:pt idx="116">
                  <c:v>132.75063803122617</c:v>
                </c:pt>
                <c:pt idx="117">
                  <c:v>132.61634537011355</c:v>
                </c:pt>
                <c:pt idx="118">
                  <c:v>132.48778651121782</c:v>
                </c:pt>
                <c:pt idx="119">
                  <c:v>132.36542194060181</c:v>
                </c:pt>
                <c:pt idx="120">
                  <c:v>132.24969978094455</c:v>
                </c:pt>
                <c:pt idx="121">
                  <c:v>132.14105505794907</c:v>
                </c:pt>
                <c:pt idx="122">
                  <c:v>132.03990901453082</c:v>
                </c:pt>
                <c:pt idx="123">
                  <c:v>131.94666847309102</c:v>
                </c:pt>
                <c:pt idx="124">
                  <c:v>131.86172524574101</c:v>
                </c:pt>
                <c:pt idx="125">
                  <c:v>131.78545559191039</c:v>
                </c:pt>
                <c:pt idx="126">
                  <c:v>131.71821972239644</c:v>
                </c:pt>
                <c:pt idx="127">
                  <c:v>131.66036134856748</c:v>
                </c:pt>
                <c:pt idx="128">
                  <c:v>131.61220727512398</c:v>
                </c:pt>
                <c:pt idx="129">
                  <c:v>131.57406703458315</c:v>
                </c:pt>
                <c:pt idx="130">
                  <c:v>131.54623256143179</c:v>
                </c:pt>
                <c:pt idx="131">
                  <c:v>131.52897790375803</c:v>
                </c:pt>
                <c:pt idx="132">
                  <c:v>131.52255897005958</c:v>
                </c:pt>
                <c:pt idx="133">
                  <c:v>131.52721330888417</c:v>
                </c:pt>
                <c:pt idx="134">
                  <c:v>131.54315991895621</c:v>
                </c:pt>
                <c:pt idx="135">
                  <c:v>131.5705990874963</c:v>
                </c:pt>
                <c:pt idx="136">
                  <c:v>131.60971225453108</c:v>
                </c:pt>
                <c:pt idx="137">
                  <c:v>131.66066190113278</c:v>
                </c:pt>
                <c:pt idx="138">
                  <c:v>131.72359145969867</c:v>
                </c:pt>
                <c:pt idx="139">
                  <c:v>131.79862524459762</c:v>
                </c:pt>
                <c:pt idx="140">
                  <c:v>131.88586840174182</c:v>
                </c:pt>
                <c:pt idx="141">
                  <c:v>131.9854068759175</c:v>
                </c:pt>
                <c:pt idx="142">
                  <c:v>132.0973073949834</c:v>
                </c:pt>
                <c:pt idx="143">
                  <c:v>132.22161747035116</c:v>
                </c:pt>
                <c:pt idx="144">
                  <c:v>132.35836541346836</c:v>
                </c:pt>
                <c:pt idx="145">
                  <c:v>132.50756036833684</c:v>
                </c:pt>
                <c:pt idx="146">
                  <c:v>132.66919236040852</c:v>
                </c:pt>
                <c:pt idx="147">
                  <c:v>132.84323236250239</c:v>
                </c:pt>
                <c:pt idx="148">
                  <c:v>133.02963237868053</c:v>
                </c:pt>
                <c:pt idx="149">
                  <c:v>133.2283255472835</c:v>
                </c:pt>
                <c:pt idx="150">
                  <c:v>133.43922626458107</c:v>
                </c:pt>
                <c:pt idx="151">
                  <c:v>133.66223033070716</c:v>
                </c:pt>
                <c:pt idx="152">
                  <c:v>133.89721511973781</c:v>
                </c:pt>
                <c:pt idx="153">
                  <c:v>134.14403977591442</c:v>
                </c:pt>
                <c:pt idx="154">
                  <c:v>134.40254543812466</c:v>
                </c:pt>
                <c:pt idx="155">
                  <c:v>134.67255549481382</c:v>
                </c:pt>
                <c:pt idx="156">
                  <c:v>134.95387587151185</c:v>
                </c:pt>
                <c:pt idx="157">
                  <c:v>135.24629535312746</c:v>
                </c:pt>
                <c:pt idx="158">
                  <c:v>135.54958594307109</c:v>
                </c:pt>
                <c:pt idx="159">
                  <c:v>135.86350326113021</c:v>
                </c:pt>
                <c:pt idx="160">
                  <c:v>136.1877869818284</c:v>
                </c:pt>
                <c:pt idx="161">
                  <c:v>136.52216131475492</c:v>
                </c:pt>
                <c:pt idx="162">
                  <c:v>136.8663355280641</c:v>
                </c:pt>
                <c:pt idx="163">
                  <c:v>137.22000451600218</c:v>
                </c:pt>
                <c:pt idx="164">
                  <c:v>137.58284941094269</c:v>
                </c:pt>
                <c:pt idx="165">
                  <c:v>137.9545382399896</c:v>
                </c:pt>
                <c:pt idx="166">
                  <c:v>138.33472662576958</c:v>
                </c:pt>
                <c:pt idx="167">
                  <c:v>138.72305853054553</c:v>
                </c:pt>
                <c:pt idx="168">
                  <c:v>139.11916704231007</c:v>
                </c:pt>
                <c:pt idx="169">
                  <c:v>139.52267520100537</c:v>
                </c:pt>
                <c:pt idx="170">
                  <c:v>139.93319686251851</c:v>
                </c:pt>
                <c:pt idx="171">
                  <c:v>140.35033759760989</c:v>
                </c:pt>
                <c:pt idx="172">
                  <c:v>140.77369562245107</c:v>
                </c:pt>
                <c:pt idx="173">
                  <c:v>141.20286275699843</c:v>
                </c:pt>
                <c:pt idx="174">
                  <c:v>141.63742540701236</c:v>
                </c:pt>
                <c:pt idx="175">
                  <c:v>142.07696556515037</c:v>
                </c:pt>
                <c:pt idx="176">
                  <c:v>142.52106182624132</c:v>
                </c:pt>
                <c:pt idx="177">
                  <c:v>142.96929041156974</c:v>
                </c:pt>
                <c:pt idx="178">
                  <c:v>143.42122619679532</c:v>
                </c:pt>
                <c:pt idx="179">
                  <c:v>143.87644373797812</c:v>
                </c:pt>
                <c:pt idx="180">
                  <c:v>144.33451829011292</c:v>
                </c:pt>
                <c:pt idx="181">
                  <c:v>144.79502681256156</c:v>
                </c:pt>
                <c:pt idx="182">
                  <c:v>145.25754895583736</c:v>
                </c:pt>
                <c:pt idx="183">
                  <c:v>145.72166802432716</c:v>
                </c:pt>
                <c:pt idx="184">
                  <c:v>146.18697190973967</c:v>
                </c:pt>
                <c:pt idx="185">
                  <c:v>146.65305399032067</c:v>
                </c:pt>
                <c:pt idx="186">
                  <c:v>147.11951399120537</c:v>
                </c:pt>
                <c:pt idx="187">
                  <c:v>147.58595880164214</c:v>
                </c:pt>
                <c:pt idx="188">
                  <c:v>148.05200324524202</c:v>
                </c:pt>
                <c:pt idx="189">
                  <c:v>148.51727079986065</c:v>
                </c:pt>
                <c:pt idx="190">
                  <c:v>148.98139426420457</c:v>
                </c:pt>
                <c:pt idx="191">
                  <c:v>149.44401636875213</c:v>
                </c:pt>
                <c:pt idx="192">
                  <c:v>149.90479032911122</c:v>
                </c:pt>
                <c:pt idx="193">
                  <c:v>150.36338034043752</c:v>
                </c:pt>
                <c:pt idx="194">
                  <c:v>150.81946201208083</c:v>
                </c:pt>
                <c:pt idx="195">
                  <c:v>151.27272274210927</c:v>
                </c:pt>
                <c:pt idx="196">
                  <c:v>151.72286203187545</c:v>
                </c:pt>
                <c:pt idx="197">
                  <c:v>152.16959174124008</c:v>
                </c:pt>
                <c:pt idx="198">
                  <c:v>152.61263628551353</c:v>
                </c:pt>
                <c:pt idx="199">
                  <c:v>153.05173277557509</c:v>
                </c:pt>
                <c:pt idx="200">
                  <c:v>153.48663110300353</c:v>
                </c:pt>
                <c:pt idx="201">
                  <c:v>153.91709397237125</c:v>
                </c:pt>
                <c:pt idx="202">
                  <c:v>154.34289688314234</c:v>
                </c:pt>
                <c:pt idx="203">
                  <c:v>154.76382806385953</c:v>
                </c:pt>
                <c:pt idx="204">
                  <c:v>155.17968836150058</c:v>
                </c:pt>
                <c:pt idx="205">
                  <c:v>155.59029108903783</c:v>
                </c:pt>
                <c:pt idx="206">
                  <c:v>155.99546183435845</c:v>
                </c:pt>
                <c:pt idx="207">
                  <c:v>156.39503823377012</c:v>
                </c:pt>
                <c:pt idx="208">
                  <c:v>156.78886971336041</c:v>
                </c:pt>
                <c:pt idx="209">
                  <c:v>157.17681720147783</c:v>
                </c:pt>
                <c:pt idx="210">
                  <c:v>157.55875281557894</c:v>
                </c:pt>
                <c:pt idx="211">
                  <c:v>157.93455952662717</c:v>
                </c:pt>
                <c:pt idx="212">
                  <c:v>158.30413080414525</c:v>
                </c:pt>
                <c:pt idx="213">
                  <c:v>158.66737024492659</c:v>
                </c:pt>
                <c:pt idx="214">
                  <c:v>159.02419118828041</c:v>
                </c:pt>
                <c:pt idx="215">
                  <c:v>159.37451632055419</c:v>
                </c:pt>
                <c:pt idx="216">
                  <c:v>159.71827727152575</c:v>
                </c:pt>
                <c:pt idx="217">
                  <c:v>160.05541420509664</c:v>
                </c:pt>
                <c:pt idx="218">
                  <c:v>160.3858754065559</c:v>
                </c:pt>
                <c:pt idx="219">
                  <c:v>160.70961686851032</c:v>
                </c:pt>
                <c:pt idx="220">
                  <c:v>161.02660187740898</c:v>
                </c:pt>
                <c:pt idx="221">
                  <c:v>161.33680060242071</c:v>
                </c:pt>
                <c:pt idx="222">
                  <c:v>161.64018968824396</c:v>
                </c:pt>
                <c:pt idx="223">
                  <c:v>161.93675185327953</c:v>
                </c:pt>
                <c:pt idx="224">
                  <c:v>162.22647549442186</c:v>
                </c:pt>
                <c:pt idx="225">
                  <c:v>162.50935429957886</c:v>
                </c:pt>
                <c:pt idx="226">
                  <c:v>162.7853868688797</c:v>
                </c:pt>
                <c:pt idx="227">
                  <c:v>163.05457634539184</c:v>
                </c:pt>
                <c:pt idx="228">
                  <c:v>163.31693005603694</c:v>
                </c:pt>
                <c:pt idx="229">
                  <c:v>163.57245916327273</c:v>
                </c:pt>
                <c:pt idx="230">
                  <c:v>163.82117832799227</c:v>
                </c:pt>
                <c:pt idx="231">
                  <c:v>164.06310538398958</c:v>
                </c:pt>
                <c:pt idx="232">
                  <c:v>164.29826102424201</c:v>
                </c:pt>
                <c:pt idx="233">
                  <c:v>164.52666849917193</c:v>
                </c:pt>
                <c:pt idx="234">
                  <c:v>164.74835332697074</c:v>
                </c:pt>
                <c:pt idx="235">
                  <c:v>164.96334301599867</c:v>
                </c:pt>
                <c:pt idx="236">
                  <c:v>165.17166679920703</c:v>
                </c:pt>
                <c:pt idx="237">
                  <c:v>165.37335538047461</c:v>
                </c:pt>
                <c:pt idx="238">
                  <c:v>165.56844069270204</c:v>
                </c:pt>
                <c:pt idx="239">
                  <c:v>165.75695566746344</c:v>
                </c:pt>
                <c:pt idx="240">
                  <c:v>165.93893401597745</c:v>
                </c:pt>
                <c:pt idx="241">
                  <c:v>166.11441002113247</c:v>
                </c:pt>
                <c:pt idx="242">
                  <c:v>166.28341834026998</c:v>
                </c:pt>
                <c:pt idx="243">
                  <c:v>166.44599381841442</c:v>
                </c:pt>
                <c:pt idx="244">
                  <c:v>166.60217131161806</c:v>
                </c:pt>
                <c:pt idx="245">
                  <c:v>166.75198552007896</c:v>
                </c:pt>
                <c:pt idx="246">
                  <c:v>166.89547083068027</c:v>
                </c:pt>
                <c:pt idx="247">
                  <c:v>167.03266116859533</c:v>
                </c:pt>
                <c:pt idx="248">
                  <c:v>167.16358985759894</c:v>
                </c:pt>
                <c:pt idx="249">
                  <c:v>167.28828948872649</c:v>
                </c:pt>
                <c:pt idx="250">
                  <c:v>167.40679179692509</c:v>
                </c:pt>
                <c:pt idx="251">
                  <c:v>167.51912754534607</c:v>
                </c:pt>
                <c:pt idx="252">
                  <c:v>167.62532641693198</c:v>
                </c:pt>
                <c:pt idx="253">
                  <c:v>167.72541691296286</c:v>
                </c:pt>
                <c:pt idx="254">
                  <c:v>167.81942625823447</c:v>
                </c:pt>
                <c:pt idx="255">
                  <c:v>167.90738031254944</c:v>
                </c:pt>
                <c:pt idx="256">
                  <c:v>167.98930348821747</c:v>
                </c:pt>
                <c:pt idx="257">
                  <c:v>168.06521867327092</c:v>
                </c:pt>
                <c:pt idx="258">
                  <c:v>168.13514716011426</c:v>
                </c:pt>
                <c:pt idx="259">
                  <c:v>168.19910857934298</c:v>
                </c:pt>
                <c:pt idx="260">
                  <c:v>168.2571208384762</c:v>
                </c:pt>
                <c:pt idx="261">
                  <c:v>168.30920006536712</c:v>
                </c:pt>
                <c:pt idx="262">
                  <c:v>168.35536055606593</c:v>
                </c:pt>
                <c:pt idx="263">
                  <c:v>168.39561472692759</c:v>
                </c:pt>
                <c:pt idx="264">
                  <c:v>168.42997307076936</c:v>
                </c:pt>
                <c:pt idx="265">
                  <c:v>168.45844411690015</c:v>
                </c:pt>
                <c:pt idx="266">
                  <c:v>168.4810343948586</c:v>
                </c:pt>
                <c:pt idx="267">
                  <c:v>168.49774840171048</c:v>
                </c:pt>
                <c:pt idx="268">
                  <c:v>168.50858857277396</c:v>
                </c:pt>
                <c:pt idx="269">
                  <c:v>168.51355525565367</c:v>
                </c:pt>
                <c:pt idx="270">
                  <c:v>168.51264668748269</c:v>
                </c:pt>
                <c:pt idx="271">
                  <c:v>168.50585897528345</c:v>
                </c:pt>
                <c:pt idx="272">
                  <c:v>168.49318607937795</c:v>
                </c:pt>
                <c:pt idx="273">
                  <c:v>168.47461979978863</c:v>
                </c:pt>
                <c:pt idx="274">
                  <c:v>168.45014976558906</c:v>
                </c:pt>
                <c:pt idx="275">
                  <c:v>168.41976342717859</c:v>
                </c:pt>
                <c:pt idx="276">
                  <c:v>168.38344605146861</c:v>
                </c:pt>
                <c:pt idx="277">
                  <c:v>168.34118071998614</c:v>
                </c:pt>
                <c:pt idx="278">
                  <c:v>168.29294832991147</c:v>
                </c:pt>
                <c:pt idx="279">
                  <c:v>168.23872759808663</c:v>
                </c:pt>
                <c:pt idx="280">
                  <c:v>168.17849506804185</c:v>
                </c:pt>
                <c:pt idx="281">
                  <c:v>168.11222512010741</c:v>
                </c:pt>
                <c:pt idx="282">
                  <c:v>168.03988998468731</c:v>
                </c:pt>
                <c:pt idx="283">
                  <c:v>167.96145975879415</c:v>
                </c:pt>
                <c:pt idx="284">
                  <c:v>167.87690242595227</c:v>
                </c:pt>
                <c:pt idx="285">
                  <c:v>167.78618387959733</c:v>
                </c:pt>
                <c:pt idx="286">
                  <c:v>167.68926795011254</c:v>
                </c:pt>
                <c:pt idx="287">
                  <c:v>167.5861164356584</c:v>
                </c:pt>
                <c:pt idx="288">
                  <c:v>167.47668913696918</c:v>
                </c:pt>
                <c:pt idx="289">
                  <c:v>167.36094389630054</c:v>
                </c:pt>
                <c:pt idx="290">
                  <c:v>167.23883664073477</c:v>
                </c:pt>
                <c:pt idx="291">
                  <c:v>167.1103214300573</c:v>
                </c:pt>
                <c:pt idx="292">
                  <c:v>166.97535050944026</c:v>
                </c:pt>
                <c:pt idx="293">
                  <c:v>166.83387436717732</c:v>
                </c:pt>
                <c:pt idx="294">
                  <c:v>166.68584179773285</c:v>
                </c:pt>
                <c:pt idx="295">
                  <c:v>166.53119997038141</c:v>
                </c:pt>
                <c:pt idx="296">
                  <c:v>166.36989450372309</c:v>
                </c:pt>
                <c:pt idx="297">
                  <c:v>166.20186954637907</c:v>
                </c:pt>
                <c:pt idx="298">
                  <c:v>166.02706786417943</c:v>
                </c:pt>
                <c:pt idx="299">
                  <c:v>165.84543093416733</c:v>
                </c:pt>
                <c:pt idx="300">
                  <c:v>165.65689904575288</c:v>
                </c:pt>
                <c:pt idx="301">
                  <c:v>165.46141140936228</c:v>
                </c:pt>
                <c:pt idx="302">
                  <c:v>165.25890627292924</c:v>
                </c:pt>
                <c:pt idx="303">
                  <c:v>165.04932104658477</c:v>
                </c:pt>
                <c:pt idx="304">
                  <c:v>164.83259243590544</c:v>
                </c:pt>
                <c:pt idx="305">
                  <c:v>164.60865658407965</c:v>
                </c:pt>
                <c:pt idx="306">
                  <c:v>164.37744922334986</c:v>
                </c:pt>
                <c:pt idx="307">
                  <c:v>164.13890583608651</c:v>
                </c:pt>
                <c:pt idx="308">
                  <c:v>163.89296182584096</c:v>
                </c:pt>
                <c:pt idx="309">
                  <c:v>163.63955269871411</c:v>
                </c:pt>
                <c:pt idx="310">
                  <c:v>163.37861425536261</c:v>
                </c:pt>
                <c:pt idx="311">
                  <c:v>163.11008279394468</c:v>
                </c:pt>
                <c:pt idx="312">
                  <c:v>162.83389532428805</c:v>
                </c:pt>
                <c:pt idx="313">
                  <c:v>162.54998979352462</c:v>
                </c:pt>
                <c:pt idx="314">
                  <c:v>162.25830532341459</c:v>
                </c:pt>
                <c:pt idx="315">
                  <c:v>161.95878245953023</c:v>
                </c:pt>
                <c:pt idx="316">
                  <c:v>161.65136343243134</c:v>
                </c:pt>
                <c:pt idx="317">
                  <c:v>161.33599243090561</c:v>
                </c:pt>
                <c:pt idx="318">
                  <c:v>161.01261588729042</c:v>
                </c:pt>
                <c:pt idx="319">
                  <c:v>160.68118277481904</c:v>
                </c:pt>
                <c:pt idx="320">
                  <c:v>160.34164491686366</c:v>
                </c:pt>
                <c:pt idx="321">
                  <c:v>159.99395730785747</c:v>
                </c:pt>
                <c:pt idx="322">
                  <c:v>159.63807844558931</c:v>
                </c:pt>
                <c:pt idx="323">
                  <c:v>159.273970674461</c:v>
                </c:pt>
                <c:pt idx="324">
                  <c:v>158.90160053918325</c:v>
                </c:pt>
                <c:pt idx="325">
                  <c:v>158.52093914827705</c:v>
                </c:pt>
                <c:pt idx="326">
                  <c:v>158.13196254660892</c:v>
                </c:pt>
                <c:pt idx="327">
                  <c:v>157.73465209605791</c:v>
                </c:pt>
                <c:pt idx="328">
                  <c:v>157.32899486327366</c:v>
                </c:pt>
                <c:pt idx="329">
                  <c:v>156.91498401332046</c:v>
                </c:pt>
                <c:pt idx="330">
                  <c:v>156.49261920786842</c:v>
                </c:pt>
                <c:pt idx="331">
                  <c:v>156.06190700640482</c:v>
                </c:pt>
                <c:pt idx="332">
                  <c:v>155.62286126879869</c:v>
                </c:pt>
                <c:pt idx="333">
                  <c:v>155.17550355736333</c:v>
                </c:pt>
                <c:pt idx="334">
                  <c:v>154.71986353641105</c:v>
                </c:pt>
                <c:pt idx="335">
                  <c:v>154.2559793671133</c:v>
                </c:pt>
                <c:pt idx="336">
                  <c:v>153.7838980953295</c:v>
                </c:pt>
                <c:pt idx="337">
                  <c:v>153.30367602989773</c:v>
                </c:pt>
                <c:pt idx="338">
                  <c:v>152.81537910874789</c:v>
                </c:pt>
                <c:pt idx="339">
                  <c:v>152.31908325004895</c:v>
                </c:pt>
                <c:pt idx="340">
                  <c:v>151.81487468549187</c:v>
                </c:pt>
                <c:pt idx="341">
                  <c:v>151.30285027269619</c:v>
                </c:pt>
                <c:pt idx="342">
                  <c:v>150.78311778365978</c:v>
                </c:pt>
                <c:pt idx="343">
                  <c:v>150.25579616610474</c:v>
                </c:pt>
                <c:pt idx="344">
                  <c:v>149.72101577454603</c:v>
                </c:pt>
                <c:pt idx="345">
                  <c:v>149.17891856792056</c:v>
                </c:pt>
                <c:pt idx="346">
                  <c:v>148.62965827063758</c:v>
                </c:pt>
                <c:pt idx="347">
                  <c:v>148.07340049400148</c:v>
                </c:pt>
                <c:pt idx="348">
                  <c:v>147.51032281505618</c:v>
                </c:pt>
                <c:pt idx="349">
                  <c:v>146.94061481006824</c:v>
                </c:pt>
                <c:pt idx="350">
                  <c:v>146.3644780400551</c:v>
                </c:pt>
                <c:pt idx="351">
                  <c:v>145.78212598601152</c:v>
                </c:pt>
                <c:pt idx="352">
                  <c:v>145.19378393176416</c:v>
                </c:pt>
                <c:pt idx="353">
                  <c:v>144.59968879272296</c:v>
                </c:pt>
                <c:pt idx="354">
                  <c:v>144.00008888914519</c:v>
                </c:pt>
                <c:pt idx="355">
                  <c:v>143.39524366296598</c:v>
                </c:pt>
                <c:pt idx="356">
                  <c:v>142.78542333765091</c:v>
                </c:pt>
                <c:pt idx="357">
                  <c:v>142.17090852103348</c:v>
                </c:pt>
                <c:pt idx="358">
                  <c:v>141.5519897515718</c:v>
                </c:pt>
                <c:pt idx="359">
                  <c:v>140.92896698899014</c:v>
                </c:pt>
                <c:pt idx="360">
                  <c:v>140.3021490507883</c:v>
                </c:pt>
                <c:pt idx="361">
                  <c:v>139.67185299664794</c:v>
                </c:pt>
                <c:pt idx="362">
                  <c:v>139.03840346327982</c:v>
                </c:pt>
                <c:pt idx="363">
                  <c:v>138.40213195279298</c:v>
                </c:pt>
                <c:pt idx="364">
                  <c:v>137.76337607815157</c:v>
                </c:pt>
                <c:pt idx="365">
                  <c:v>137.12247876976812</c:v>
                </c:pt>
                <c:pt idx="366">
                  <c:v>136.47978744770978</c:v>
                </c:pt>
                <c:pt idx="367">
                  <c:v>135.83565316439913</c:v>
                </c:pt>
                <c:pt idx="368">
                  <c:v>135.19042972301017</c:v>
                </c:pt>
                <c:pt idx="369">
                  <c:v>134.54447277707342</c:v>
                </c:pt>
                <c:pt idx="370">
                  <c:v>133.89813891699944</c:v>
                </c:pt>
                <c:pt idx="371">
                  <c:v>133.25178474940273</c:v>
                </c:pt>
                <c:pt idx="372">
                  <c:v>132.60576597518016</c:v>
                </c:pt>
                <c:pt idx="373">
                  <c:v>131.96043647232381</c:v>
                </c:pt>
                <c:pt idx="374">
                  <c:v>131.31614738938612</c:v>
                </c:pt>
                <c:pt idx="375">
                  <c:v>130.67324625537512</c:v>
                </c:pt>
                <c:pt idx="376">
                  <c:v>130.03207611168713</c:v>
                </c:pt>
                <c:pt idx="377">
                  <c:v>129.39297467139465</c:v>
                </c:pt>
                <c:pt idx="378">
                  <c:v>128.75627351091032</c:v>
                </c:pt>
                <c:pt idx="379">
                  <c:v>128.12229729866024</c:v>
                </c:pt>
                <c:pt idx="380">
                  <c:v>127.49136306498519</c:v>
                </c:pt>
                <c:pt idx="381">
                  <c:v>126.86377951703207</c:v>
                </c:pt>
                <c:pt idx="382">
                  <c:v>126.23984640189721</c:v>
                </c:pt>
                <c:pt idx="383">
                  <c:v>125.61985392078368</c:v>
                </c:pt>
                <c:pt idx="384">
                  <c:v>125.00408219639591</c:v>
                </c:pt>
                <c:pt idx="385">
                  <c:v>124.39280079526839</c:v>
                </c:pt>
                <c:pt idx="386">
                  <c:v>123.78626830618964</c:v>
                </c:pt>
                <c:pt idx="387">
                  <c:v>123.18473197536414</c:v>
                </c:pt>
                <c:pt idx="388">
                  <c:v>122.58842739844643</c:v>
                </c:pt>
                <c:pt idx="389">
                  <c:v>121.99757826910452</c:v>
                </c:pt>
                <c:pt idx="390">
                  <c:v>121.41239618331058</c:v>
                </c:pt>
                <c:pt idx="391">
                  <c:v>120.83308049814049</c:v>
                </c:pt>
                <c:pt idx="392">
                  <c:v>120.2598182434826</c:v>
                </c:pt>
                <c:pt idx="393">
                  <c:v>119.69278408470718</c:v>
                </c:pt>
                <c:pt idx="394">
                  <c:v>119.13214033405303</c:v>
                </c:pt>
                <c:pt idx="395">
                  <c:v>118.57803700822832</c:v>
                </c:pt>
                <c:pt idx="396">
                  <c:v>118.03061192950493</c:v>
                </c:pt>
                <c:pt idx="397">
                  <c:v>117.4899908674208</c:v>
                </c:pt>
                <c:pt idx="398">
                  <c:v>116.95628771806753</c:v>
                </c:pt>
                <c:pt idx="399">
                  <c:v>116.42960471785877</c:v>
                </c:pt>
                <c:pt idx="400">
                  <c:v>115.91003268861782</c:v>
                </c:pt>
                <c:pt idx="401">
                  <c:v>115.39765131080878</c:v>
                </c:pt>
                <c:pt idx="402">
                  <c:v>114.89252942175517</c:v>
                </c:pt>
                <c:pt idx="403">
                  <c:v>114.39472533572747</c:v>
                </c:pt>
                <c:pt idx="404">
                  <c:v>113.90428718286503</c:v>
                </c:pt>
                <c:pt idx="405">
                  <c:v>113.42125326398093</c:v>
                </c:pt>
                <c:pt idx="406">
                  <c:v>112.9456524184196</c:v>
                </c:pt>
                <c:pt idx="407">
                  <c:v>112.47750440226467</c:v>
                </c:pt>
                <c:pt idx="408">
                  <c:v>112.01682027433883</c:v>
                </c:pt>
                <c:pt idx="409">
                  <c:v>111.56360278758977</c:v>
                </c:pt>
                <c:pt idx="410">
                  <c:v>111.11784678361737</c:v>
                </c:pt>
                <c:pt idx="411">
                  <c:v>110.67953958826571</c:v>
                </c:pt>
                <c:pt idx="412">
                  <c:v>110.24866140636298</c:v>
                </c:pt>
                <c:pt idx="413">
                  <c:v>109.82518571387149</c:v>
                </c:pt>
                <c:pt idx="414">
                  <c:v>109.40907964586749</c:v>
                </c:pt>
                <c:pt idx="415">
                  <c:v>109.00030437893649</c:v>
                </c:pt>
                <c:pt idx="416">
                  <c:v>108.59881550673096</c:v>
                </c:pt>
                <c:pt idx="417">
                  <c:v>108.20456340758423</c:v>
                </c:pt>
                <c:pt idx="418">
                  <c:v>107.81749360322974</c:v>
                </c:pt>
                <c:pt idx="419">
                  <c:v>107.4375471078005</c:v>
                </c:pt>
                <c:pt idx="420">
                  <c:v>107.06466076642907</c:v>
                </c:pt>
                <c:pt idx="421">
                  <c:v>106.69876758287877</c:v>
                </c:pt>
                <c:pt idx="422">
                  <c:v>106.33979703575991</c:v>
                </c:pt>
                <c:pt idx="423">
                  <c:v>105.98767538298215</c:v>
                </c:pt>
                <c:pt idx="424">
                  <c:v>105.64232595419895</c:v>
                </c:pt>
                <c:pt idx="425">
                  <c:v>105.30366943108213</c:v>
                </c:pt>
                <c:pt idx="426">
                  <c:v>104.97162411534562</c:v>
                </c:pt>
                <c:pt idx="427">
                  <c:v>104.64610618451643</c:v>
                </c:pt>
                <c:pt idx="428">
                  <c:v>104.3270299355022</c:v>
                </c:pt>
                <c:pt idx="429">
                  <c:v>104.01430801607269</c:v>
                </c:pt>
                <c:pt idx="430">
                  <c:v>103.70785164442087</c:v>
                </c:pt>
                <c:pt idx="431">
                  <c:v>103.40757081700558</c:v>
                </c:pt>
                <c:pt idx="432">
                  <c:v>103.11337450492448</c:v>
                </c:pt>
                <c:pt idx="433">
                  <c:v>102.82517083909127</c:v>
                </c:pt>
                <c:pt idx="434">
                  <c:v>102.54286728452082</c:v>
                </c:pt>
                <c:pt idx="435">
                  <c:v>102.26637080404682</c:v>
                </c:pt>
                <c:pt idx="436">
                  <c:v>101.99558801181161</c:v>
                </c:pt>
                <c:pt idx="437">
                  <c:v>101.73042531688664</c:v>
                </c:pt>
                <c:pt idx="438">
                  <c:v>101.47078905738481</c:v>
                </c:pt>
                <c:pt idx="439">
                  <c:v>101.21658562543807</c:v>
                </c:pt>
                <c:pt idx="440">
                  <c:v>100.96772158341463</c:v>
                </c:pt>
                <c:pt idx="441">
                  <c:v>100.72410377175153</c:v>
                </c:pt>
                <c:pt idx="442">
                  <c:v>100.48563940877658</c:v>
                </c:pt>
                <c:pt idx="443">
                  <c:v>100.25223618289357</c:v>
                </c:pt>
                <c:pt idx="444">
                  <c:v>100.0238023374954</c:v>
                </c:pt>
                <c:pt idx="445">
                  <c:v>99.800246748966075</c:v>
                </c:pt>
                <c:pt idx="446">
                  <c:v>99.581478998126286</c:v>
                </c:pt>
                <c:pt idx="447">
                  <c:v>99.367409435465149</c:v>
                </c:pt>
                <c:pt idx="448">
                  <c:v>99.157949240494617</c:v>
                </c:pt>
                <c:pt idx="449">
                  <c:v>98.953010475551437</c:v>
                </c:pt>
                <c:pt idx="450">
                  <c:v>98.752506134360971</c:v>
                </c:pt>
                <c:pt idx="451">
                  <c:v>98.556350185667483</c:v>
                </c:pt>
                <c:pt idx="452">
                  <c:v>98.364457612222338</c:v>
                </c:pt>
                <c:pt idx="453">
                  <c:v>98.176744445411785</c:v>
                </c:pt>
                <c:pt idx="454">
                  <c:v>97.993127795793967</c:v>
                </c:pt>
                <c:pt idx="455">
                  <c:v>97.813525879802171</c:v>
                </c:pt>
                <c:pt idx="456">
                  <c:v>97.637858042863158</c:v>
                </c:pt>
                <c:pt idx="457">
                  <c:v>97.466044779163099</c:v>
                </c:pt>
                <c:pt idx="458">
                  <c:v>97.298007748287162</c:v>
                </c:pt>
                <c:pt idx="459">
                  <c:v>97.133669788945681</c:v>
                </c:pt>
                <c:pt idx="460">
                  <c:v>96.972954929988816</c:v>
                </c:pt>
                <c:pt idx="461">
                  <c:v>96.81578839890247</c:v>
                </c:pt>
                <c:pt idx="462">
                  <c:v>96.662096627967443</c:v>
                </c:pt>
                <c:pt idx="463">
                  <c:v>96.51180725825354</c:v>
                </c:pt>
                <c:pt idx="464">
                  <c:v>96.364849141612254</c:v>
                </c:pt>
                <c:pt idx="465">
                  <c:v>96.221152340821803</c:v>
                </c:pt>
                <c:pt idx="466">
                  <c:v>96.080648128027988</c:v>
                </c:pt>
                <c:pt idx="467">
                  <c:v>95.943268981620108</c:v>
                </c:pt>
                <c:pt idx="468">
                  <c:v>95.808948581668119</c:v>
                </c:pt>
                <c:pt idx="469">
                  <c:v>95.677621804043</c:v>
                </c:pt>
                <c:pt idx="470">
                  <c:v>95.549224713334127</c:v>
                </c:pt>
                <c:pt idx="471">
                  <c:v>95.423694554669098</c:v>
                </c:pt>
                <c:pt idx="472">
                  <c:v>95.300969744537625</c:v>
                </c:pt>
                <c:pt idx="473">
                  <c:v>95.180989860710966</c:v>
                </c:pt>
                <c:pt idx="474">
                  <c:v>95.063695631346334</c:v>
                </c:pt>
                <c:pt idx="475">
                  <c:v>94.949028923356565</c:v>
                </c:pt>
                <c:pt idx="476">
                  <c:v>94.836932730122982</c:v>
                </c:pt>
                <c:pt idx="477">
                  <c:v>94.727351158621303</c:v>
                </c:pt>
                <c:pt idx="478">
                  <c:v>94.620229416027954</c:v>
                </c:pt>
                <c:pt idx="479">
                  <c:v>94.515513795868827</c:v>
                </c:pt>
                <c:pt idx="480">
                  <c:v>94.413151663767053</c:v>
                </c:pt>
                <c:pt idx="481">
                  <c:v>94.313091442844737</c:v>
                </c:pt>
                <c:pt idx="482">
                  <c:v>94.215282598827031</c:v>
                </c:pt>
                <c:pt idx="483">
                  <c:v>94.119675624895706</c:v>
                </c:pt>
                <c:pt idx="484">
                  <c:v>94.026222026333926</c:v>
                </c:pt>
                <c:pt idx="485">
                  <c:v>93.93487430500295</c:v>
                </c:pt>
                <c:pt idx="486">
                  <c:v>93.845585943685833</c:v>
                </c:pt>
                <c:pt idx="487">
                  <c:v>93.758311390333276</c:v>
                </c:pt>
                <c:pt idx="488">
                  <c:v>93.673006042241582</c:v>
                </c:pt>
                <c:pt idx="489">
                  <c:v>93.589626230192025</c:v>
                </c:pt>
                <c:pt idx="490">
                  <c:v>93.508129202577621</c:v>
                </c:pt>
                <c:pt idx="491">
                  <c:v>93.428473109541372</c:v>
                </c:pt>
                <c:pt idx="492">
                  <c:v>93.350616987148371</c:v>
                </c:pt>
                <c:pt idx="493">
                  <c:v>93.274520741611752</c:v>
                </c:pt>
                <c:pt idx="494">
                  <c:v>93.200145133590922</c:v>
                </c:pt>
                <c:pt idx="495">
                  <c:v>93.127451762579142</c:v>
                </c:pt>
                <c:pt idx="496">
                  <c:v>93.05640305139535</c:v>
                </c:pt>
                <c:pt idx="497">
                  <c:v>92.986962230794234</c:v>
                </c:pt>
                <c:pt idx="498">
                  <c:v>92.919093324207012</c:v>
                </c:pt>
                <c:pt idx="499">
                  <c:v>92.852761132624465</c:v>
                </c:pt>
                <c:pt idx="500">
                  <c:v>92.787931219631361</c:v>
                </c:pt>
                <c:pt idx="501">
                  <c:v>92.724569896602773</c:v>
                </c:pt>
                <c:pt idx="502">
                  <c:v>92.662644208068699</c:v>
                </c:pt>
                <c:pt idx="503">
                  <c:v>92.602121917255303</c:v>
                </c:pt>
                <c:pt idx="504">
                  <c:v>92.542971491808302</c:v>
                </c:pt>
                <c:pt idx="505">
                  <c:v>92.485162089704161</c:v>
                </c:pt>
                <c:pt idx="506">
                  <c:v>92.428663545353956</c:v>
                </c:pt>
                <c:pt idx="507">
                  <c:v>92.373446355903326</c:v>
                </c:pt>
                <c:pt idx="508">
                  <c:v>92.319481667732617</c:v>
                </c:pt>
                <c:pt idx="509">
                  <c:v>92.266741263159375</c:v>
                </c:pt>
                <c:pt idx="510">
                  <c:v>92.215197547346008</c:v>
                </c:pt>
                <c:pt idx="511">
                  <c:v>92.164823535413746</c:v>
                </c:pt>
                <c:pt idx="512">
                  <c:v>92.115592839764801</c:v>
                </c:pt>
                <c:pt idx="513">
                  <c:v>92.067479657613092</c:v>
                </c:pt>
                <c:pt idx="514">
                  <c:v>92.02045875872453</c:v>
                </c:pt>
                <c:pt idx="515">
                  <c:v>91.974505473366392</c:v>
                </c:pt>
                <c:pt idx="516">
                  <c:v>91.929595680466377</c:v>
                </c:pt>
                <c:pt idx="517">
                  <c:v>91.885705795979916</c:v>
                </c:pt>
                <c:pt idx="518">
                  <c:v>91.842812761465979</c:v>
                </c:pt>
                <c:pt idx="519">
                  <c:v>91.800894032869721</c:v>
                </c:pt>
                <c:pt idx="520">
                  <c:v>91.759927569510779</c:v>
                </c:pt>
                <c:pt idx="521">
                  <c:v>91.719891823276342</c:v>
                </c:pt>
                <c:pt idx="522">
                  <c:v>91.680765728016681</c:v>
                </c:pt>
                <c:pt idx="523">
                  <c:v>91.642528689142011</c:v>
                </c:pt>
                <c:pt idx="524">
                  <c:v>91.605160573418161</c:v>
                </c:pt>
                <c:pt idx="525">
                  <c:v>91.568641698959638</c:v>
                </c:pt>
                <c:pt idx="526">
                  <c:v>91.532952825417539</c:v>
                </c:pt>
                <c:pt idx="527">
                  <c:v>91.498075144360016</c:v>
                </c:pt>
                <c:pt idx="528">
                  <c:v>91.463990269843308</c:v>
                </c:pt>
                <c:pt idx="529">
                  <c:v>91.430680229170221</c:v>
                </c:pt>
                <c:pt idx="530">
                  <c:v>91.398127453834604</c:v>
                </c:pt>
                <c:pt idx="531">
                  <c:v>91.366314770648046</c:v>
                </c:pt>
                <c:pt idx="532">
                  <c:v>91.335225393047196</c:v>
                </c:pt>
                <c:pt idx="533">
                  <c:v>91.304842912578394</c:v>
                </c:pt>
                <c:pt idx="534">
                  <c:v>91.275151290557247</c:v>
                </c:pt>
                <c:pt idx="535">
                  <c:v>91.246134849900216</c:v>
                </c:pt>
                <c:pt idx="536">
                  <c:v>91.217778267125951</c:v>
                </c:pt>
                <c:pt idx="537">
                  <c:v>91.190066564522695</c:v>
                </c:pt>
                <c:pt idx="538">
                  <c:v>91.162985102480036</c:v>
                </c:pt>
                <c:pt idx="539">
                  <c:v>91.136519571981495</c:v>
                </c:pt>
                <c:pt idx="540">
                  <c:v>91.110655987255569</c:v>
                </c:pt>
                <c:pt idx="541">
                  <c:v>91.085380678582212</c:v>
                </c:pt>
              </c:numCache>
            </c:numRef>
          </c:yVal>
          <c:smooth val="1"/>
          <c:extLst>
            <c:ext xmlns:c16="http://schemas.microsoft.com/office/drawing/2014/chart" uri="{C3380CC4-5D6E-409C-BE32-E72D297353CC}">
              <c16:uniqueId val="{00000001-0C9A-445E-BBBF-BF1175B0A6DF}"/>
            </c:ext>
          </c:extLst>
        </c:ser>
        <c:dLbls>
          <c:showLegendKey val="0"/>
          <c:showVal val="0"/>
          <c:showCatName val="0"/>
          <c:showSerName val="0"/>
          <c:showPercent val="0"/>
          <c:showBubbleSize val="0"/>
        </c:dLbls>
        <c:axId val="384036224"/>
        <c:axId val="384034688"/>
      </c:scatterChart>
      <c:valAx>
        <c:axId val="337758080"/>
        <c:scaling>
          <c:logBase val="10"/>
          <c:orientation val="minMax"/>
          <c:max val="2200000"/>
          <c:min val="10"/>
        </c:scaling>
        <c:delete val="0"/>
        <c:axPos val="b"/>
        <c:minorGridlines/>
        <c:title>
          <c:tx>
            <c:rich>
              <a:bodyPr/>
              <a:lstStyle/>
              <a:p>
                <a:pPr>
                  <a:defRPr/>
                </a:pPr>
                <a:r>
                  <a:rPr lang="en-US"/>
                  <a:t>Frequency</a:t>
                </a:r>
                <a:r>
                  <a:rPr lang="en-US" baseline="0"/>
                  <a:t> (Hz)</a:t>
                </a:r>
                <a:endParaRPr lang="en-US"/>
              </a:p>
            </c:rich>
          </c:tx>
          <c:overlay val="0"/>
        </c:title>
        <c:numFmt formatCode="0" sourceLinked="0"/>
        <c:majorTickMark val="out"/>
        <c:minorTickMark val="none"/>
        <c:tickLblPos val="low"/>
        <c:crossAx val="384032768"/>
        <c:crosses val="autoZero"/>
        <c:crossBetween val="midCat"/>
      </c:valAx>
      <c:valAx>
        <c:axId val="384032768"/>
        <c:scaling>
          <c:orientation val="minMax"/>
          <c:max val="40"/>
          <c:min val="-40"/>
        </c:scaling>
        <c:delete val="0"/>
        <c:axPos val="l"/>
        <c:majorGridlines/>
        <c:minorGridlines/>
        <c:title>
          <c:tx>
            <c:rich>
              <a:bodyPr rot="-5400000" vert="horz"/>
              <a:lstStyle/>
              <a:p>
                <a:pPr>
                  <a:defRPr/>
                </a:pPr>
                <a:r>
                  <a:rPr lang="en-US"/>
                  <a:t>Gain</a:t>
                </a:r>
                <a:r>
                  <a:rPr lang="en-US" baseline="0"/>
                  <a:t> (dB)</a:t>
                </a:r>
                <a:endParaRPr lang="en-US"/>
              </a:p>
            </c:rich>
          </c:tx>
          <c:overlay val="0"/>
        </c:title>
        <c:numFmt formatCode="General" sourceLinked="0"/>
        <c:majorTickMark val="out"/>
        <c:minorTickMark val="none"/>
        <c:tickLblPos val="nextTo"/>
        <c:crossAx val="337758080"/>
        <c:crosses val="autoZero"/>
        <c:crossBetween val="midCat"/>
        <c:majorUnit val="20"/>
        <c:minorUnit val="10"/>
      </c:valAx>
      <c:valAx>
        <c:axId val="384034688"/>
        <c:scaling>
          <c:orientation val="minMax"/>
          <c:max val="180"/>
          <c:min val="-180"/>
        </c:scaling>
        <c:delete val="0"/>
        <c:axPos val="r"/>
        <c:numFmt formatCode="General" sourceLinked="1"/>
        <c:majorTickMark val="out"/>
        <c:minorTickMark val="none"/>
        <c:tickLblPos val="nextTo"/>
        <c:crossAx val="384036224"/>
        <c:crosses val="max"/>
        <c:crossBetween val="midCat"/>
        <c:majorUnit val="90"/>
        <c:minorUnit val="45"/>
      </c:valAx>
      <c:valAx>
        <c:axId val="384036224"/>
        <c:scaling>
          <c:logBase val="10"/>
          <c:orientation val="minMax"/>
        </c:scaling>
        <c:delete val="1"/>
        <c:axPos val="b"/>
        <c:numFmt formatCode="0.00" sourceLinked="1"/>
        <c:majorTickMark val="out"/>
        <c:minorTickMark val="none"/>
        <c:tickLblPos val="nextTo"/>
        <c:crossAx val="384034688"/>
        <c:crosses val="autoZero"/>
        <c:crossBetween val="midCat"/>
      </c:valAx>
    </c:plotArea>
    <c:legend>
      <c:legendPos val="r"/>
      <c:layout>
        <c:manualLayout>
          <c:xMode val="edge"/>
          <c:yMode val="edge"/>
          <c:x val="0.79880558209512509"/>
          <c:y val="0.14321997959862004"/>
          <c:w val="0.13485048155591431"/>
          <c:h val="0.10528624969913696"/>
        </c:manualLayout>
      </c:layout>
      <c:overlay val="1"/>
      <c:spPr>
        <a:solidFill>
          <a:schemeClr val="bg1"/>
        </a:solidFill>
      </c:spPr>
    </c:legend>
    <c:plotVisOnly val="1"/>
    <c:dispBlanksAs val="gap"/>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600"/>
            </a:pPr>
            <a:r>
              <a:rPr lang="en-US" sz="1600" baseline="0"/>
              <a:t>Bode Plot</a:t>
            </a:r>
          </a:p>
        </c:rich>
      </c:tx>
      <c:layout>
        <c:manualLayout>
          <c:xMode val="edge"/>
          <c:yMode val="edge"/>
          <c:x val="9.4354157174953393E-2"/>
          <c:y val="3.9916010498687662E-3"/>
        </c:manualLayout>
      </c:layout>
      <c:overlay val="0"/>
    </c:title>
    <c:autoTitleDeleted val="0"/>
    <c:plotArea>
      <c:layout>
        <c:manualLayout>
          <c:layoutTarget val="inner"/>
          <c:xMode val="edge"/>
          <c:yMode val="edge"/>
          <c:x val="8.7413438847232044E-2"/>
          <c:y val="8.915804101931861E-2"/>
          <c:w val="0.80965876742891785"/>
          <c:h val="0.76159168715027026"/>
        </c:manualLayout>
      </c:layout>
      <c:scatterChart>
        <c:scatterStyle val="smoothMarker"/>
        <c:varyColors val="0"/>
        <c:ser>
          <c:idx val="0"/>
          <c:order val="0"/>
          <c:tx>
            <c:v>Gain (dB)</c:v>
          </c:tx>
          <c:spPr>
            <a:ln w="28575">
              <a:solidFill>
                <a:srgbClr val="FF0000"/>
              </a:solidFill>
            </a:ln>
          </c:spPr>
          <c:marker>
            <c:symbol val="none"/>
          </c:marker>
          <c:xVal>
            <c:numRef>
              <c:f>CCM_Loop_Modeling_Isolated!$O$19:$O$560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CCM_Loop_Modeling_Isolated!$AW$19:$AW$560</c:f>
              <c:numCache>
                <c:formatCode>0.000</c:formatCode>
                <c:ptCount val="542"/>
                <c:pt idx="0">
                  <c:v>66.967289416228894</c:v>
                </c:pt>
                <c:pt idx="1">
                  <c:v>66.615038278340862</c:v>
                </c:pt>
                <c:pt idx="2">
                  <c:v>66.263345241982876</c:v>
                </c:pt>
                <c:pt idx="3">
                  <c:v>65.912272128829684</c:v>
                </c:pt>
                <c:pt idx="4">
                  <c:v>65.561880186106677</c:v>
                </c:pt>
                <c:pt idx="5">
                  <c:v>65.212230024446654</c:v>
                </c:pt>
                <c:pt idx="6">
                  <c:v>64.863381551828894</c:v>
                </c:pt>
                <c:pt idx="7">
                  <c:v>64.515393903476181</c:v>
                </c:pt>
                <c:pt idx="8">
                  <c:v>64.168325367635234</c:v>
                </c:pt>
                <c:pt idx="9">
                  <c:v>63.822233307218319</c:v>
                </c:pt>
                <c:pt idx="10">
                  <c:v>63.477174077338326</c:v>
                </c:pt>
                <c:pt idx="11">
                  <c:v>63.133202938826699</c:v>
                </c:pt>
                <c:pt idx="12">
                  <c:v>62.790373967884214</c:v>
                </c:pt>
                <c:pt idx="13">
                  <c:v>62.448739962072722</c:v>
                </c:pt>
                <c:pt idx="14">
                  <c:v>62.108352342918295</c:v>
                </c:pt>
                <c:pt idx="15">
                  <c:v>61.76926105545698</c:v>
                </c:pt>
                <c:pt idx="16">
                  <c:v>61.431514465113828</c:v>
                </c:pt>
                <c:pt idx="17">
                  <c:v>61.095159252363871</c:v>
                </c:pt>
                <c:pt idx="18">
                  <c:v>60.760240305680611</c:v>
                </c:pt>
                <c:pt idx="19">
                  <c:v>60.426800613328993</c:v>
                </c:pt>
                <c:pt idx="20">
                  <c:v>60.094881154607876</c:v>
                </c:pt>
                <c:pt idx="21">
                  <c:v>59.764520791190009</c:v>
                </c:pt>
                <c:pt idx="22">
                  <c:v>59.435756159245557</c:v>
                </c:pt>
                <c:pt idx="23">
                  <c:v>59.108621563060595</c:v>
                </c:pt>
                <c:pt idx="24">
                  <c:v>58.783148870892106</c:v>
                </c:pt>
                <c:pt idx="25">
                  <c:v>58.459367413804351</c:v>
                </c:pt>
                <c:pt idx="26">
                  <c:v>58.137303888247878</c:v>
                </c:pt>
                <c:pt idx="27">
                  <c:v>57.816982263128182</c:v>
                </c:pt>
                <c:pt idx="28">
                  <c:v>57.498423692103344</c:v>
                </c:pt>
                <c:pt idx="29">
                  <c:v>57.181646431823864</c:v>
                </c:pt>
                <c:pt idx="30">
                  <c:v>56.866665766796416</c:v>
                </c:pt>
                <c:pt idx="31">
                  <c:v>56.553493941508194</c:v>
                </c:pt>
                <c:pt idx="32">
                  <c:v>56.242140100401656</c:v>
                </c:pt>
                <c:pt idx="33">
                  <c:v>55.932610236223752</c:v>
                </c:pt>
                <c:pt idx="34">
                  <c:v>55.624907147215019</c:v>
                </c:pt>
                <c:pt idx="35">
                  <c:v>55.319030403522618</c:v>
                </c:pt>
                <c:pt idx="36">
                  <c:v>55.014976323148623</c:v>
                </c:pt>
                <c:pt idx="37">
                  <c:v>54.712737957659876</c:v>
                </c:pt>
                <c:pt idx="38">
                  <c:v>54.412305087801094</c:v>
                </c:pt>
                <c:pt idx="39">
                  <c:v>54.11366422906692</c:v>
                </c:pt>
                <c:pt idx="40">
                  <c:v>53.81679864720126</c:v>
                </c:pt>
                <c:pt idx="41">
                  <c:v>53.52168838350876</c:v>
                </c:pt>
                <c:pt idx="42">
                  <c:v>53.228310289781938</c:v>
                </c:pt>
                <c:pt idx="43">
                  <c:v>52.936638072568158</c:v>
                </c:pt>
                <c:pt idx="44">
                  <c:v>52.64664234643206</c:v>
                </c:pt>
                <c:pt idx="45">
                  <c:v>52.358290695801522</c:v>
                </c:pt>
                <c:pt idx="46">
                  <c:v>52.07154774492907</c:v>
                </c:pt>
                <c:pt idx="47">
                  <c:v>51.786375235451949</c:v>
                </c:pt>
                <c:pt idx="48">
                  <c:v>51.502732110994131</c:v>
                </c:pt>
                <c:pt idx="49">
                  <c:v>51.220574608222471</c:v>
                </c:pt>
                <c:pt idx="50">
                  <c:v>50.939856353749278</c:v>
                </c:pt>
                <c:pt idx="51">
                  <c:v>50.660528466263123</c:v>
                </c:pt>
                <c:pt idx="52">
                  <c:v>50.382539663265646</c:v>
                </c:pt>
                <c:pt idx="53">
                  <c:v>50.105836371803136</c:v>
                </c:pt>
                <c:pt idx="54">
                  <c:v>49.830362842595406</c:v>
                </c:pt>
                <c:pt idx="55">
                  <c:v>49.556061266988245</c:v>
                </c:pt>
                <c:pt idx="56">
                  <c:v>49.282871896190926</c:v>
                </c:pt>
                <c:pt idx="57">
                  <c:v>49.0107331622917</c:v>
                </c:pt>
                <c:pt idx="58">
                  <c:v>48.739581800593179</c:v>
                </c:pt>
                <c:pt idx="59">
                  <c:v>48.469352972852263</c:v>
                </c:pt>
                <c:pt idx="60">
                  <c:v>48.19998039106239</c:v>
                </c:pt>
                <c:pt idx="61">
                  <c:v>47.931396441466703</c:v>
                </c:pt>
                <c:pt idx="62">
                  <c:v>47.663532308545165</c:v>
                </c:pt>
                <c:pt idx="63">
                  <c:v>47.39631809877217</c:v>
                </c:pt>
                <c:pt idx="64">
                  <c:v>47.129682963992494</c:v>
                </c:pt>
                <c:pt idx="65">
                  <c:v>46.863555224317295</c:v>
                </c:pt>
                <c:pt idx="66">
                  <c:v>46.59786249048426</c:v>
                </c:pt>
                <c:pt idx="67">
                  <c:v>46.332531785676011</c:v>
                </c:pt>
                <c:pt idx="68">
                  <c:v>46.067489666825068</c:v>
                </c:pt>
                <c:pt idx="69">
                  <c:v>45.802662345473166</c:v>
                </c:pt>
                <c:pt idx="70">
                  <c:v>45.537975808276499</c:v>
                </c:pt>
                <c:pt idx="71">
                  <c:v>45.27335593727652</c:v>
                </c:pt>
                <c:pt idx="72">
                  <c:v>45.008728630067949</c:v>
                </c:pt>
                <c:pt idx="73">
                  <c:v>44.744019920008483</c:v>
                </c:pt>
                <c:pt idx="74">
                  <c:v>44.479156096615768</c:v>
                </c:pt>
                <c:pt idx="75">
                  <c:v>44.214063826294264</c:v>
                </c:pt>
                <c:pt idx="76">
                  <c:v>43.948670273522893</c:v>
                </c:pt>
                <c:pt idx="77">
                  <c:v>43.682903222618847</c:v>
                </c:pt>
                <c:pt idx="78">
                  <c:v>43.416691200165936</c:v>
                </c:pt>
                <c:pt idx="79">
                  <c:v>43.149963598169535</c:v>
                </c:pt>
                <c:pt idx="80">
                  <c:v>42.882650797962036</c:v>
                </c:pt>
                <c:pt idx="81">
                  <c:v>42.614684294843272</c:v>
                </c:pt>
                <c:pt idx="82">
                  <c:v>42.345996823396547</c:v>
                </c:pt>
                <c:pt idx="83">
                  <c:v>42.076522483369978</c:v>
                </c:pt>
                <c:pt idx="84">
                  <c:v>41.806196865964125</c:v>
                </c:pt>
                <c:pt idx="85">
                  <c:v>41.53495718031337</c:v>
                </c:pt>
                <c:pt idx="86">
                  <c:v>41.262742379891357</c:v>
                </c:pt>
                <c:pt idx="87">
                  <c:v>40.989493288522489</c:v>
                </c:pt>
                <c:pt idx="88">
                  <c:v>40.715152725622737</c:v>
                </c:pt>
                <c:pt idx="89">
                  <c:v>40.439665630246616</c:v>
                </c:pt>
                <c:pt idx="90">
                  <c:v>40.162979183467478</c:v>
                </c:pt>
                <c:pt idx="91">
                  <c:v>39.885042928575494</c:v>
                </c:pt>
                <c:pt idx="92">
                  <c:v>39.605808888541603</c:v>
                </c:pt>
                <c:pt idx="93">
                  <c:v>39.325231680160954</c:v>
                </c:pt>
                <c:pt idx="94">
                  <c:v>39.043268624269317</c:v>
                </c:pt>
                <c:pt idx="95">
                  <c:v>38.759879851405316</c:v>
                </c:pt>
                <c:pt idx="96">
                  <c:v>38.475028402286782</c:v>
                </c:pt>
                <c:pt idx="97">
                  <c:v>38.188680322469502</c:v>
                </c:pt>
                <c:pt idx="98">
                  <c:v>37.900804750566188</c:v>
                </c:pt>
                <c:pt idx="99">
                  <c:v>37.611373999426959</c:v>
                </c:pt>
                <c:pt idx="100">
                  <c:v>37.320363629708027</c:v>
                </c:pt>
                <c:pt idx="101">
                  <c:v>37.027752515297891</c:v>
                </c:pt>
                <c:pt idx="102">
                  <c:v>36.733522900116</c:v>
                </c:pt>
                <c:pt idx="103">
                  <c:v>36.437660445854789</c:v>
                </c:pt>
                <c:pt idx="104">
                  <c:v>36.140154270300727</c:v>
                </c:pt>
                <c:pt idx="105">
                  <c:v>35.840996975937742</c:v>
                </c:pt>
                <c:pt idx="106">
                  <c:v>35.540184668612447</c:v>
                </c:pt>
                <c:pt idx="107">
                  <c:v>35.237716966118889</c:v>
                </c:pt>
                <c:pt idx="108">
                  <c:v>34.933596996643075</c:v>
                </c:pt>
                <c:pt idx="109">
                  <c:v>34.627831387087966</c:v>
                </c:pt>
                <c:pt idx="110">
                  <c:v>34.320430241384862</c:v>
                </c:pt>
                <c:pt idx="111">
                  <c:v>34.011407108976719</c:v>
                </c:pt>
                <c:pt idx="112">
                  <c:v>33.7007789437356</c:v>
                </c:pt>
                <c:pt idx="113">
                  <c:v>33.388566053652625</c:v>
                </c:pt>
                <c:pt idx="114">
                  <c:v>33.074792041704463</c:v>
                </c:pt>
                <c:pt idx="115">
                  <c:v>32.759483738362292</c:v>
                </c:pt>
                <c:pt idx="116">
                  <c:v>32.4426711262631</c:v>
                </c:pt>
                <c:pt idx="117">
                  <c:v>32.124387257607744</c:v>
                </c:pt>
                <c:pt idx="118">
                  <c:v>31.804668164887204</c:v>
                </c:pt>
                <c:pt idx="119">
                  <c:v>31.483552765564198</c:v>
                </c:pt>
                <c:pt idx="120">
                  <c:v>31.161082761355527</c:v>
                </c:pt>
                <c:pt idx="121">
                  <c:v>30.837302532767886</c:v>
                </c:pt>
                <c:pt idx="122">
                  <c:v>30.512259029538193</c:v>
                </c:pt>
                <c:pt idx="123">
                  <c:v>30.18600165761784</c:v>
                </c:pt>
                <c:pt idx="124">
                  <c:v>29.858582163323462</c:v>
                </c:pt>
                <c:pt idx="125">
                  <c:v>29.530054515245816</c:v>
                </c:pt>
                <c:pt idx="126">
                  <c:v>29.200474784478022</c:v>
                </c:pt>
                <c:pt idx="127">
                  <c:v>28.869901023682058</c:v>
                </c:pt>
                <c:pt idx="128">
                  <c:v>28.538393145465978</c:v>
                </c:pt>
                <c:pt idx="129">
                  <c:v>28.206012800494666</c:v>
                </c:pt>
                <c:pt idx="130">
                  <c:v>27.872823255707289</c:v>
                </c:pt>
                <c:pt idx="131">
                  <c:v>27.538889272952002</c:v>
                </c:pt>
                <c:pt idx="132">
                  <c:v>27.204276988299426</c:v>
                </c:pt>
                <c:pt idx="133">
                  <c:v>26.869053792234794</c:v>
                </c:pt>
                <c:pt idx="134">
                  <c:v>26.53328821087506</c:v>
                </c:pt>
                <c:pt idx="135">
                  <c:v>26.197049788302792</c:v>
                </c:pt>
                <c:pt idx="136">
                  <c:v>25.860408970058089</c:v>
                </c:pt>
                <c:pt idx="137">
                  <c:v>25.523436987779764</c:v>
                </c:pt>
                <c:pt idx="138">
                  <c:v>25.186205744947692</c:v>
                </c:pt>
                <c:pt idx="139">
                  <c:v>24.848787703633484</c:v>
                </c:pt>
                <c:pt idx="140">
                  <c:v>24.511255772139343</c:v>
                </c:pt>
                <c:pt idx="141">
                  <c:v>24.173683193373016</c:v>
                </c:pt>
                <c:pt idx="142">
                  <c:v>23.836143433786749</c:v>
                </c:pt>
                <c:pt idx="143">
                  <c:v>23.498710072695754</c:v>
                </c:pt>
                <c:pt idx="144">
                  <c:v>23.161456691777712</c:v>
                </c:pt>
                <c:pt idx="145">
                  <c:v>22.824456764560473</c:v>
                </c:pt>
                <c:pt idx="146">
                  <c:v>22.487783545705483</c:v>
                </c:pt>
                <c:pt idx="147">
                  <c:v>22.151509959908395</c:v>
                </c:pt>
                <c:pt idx="148">
                  <c:v>21.815708490258597</c:v>
                </c:pt>
                <c:pt idx="149">
                  <c:v>21.480451065921251</c:v>
                </c:pt>
                <c:pt idx="150">
                  <c:v>21.145808949039832</c:v>
                </c:pt>
                <c:pt idx="151">
                  <c:v>20.811852620791921</c:v>
                </c:pt>
                <c:pt idx="152">
                  <c:v>20.478651666571729</c:v>
                </c:pt>
                <c:pt idx="153">
                  <c:v>20.146274660323883</c:v>
                </c:pt>
                <c:pt idx="154">
                  <c:v>19.814789048093353</c:v>
                </c:pt>
                <c:pt idx="155">
                  <c:v>19.484261030920788</c:v>
                </c:pt>
                <c:pt idx="156">
                  <c:v>19.154755447256296</c:v>
                </c:pt>
                <c:pt idx="157">
                  <c:v>18.826335655128734</c:v>
                </c:pt>
                <c:pt idx="158">
                  <c:v>18.499063414357618</c:v>
                </c:pt>
                <c:pt idx="159">
                  <c:v>18.172998769155591</c:v>
                </c:pt>
                <c:pt idx="160">
                  <c:v>17.848199931517719</c:v>
                </c:pt>
                <c:pt idx="161">
                  <c:v>17.524723165846421</c:v>
                </c:pt>
                <c:pt idx="162">
                  <c:v>17.202622675309453</c:v>
                </c:pt>
                <c:pt idx="163">
                  <c:v>16.881950490464991</c:v>
                </c:pt>
                <c:pt idx="164">
                  <c:v>16.562756360727331</c:v>
                </c:pt>
                <c:pt idx="165">
                  <c:v>16.245087649273859</c:v>
                </c:pt>
                <c:pt idx="166">
                  <c:v>15.928989232014104</c:v>
                </c:pt>
                <c:pt idx="167">
                  <c:v>15.61450340125543</c:v>
                </c:pt>
                <c:pt idx="168">
                  <c:v>15.301669774699638</c:v>
                </c:pt>
                <c:pt idx="169">
                  <c:v>14.990525210406698</c:v>
                </c:pt>
                <c:pt idx="170">
                  <c:v>14.681103728333298</c:v>
                </c:pt>
                <c:pt idx="171">
                  <c:v>14.373436439041672</c:v>
                </c:pt>
                <c:pt idx="172">
                  <c:v>14.067551480128531</c:v>
                </c:pt>
                <c:pt idx="173">
                  <c:v>13.763473960884568</c:v>
                </c:pt>
                <c:pt idx="174">
                  <c:v>13.461225915639153</c:v>
                </c:pt>
                <c:pt idx="175">
                  <c:v>13.160826266185211</c:v>
                </c:pt>
                <c:pt idx="176">
                  <c:v>12.862290793606178</c:v>
                </c:pt>
                <c:pt idx="177">
                  <c:v>12.565632119756307</c:v>
                </c:pt>
                <c:pt idx="178">
                  <c:v>12.270859698561523</c:v>
                </c:pt>
                <c:pt idx="179">
                  <c:v>11.977979817225982</c:v>
                </c:pt>
                <c:pt idx="180">
                  <c:v>11.686995607340966</c:v>
                </c:pt>
                <c:pt idx="181">
                  <c:v>11.397907065806145</c:v>
                </c:pt>
                <c:pt idx="182">
                  <c:v>11.110711085385976</c:v>
                </c:pt>
                <c:pt idx="183">
                  <c:v>10.825401494637848</c:v>
                </c:pt>
                <c:pt idx="184">
                  <c:v>10.541969106867333</c:v>
                </c:pt>
                <c:pt idx="185">
                  <c:v>10.260401777686752</c:v>
                </c:pt>
                <c:pt idx="186">
                  <c:v>9.9806844706822169</c:v>
                </c:pt>
                <c:pt idx="187">
                  <c:v>9.7027993306313647</c:v>
                </c:pt>
                <c:pt idx="188">
                  <c:v>9.4267257636510813</c:v>
                </c:pt>
                <c:pt idx="189">
                  <c:v>9.152440523612217</c:v>
                </c:pt>
                <c:pt idx="190">
                  <c:v>8.8799178041131999</c:v>
                </c:pt>
                <c:pt idx="191">
                  <c:v>8.6091293352757337</c:v>
                </c:pt>
                <c:pt idx="192">
                  <c:v>8.3400444846071426</c:v>
                </c:pt>
                <c:pt idx="193">
                  <c:v>8.0726303611575219</c:v>
                </c:pt>
                <c:pt idx="194">
                  <c:v>7.8068519222019432</c:v>
                </c:pt>
                <c:pt idx="195">
                  <c:v>7.5426720816845059</c:v>
                </c:pt>
                <c:pt idx="196">
                  <c:v>7.2800518196730053</c:v>
                </c:pt>
                <c:pt idx="197">
                  <c:v>7.0189502921023532</c:v>
                </c:pt>
                <c:pt idx="198">
                  <c:v>6.7593249401101971</c:v>
                </c:pt>
                <c:pt idx="199">
                  <c:v>6.5011315983090556</c:v>
                </c:pt>
                <c:pt idx="200">
                  <c:v>6.2443246013806668</c:v>
                </c:pt>
                <c:pt idx="201">
                  <c:v>5.9888568884261071</c:v>
                </c:pt>
                <c:pt idx="202">
                  <c:v>5.7346801045574383</c:v>
                </c:pt>
                <c:pt idx="203">
                  <c:v>5.4817446992697896</c:v>
                </c:pt>
                <c:pt idx="204">
                  <c:v>5.230000021192307</c:v>
                </c:pt>
                <c:pt idx="205">
                  <c:v>4.9793944088700712</c:v>
                </c:pt>
                <c:pt idx="206">
                  <c:v>4.7298752772924466</c:v>
                </c:pt>
                <c:pt idx="207">
                  <c:v>4.4813891999385014</c:v>
                </c:pt>
                <c:pt idx="208">
                  <c:v>4.2338819861689085</c:v>
                </c:pt>
                <c:pt idx="209">
                  <c:v>3.9872987538501095</c:v>
                </c:pt>
                <c:pt idx="210">
                  <c:v>3.741583997151039</c:v>
                </c:pt>
                <c:pt idx="211">
                  <c:v>3.4966816495053221</c:v>
                </c:pt>
                <c:pt idx="212">
                  <c:v>3.2525351417792754</c:v>
                </c:pt>
                <c:pt idx="213">
                  <c:v>3.009087455737526</c:v>
                </c:pt>
                <c:pt idx="214">
                  <c:v>2.7662811729365648</c:v>
                </c:pt>
                <c:pt idx="215">
                  <c:v>2.5240585192212146</c:v>
                </c:pt>
                <c:pt idx="216">
                  <c:v>2.2823614050340062</c:v>
                </c:pt>
                <c:pt idx="217">
                  <c:v>2.0411314617834297</c:v>
                </c:pt>
                <c:pt idx="218">
                  <c:v>1.8003100745452665</c:v>
                </c:pt>
                <c:pt idx="219">
                  <c:v>1.5598384114020396</c:v>
                </c:pt>
                <c:pt idx="220">
                  <c:v>1.3196574497465241</c:v>
                </c:pt>
                <c:pt idx="221">
                  <c:v>1.0797079998991297</c:v>
                </c:pt>
                <c:pt idx="222">
                  <c:v>0.83993072640564703</c:v>
                </c:pt>
                <c:pt idx="223">
                  <c:v>0.60026616739662741</c:v>
                </c:pt>
                <c:pt idx="224">
                  <c:v>0.360654752403545</c:v>
                </c:pt>
                <c:pt idx="225">
                  <c:v>0.1210368190338218</c:v>
                </c:pt>
                <c:pt idx="226">
                  <c:v>-0.1186473710845294</c:v>
                </c:pt>
                <c:pt idx="227">
                  <c:v>-0.35845761667471754</c:v>
                </c:pt>
                <c:pt idx="228">
                  <c:v>-0.59845376108577619</c:v>
                </c:pt>
                <c:pt idx="229">
                  <c:v>-0.83869567605668494</c:v>
                </c:pt>
                <c:pt idx="230">
                  <c:v>-1.0792432445594839</c:v>
                </c:pt>
                <c:pt idx="231">
                  <c:v>-1.320156342322518</c:v>
                </c:pt>
                <c:pt idx="232">
                  <c:v>-1.5614948176396188</c:v>
                </c:pt>
                <c:pt idx="233">
                  <c:v>-1.8033184690874169</c:v>
                </c:pt>
                <c:pt idx="234">
                  <c:v>-2.0456870207878168</c:v>
                </c:pt>
                <c:pt idx="235">
                  <c:v>-2.2886600948692504</c:v>
                </c:pt>
                <c:pt idx="236">
                  <c:v>-2.5322971808050463</c:v>
                </c:pt>
                <c:pt idx="237">
                  <c:v>-2.7766576013306699</c:v>
                </c:pt>
                <c:pt idx="238">
                  <c:v>-3.0218004746689777</c:v>
                </c:pt>
                <c:pt idx="239">
                  <c:v>-3.2677846728252717</c:v>
                </c:pt>
                <c:pt idx="240">
                  <c:v>-3.5146687757478912</c:v>
                </c:pt>
                <c:pt idx="241">
                  <c:v>-3.7625110211878781</c:v>
                </c:pt>
                <c:pt idx="242">
                  <c:v>-4.0113692501332805</c:v>
                </c:pt>
                <c:pt idx="243">
                  <c:v>-4.2613008477353373</c:v>
                </c:pt>
                <c:pt idx="244">
                  <c:v>-4.5123626796956371</c:v>
                </c:pt>
                <c:pt idx="245">
                  <c:v>-4.7646110241279009</c:v>
                </c:pt>
                <c:pt idx="246">
                  <c:v>-5.0181014989650397</c:v>
                </c:pt>
                <c:pt idx="247">
                  <c:v>-5.2728889850345517</c:v>
                </c:pt>
                <c:pt idx="248">
                  <c:v>-5.5290275449814654</c:v>
                </c:pt>
                <c:pt idx="249">
                  <c:v>-5.7865703382781479</c:v>
                </c:pt>
                <c:pt idx="250">
                  <c:v>-6.045569532615561</c:v>
                </c:pt>
                <c:pt idx="251">
                  <c:v>-6.3060762120303675</c:v>
                </c:pt>
                <c:pt idx="252">
                  <c:v>-6.5681402821816226</c:v>
                </c:pt>
                <c:pt idx="253">
                  <c:v>-6.8318103732428392</c:v>
                </c:pt>
                <c:pt idx="254">
                  <c:v>-7.0971337409328914</c:v>
                </c:pt>
                <c:pt idx="255">
                  <c:v>-7.3641561662590096</c:v>
                </c:pt>
                <c:pt idx="256">
                  <c:v>-7.6329218545897319</c:v>
                </c:pt>
                <c:pt idx="257">
                  <c:v>-7.9034733347207737</c:v>
                </c:pt>
                <c:pt idx="258">
                  <c:v>-8.1758513586296129</c:v>
                </c:pt>
                <c:pt idx="259">
                  <c:v>-8.4500948026446778</c:v>
                </c:pt>
                <c:pt idx="260">
                  <c:v>-8.7262405707786996</c:v>
                </c:pt>
                <c:pt idx="261">
                  <c:v>-9.0043235009859721</c:v>
                </c:pt>
                <c:pt idx="262">
                  <c:v>-9.2843762751109615</c:v>
                </c:pt>
                <c:pt idx="263">
                  <c:v>-9.566429333288557</c:v>
                </c:pt>
                <c:pt idx="264">
                  <c:v>-9.850510793545336</c:v>
                </c:pt>
                <c:pt idx="265">
                  <c:v>-10.136646377324926</c:v>
                </c:pt>
                <c:pt idx="266">
                  <c:v>-10.42485934162718</c:v>
                </c:pt>
                <c:pt idx="267">
                  <c:v>-10.715170418409441</c:v>
                </c:pt>
                <c:pt idx="268">
                  <c:v>-11.007597761845162</c:v>
                </c:pt>
                <c:pt idx="269">
                  <c:v>-11.302156903971596</c:v>
                </c:pt>
                <c:pt idx="270">
                  <c:v>-11.598860719194718</c:v>
                </c:pt>
                <c:pt idx="271">
                  <c:v>-11.897719398039413</c:v>
                </c:pt>
                <c:pt idx="272">
                  <c:v>-12.198740430451767</c:v>
                </c:pt>
                <c:pt idx="273">
                  <c:v>-12.501928598877397</c:v>
                </c:pt>
                <c:pt idx="274">
                  <c:v>-12.807285981245419</c:v>
                </c:pt>
                <c:pt idx="275">
                  <c:v>-13.114811963897473</c:v>
                </c:pt>
                <c:pt idx="276">
                  <c:v>-13.424503264412879</c:v>
                </c:pt>
                <c:pt idx="277">
                  <c:v>-13.736353964180097</c:v>
                </c:pt>
                <c:pt idx="278">
                  <c:v>-14.050355550486419</c:v>
                </c:pt>
                <c:pt idx="279">
                  <c:v>-14.366496967803265</c:v>
                </c:pt>
                <c:pt idx="280">
                  <c:v>-14.684764677868813</c:v>
                </c:pt>
                <c:pt idx="281">
                  <c:v>-15.005142728092549</c:v>
                </c:pt>
                <c:pt idx="282">
                  <c:v>-15.327612827739657</c:v>
                </c:pt>
                <c:pt idx="283">
                  <c:v>-15.652154431292693</c:v>
                </c:pt>
                <c:pt idx="284">
                  <c:v>-15.978744828338369</c:v>
                </c:pt>
                <c:pt idx="285">
                  <c:v>-16.307359239282878</c:v>
                </c:pt>
                <c:pt idx="286">
                  <c:v>-16.637970916169678</c:v>
                </c:pt>
                <c:pt idx="287">
                  <c:v>-16.970551247848238</c:v>
                </c:pt>
                <c:pt idx="288">
                  <c:v>-17.30506986873046</c:v>
                </c:pt>
                <c:pt idx="289">
                  <c:v>-17.641494770367622</c:v>
                </c:pt>
                <c:pt idx="290">
                  <c:v>-17.979792415083317</c:v>
                </c:pt>
                <c:pt idx="291">
                  <c:v>-18.319927850916219</c:v>
                </c:pt>
                <c:pt idx="292">
                  <c:v>-18.661864827141926</c:v>
                </c:pt>
                <c:pt idx="293">
                  <c:v>-19.005565909675134</c:v>
                </c:pt>
                <c:pt idx="294">
                  <c:v>-19.350992595687842</c:v>
                </c:pt>
                <c:pt idx="295">
                  <c:v>-19.698105426817147</c:v>
                </c:pt>
                <c:pt idx="296">
                  <c:v>-20.046864100382656</c:v>
                </c:pt>
                <c:pt idx="297">
                  <c:v>-20.397227578079985</c:v>
                </c:pt>
                <c:pt idx="298">
                  <c:v>-20.749154191669156</c:v>
                </c:pt>
                <c:pt idx="299">
                  <c:v>-21.102601745227197</c:v>
                </c:pt>
                <c:pt idx="300">
                  <c:v>-21.457527613589082</c:v>
                </c:pt>
                <c:pt idx="301">
                  <c:v>-21.81388883665473</c:v>
                </c:pt>
                <c:pt idx="302">
                  <c:v>-22.171642209292102</c:v>
                </c:pt>
                <c:pt idx="303">
                  <c:v>-22.530744366618634</c:v>
                </c:pt>
                <c:pt idx="304">
                  <c:v>-22.891151864494379</c:v>
                </c:pt>
                <c:pt idx="305">
                  <c:v>-23.252821255106912</c:v>
                </c:pt>
                <c:pt idx="306">
                  <c:v>-23.615709157575413</c:v>
                </c:pt>
                <c:pt idx="307">
                  <c:v>-23.979772323540786</c:v>
                </c:pt>
                <c:pt idx="308">
                  <c:v>-24.344967697752701</c:v>
                </c:pt>
                <c:pt idx="309">
                  <c:v>-24.71125247369482</c:v>
                </c:pt>
                <c:pt idx="310">
                  <c:v>-25.078584144327589</c:v>
                </c:pt>
                <c:pt idx="311">
                  <c:v>-25.446920548052944</c:v>
                </c:pt>
                <c:pt idx="312">
                  <c:v>-25.816219910032345</c:v>
                </c:pt>
                <c:pt idx="313">
                  <c:v>-26.186440879012942</c:v>
                </c:pt>
                <c:pt idx="314">
                  <c:v>-26.557542559831084</c:v>
                </c:pt>
                <c:pt idx="315">
                  <c:v>-26.929484541783747</c:v>
                </c:pt>
                <c:pt idx="316">
                  <c:v>-27.302226923064406</c:v>
                </c:pt>
                <c:pt idx="317">
                  <c:v>-27.675730331473439</c:v>
                </c:pt>
                <c:pt idx="318">
                  <c:v>-28.049955941617096</c:v>
                </c:pt>
                <c:pt idx="319">
                  <c:v>-28.424865488813627</c:v>
                </c:pt>
                <c:pt idx="320">
                  <c:v>-28.800421279925988</c:v>
                </c:pt>
                <c:pt idx="321">
                  <c:v>-29.176586201337965</c:v>
                </c:pt>
                <c:pt idx="322">
                  <c:v>-29.553323724290244</c:v>
                </c:pt>
                <c:pt idx="323">
                  <c:v>-29.930597907784673</c:v>
                </c:pt>
                <c:pt idx="324">
                  <c:v>-30.308373399258638</c:v>
                </c:pt>
                <c:pt idx="325">
                  <c:v>-30.686615433223562</c:v>
                </c:pt>
                <c:pt idx="326">
                  <c:v>-31.065289828050638</c:v>
                </c:pt>
                <c:pt idx="327">
                  <c:v>-31.444362981074416</c:v>
                </c:pt>
                <c:pt idx="328">
                  <c:v>-31.823801862175088</c:v>
                </c:pt>
                <c:pt idx="329">
                  <c:v>-32.203574005984009</c:v>
                </c:pt>
                <c:pt idx="330">
                  <c:v>-32.583647502841707</c:v>
                </c:pt>
                <c:pt idx="331">
                  <c:v>-32.963990988627046</c:v>
                </c:pt>
                <c:pt idx="332">
                  <c:v>-33.344573633554624</c:v>
                </c:pt>
                <c:pt idx="333">
                  <c:v>-33.725365130026624</c:v>
                </c:pt>
                <c:pt idx="334">
                  <c:v>-34.10633567960447</c:v>
                </c:pt>
                <c:pt idx="335">
                  <c:v>-34.487455979153189</c:v>
                </c:pt>
                <c:pt idx="336">
                  <c:v>-34.868697206190689</c:v>
                </c:pt>
                <c:pt idx="337">
                  <c:v>-35.250031003465139</c:v>
                </c:pt>
                <c:pt idx="338">
                  <c:v>-35.631429462758575</c:v>
                </c:pt>
                <c:pt idx="339">
                  <c:v>-36.012865107909668</c:v>
                </c:pt>
                <c:pt idx="340">
                  <c:v>-36.394310877027941</c:v>
                </c:pt>
                <c:pt idx="341">
                  <c:v>-36.775740103864514</c:v>
                </c:pt>
                <c:pt idx="342">
                  <c:v>-37.157126498287305</c:v>
                </c:pt>
                <c:pt idx="343">
                  <c:v>-37.538444125805277</c:v>
                </c:pt>
                <c:pt idx="344">
                  <c:v>-37.919667386075773</c:v>
                </c:pt>
                <c:pt idx="345">
                  <c:v>-38.300770990321801</c:v>
                </c:pt>
                <c:pt idx="346">
                  <c:v>-38.681729937589452</c:v>
                </c:pt>
                <c:pt idx="347">
                  <c:v>-39.062519489765954</c:v>
                </c:pt>
                <c:pt idx="348">
                  <c:v>-39.443115145291486</c:v>
                </c:pt>
                <c:pt idx="349">
                  <c:v>-39.82349261149507</c:v>
                </c:pt>
                <c:pt idx="350">
                  <c:v>-40.203627775499143</c:v>
                </c:pt>
                <c:pt idx="351">
                  <c:v>-40.583496673643005</c:v>
                </c:pt>
                <c:pt idx="352">
                  <c:v>-40.963075459398688</c:v>
                </c:pt>
                <c:pt idx="353">
                  <c:v>-41.342340369761445</c:v>
                </c:pt>
                <c:pt idx="354">
                  <c:v>-41.721267690125394</c:v>
                </c:pt>
                <c:pt idx="355">
                  <c:v>-42.099833717674137</c:v>
                </c:pt>
                <c:pt idx="356">
                  <c:v>-42.478014723346121</c:v>
                </c:pt>
                <c:pt idx="357">
                  <c:v>-42.855786912460559</c:v>
                </c:pt>
                <c:pt idx="358">
                  <c:v>-43.233126384123494</c:v>
                </c:pt>
                <c:pt idx="359">
                  <c:v>-43.610009089562681</c:v>
                </c:pt>
                <c:pt idx="360">
                  <c:v>-43.986410789577619</c:v>
                </c:pt>
                <c:pt idx="361">
                  <c:v>-44.362307011321668</c:v>
                </c:pt>
                <c:pt idx="362">
                  <c:v>-44.737673004668743</c:v>
                </c:pt>
                <c:pt idx="363">
                  <c:v>-45.112483698450731</c:v>
                </c:pt>
                <c:pt idx="364">
                  <c:v>-45.486713656882138</c:v>
                </c:pt>
                <c:pt idx="365">
                  <c:v>-45.860337036521003</c:v>
                </c:pt>
                <c:pt idx="366">
                  <c:v>-46.233327544141545</c:v>
                </c:pt>
                <c:pt idx="367">
                  <c:v>-46.60565839591537</c:v>
                </c:pt>
                <c:pt idx="368">
                  <c:v>-46.977302278327677</c:v>
                </c:pt>
                <c:pt idx="369">
                  <c:v>-47.348231311259582</c:v>
                </c:pt>
                <c:pt idx="370">
                  <c:v>-47.718417013690733</c:v>
                </c:pt>
                <c:pt idx="371">
                  <c:v>-48.087830272476481</c:v>
                </c:pt>
                <c:pt idx="372">
                  <c:v>-48.456441314660673</c:v>
                </c:pt>
                <c:pt idx="373">
                  <c:v>-48.824219683777621</c:v>
                </c:pt>
                <c:pt idx="374">
                  <c:v>-49.191134220592964</c:v>
                </c:pt>
                <c:pt idx="375">
                  <c:v>-49.557153048713886</c:v>
                </c:pt>
                <c:pt idx="376">
                  <c:v>-49.922243565486617</c:v>
                </c:pt>
                <c:pt idx="377">
                  <c:v>-50.286372438566133</c:v>
                </c:pt>
                <c:pt idx="378">
                  <c:v>-50.649505608520123</c:v>
                </c:pt>
                <c:pt idx="379">
                  <c:v>-51.011608297794766</c:v>
                </c:pt>
                <c:pt idx="380">
                  <c:v>-51.372645026323909</c:v>
                </c:pt>
                <c:pt idx="381">
                  <c:v>-51.7325796340305</c:v>
                </c:pt>
                <c:pt idx="382">
                  <c:v>-52.091375310416012</c:v>
                </c:pt>
                <c:pt idx="383">
                  <c:v>-52.448994631383783</c:v>
                </c:pt>
                <c:pt idx="384">
                  <c:v>-52.805399603394946</c:v>
                </c:pt>
                <c:pt idx="385">
                  <c:v>-53.160551714992074</c:v>
                </c:pt>
                <c:pt idx="386">
                  <c:v>-53.514411995676724</c:v>
                </c:pt>
                <c:pt idx="387">
                  <c:v>-53.86694108206153</c:v>
                </c:pt>
                <c:pt idx="388">
                  <c:v>-54.218099291160478</c:v>
                </c:pt>
                <c:pt idx="389">
                  <c:v>-54.567846700619597</c:v>
                </c:pt>
                <c:pt idx="390">
                  <c:v>-54.916143235626997</c:v>
                </c:pt>
                <c:pt idx="391">
                  <c:v>-55.262948762182937</c:v>
                </c:pt>
                <c:pt idx="392">
                  <c:v>-55.608223186343928</c:v>
                </c:pt>
                <c:pt idx="393">
                  <c:v>-55.951926559003184</c:v>
                </c:pt>
                <c:pt idx="394">
                  <c:v>-56.294019185702062</c:v>
                </c:pt>
                <c:pt idx="395">
                  <c:v>-56.634461740917395</c:v>
                </c:pt>
                <c:pt idx="396">
                  <c:v>-56.973215386213496</c:v>
                </c:pt>
                <c:pt idx="397">
                  <c:v>-57.31024189159519</c:v>
                </c:pt>
                <c:pt idx="398">
                  <c:v>-57.645503759355464</c:v>
                </c:pt>
                <c:pt idx="399">
                  <c:v>-57.978964349665333</c:v>
                </c:pt>
                <c:pt idx="400">
                  <c:v>-58.310588007118866</c:v>
                </c:pt>
                <c:pt idx="401">
                  <c:v>-58.640340187415291</c:v>
                </c:pt>
                <c:pt idx="402">
                  <c:v>-58.968187583333965</c:v>
                </c:pt>
                <c:pt idx="403">
                  <c:v>-59.294098249142955</c:v>
                </c:pt>
                <c:pt idx="404">
                  <c:v>-59.618041722570595</c:v>
                </c:pt>
                <c:pt idx="405">
                  <c:v>-59.939989143470029</c:v>
                </c:pt>
                <c:pt idx="406">
                  <c:v>-60.259913368314272</c:v>
                </c:pt>
                <c:pt idx="407">
                  <c:v>-60.577789079672485</c:v>
                </c:pt>
                <c:pt idx="408">
                  <c:v>-60.893592889851284</c:v>
                </c:pt>
                <c:pt idx="409">
                  <c:v>-61.207303437913069</c:v>
                </c:pt>
                <c:pt idx="410">
                  <c:v>-61.518901479331646</c:v>
                </c:pt>
                <c:pt idx="411">
                  <c:v>-61.82836996759967</c:v>
                </c:pt>
                <c:pt idx="412">
                  <c:v>-62.135694127161855</c:v>
                </c:pt>
                <c:pt idx="413">
                  <c:v>-62.440861517118968</c:v>
                </c:pt>
                <c:pt idx="414">
                  <c:v>-62.74386208522705</c:v>
                </c:pt>
                <c:pt idx="415">
                  <c:v>-63.044688211795481</c:v>
                </c:pt>
                <c:pt idx="416">
                  <c:v>-63.343334743180904</c:v>
                </c:pt>
                <c:pt idx="417">
                  <c:v>-63.63979901466066</c:v>
                </c:pt>
                <c:pt idx="418">
                  <c:v>-63.934080862572216</c:v>
                </c:pt>
                <c:pt idx="419">
                  <c:v>-64.226182625694179</c:v>
                </c:pt>
                <c:pt idx="420">
                  <c:v>-64.516109135945229</c:v>
                </c:pt>
                <c:pt idx="421">
                  <c:v>-64.80386769857293</c:v>
                </c:pt>
                <c:pt idx="422">
                  <c:v>-65.08946806209147</c:v>
                </c:pt>
                <c:pt idx="423">
                  <c:v>-65.372922378324375</c:v>
                </c:pt>
                <c:pt idx="424">
                  <c:v>-65.65424515297957</c:v>
                </c:pt>
                <c:pt idx="425">
                  <c:v>-65.933453187271013</c:v>
                </c:pt>
                <c:pt idx="426">
                  <c:v>-66.210565511163836</c:v>
                </c:pt>
                <c:pt idx="427">
                  <c:v>-66.485603308879675</c:v>
                </c:pt>
                <c:pt idx="428">
                  <c:v>-66.758589837354947</c:v>
                </c:pt>
                <c:pt idx="429">
                  <c:v>-67.029550338384354</c:v>
                </c:pt>
                <c:pt idx="430">
                  <c:v>-67.298511945210848</c:v>
                </c:pt>
                <c:pt idx="431">
                  <c:v>-67.565503584354033</c:v>
                </c:pt>
                <c:pt idx="432">
                  <c:v>-67.830555873472719</c:v>
                </c:pt>
                <c:pt idx="433">
                  <c:v>-68.093701016068692</c:v>
                </c:pt>
                <c:pt idx="434">
                  <c:v>-68.354972693827619</c:v>
                </c:pt>
                <c:pt idx="435">
                  <c:v>-68.614405957381436</c:v>
                </c:pt>
                <c:pt idx="436">
                  <c:v>-68.872037116255683</c:v>
                </c:pt>
                <c:pt idx="437">
                  <c:v>-69.12790362873335</c:v>
                </c:pt>
                <c:pt idx="438">
                  <c:v>-69.382043992334999</c:v>
                </c:pt>
                <c:pt idx="439">
                  <c:v>-69.634497635571734</c:v>
                </c:pt>
                <c:pt idx="440">
                  <c:v>-69.885304811584547</c:v>
                </c:pt>
                <c:pt idx="441">
                  <c:v>-70.134506494234643</c:v>
                </c:pt>
                <c:pt idx="442">
                  <c:v>-70.38214427715792</c:v>
                </c:pt>
                <c:pt idx="443">
                  <c:v>-70.628260276244504</c:v>
                </c:pt>
                <c:pt idx="444">
                  <c:v>-70.872897035949961</c:v>
                </c:pt>
                <c:pt idx="445">
                  <c:v>-71.116097439792767</c:v>
                </c:pt>
                <c:pt idx="446">
                  <c:v>-71.357904625336573</c:v>
                </c:pt>
                <c:pt idx="447">
                  <c:v>-71.598361903906479</c:v>
                </c:pt>
                <c:pt idx="448">
                  <c:v>-71.837512685235666</c:v>
                </c:pt>
                <c:pt idx="449">
                  <c:v>-72.075400407194024</c:v>
                </c:pt>
                <c:pt idx="450">
                  <c:v>-72.312068470701291</c:v>
                </c:pt>
                <c:pt idx="451">
                  <c:v>-72.547560179885721</c:v>
                </c:pt>
                <c:pt idx="452">
                  <c:v>-72.781918687512842</c:v>
                </c:pt>
                <c:pt idx="453">
                  <c:v>-73.015186945667267</c:v>
                </c:pt>
                <c:pt idx="454">
                  <c:v>-73.247407661642171</c:v>
                </c:pt>
                <c:pt idx="455">
                  <c:v>-73.478623258960383</c:v>
                </c:pt>
                <c:pt idx="456">
                  <c:v>-73.708875843422518</c:v>
                </c:pt>
                <c:pt idx="457">
                  <c:v>-73.938207174060182</c:v>
                </c:pt>
                <c:pt idx="458">
                  <c:v>-74.166658638846783</c:v>
                </c:pt>
                <c:pt idx="459">
                  <c:v>-74.394271235006443</c:v>
                </c:pt>
                <c:pt idx="460">
                  <c:v>-74.621085553745203</c:v>
                </c:pt>
                <c:pt idx="461">
                  <c:v>-74.847141769219533</c:v>
                </c:pt>
                <c:pt idx="462">
                  <c:v>-75.072479631548759</c:v>
                </c:pt>
                <c:pt idx="463">
                  <c:v>-75.29713846366829</c:v>
                </c:pt>
                <c:pt idx="464">
                  <c:v>-75.521157161822117</c:v>
                </c:pt>
                <c:pt idx="465">
                  <c:v>-75.74457419948655</c:v>
                </c:pt>
                <c:pt idx="466">
                  <c:v>-75.967427634516326</c:v>
                </c:pt>
                <c:pt idx="467">
                  <c:v>-76.189755119307449</c:v>
                </c:pt>
                <c:pt idx="468">
                  <c:v>-76.411593913771156</c:v>
                </c:pt>
                <c:pt idx="469">
                  <c:v>-76.632980900914148</c:v>
                </c:pt>
                <c:pt idx="470">
                  <c:v>-76.85395260482791</c:v>
                </c:pt>
                <c:pt idx="471">
                  <c:v>-77.074545210891515</c:v>
                </c:pt>
                <c:pt idx="472">
                  <c:v>-77.294794587992669</c:v>
                </c:pt>
                <c:pt idx="473">
                  <c:v>-77.514736312585597</c:v>
                </c:pt>
                <c:pt idx="474">
                  <c:v>-77.734405694401389</c:v>
                </c:pt>
                <c:pt idx="475">
                  <c:v>-77.953837803631558</c:v>
                </c:pt>
                <c:pt idx="476">
                  <c:v>-78.173067499415097</c:v>
                </c:pt>
                <c:pt idx="477">
                  <c:v>-78.392129459458729</c:v>
                </c:pt>
                <c:pt idx="478">
                  <c:v>-78.611058210625004</c:v>
                </c:pt>
                <c:pt idx="479">
                  <c:v>-78.829888160328437</c:v>
                </c:pt>
                <c:pt idx="480">
                  <c:v>-79.048653628580851</c:v>
                </c:pt>
                <c:pt idx="481">
                  <c:v>-79.26738888053022</c:v>
                </c:pt>
                <c:pt idx="482">
                  <c:v>-79.48612815933906</c:v>
                </c:pt>
                <c:pt idx="483">
                  <c:v>-79.704905719250149</c:v>
                </c:pt>
                <c:pt idx="484">
                  <c:v>-79.923755858687926</c:v>
                </c:pt>
                <c:pt idx="485">
                  <c:v>-80.142712953243901</c:v>
                </c:pt>
                <c:pt idx="486">
                  <c:v>-80.361811488392505</c:v>
                </c:pt>
                <c:pt idx="487">
                  <c:v>-80.581086091786915</c:v>
                </c:pt>
                <c:pt idx="488">
                  <c:v>-80.800571564975314</c:v>
                </c:pt>
                <c:pt idx="489">
                  <c:v>-81.02030291438399</c:v>
                </c:pt>
                <c:pt idx="490">
                  <c:v>-81.240315381401885</c:v>
                </c:pt>
                <c:pt idx="491">
                  <c:v>-81.460644471408798</c:v>
                </c:pt>
                <c:pt idx="492">
                  <c:v>-81.681325981570637</c:v>
                </c:pt>
                <c:pt idx="493">
                  <c:v>-81.902396027238083</c:v>
                </c:pt>
                <c:pt idx="494">
                  <c:v>-82.123891066765381</c:v>
                </c:pt>
                <c:pt idx="495">
                  <c:v>-82.34584792457045</c:v>
                </c:pt>
                <c:pt idx="496">
                  <c:v>-82.568303812250548</c:v>
                </c:pt>
                <c:pt idx="497">
                  <c:v>-82.791296347559523</c:v>
                </c:pt>
                <c:pt idx="498">
                  <c:v>-83.014863571056281</c:v>
                </c:pt>
                <c:pt idx="499">
                  <c:v>-83.239043960218652</c:v>
                </c:pt>
                <c:pt idx="500">
                  <c:v>-83.463876440825288</c:v>
                </c:pt>
                <c:pt idx="501">
                  <c:v>-83.689400395396177</c:v>
                </c:pt>
                <c:pt idx="502">
                  <c:v>-83.915655668484433</c:v>
                </c:pt>
                <c:pt idx="503">
                  <c:v>-84.142682568611605</c:v>
                </c:pt>
                <c:pt idx="504">
                  <c:v>-84.370521866636295</c:v>
                </c:pt>
                <c:pt idx="505">
                  <c:v>-84.599214790351326</c:v>
                </c:pt>
                <c:pt idx="506">
                  <c:v>-84.82880301510437</c:v>
                </c:pt>
                <c:pt idx="507">
                  <c:v>-85.059328650247011</c:v>
                </c:pt>
                <c:pt idx="508">
                  <c:v>-85.290834221221104</c:v>
                </c:pt>
                <c:pt idx="509">
                  <c:v>-85.523362647103284</c:v>
                </c:pt>
                <c:pt idx="510">
                  <c:v>-85.756957213441865</c:v>
                </c:pt>
                <c:pt idx="511">
                  <c:v>-85.991661540234631</c:v>
                </c:pt>
                <c:pt idx="512">
                  <c:v>-86.227519544914628</c:v>
                </c:pt>
                <c:pt idx="513">
                  <c:v>-86.464575400235788</c:v>
                </c:pt>
                <c:pt idx="514">
                  <c:v>-86.70287348696958</c:v>
                </c:pt>
                <c:pt idx="515">
                  <c:v>-86.942458341358062</c:v>
                </c:pt>
                <c:pt idx="516">
                  <c:v>-87.183374597296975</c:v>
                </c:pt>
                <c:pt idx="517">
                  <c:v>-87.425666923258774</c:v>
                </c:pt>
                <c:pt idx="518">
                  <c:v>-87.669379954003034</c:v>
                </c:pt>
                <c:pt idx="519">
                  <c:v>-87.914558217163972</c:v>
                </c:pt>
                <c:pt idx="520">
                  <c:v>-88.161246054849698</c:v>
                </c:pt>
                <c:pt idx="521">
                  <c:v>-88.409487540432565</c:v>
                </c:pt>
                <c:pt idx="522">
                  <c:v>-88.659326390761208</c:v>
                </c:pt>
                <c:pt idx="523">
                  <c:v>-88.91080587407599</c:v>
                </c:pt>
                <c:pt idx="524">
                  <c:v>-89.163968713959861</c:v>
                </c:pt>
                <c:pt idx="525">
                  <c:v>-89.418856989712467</c:v>
                </c:pt>
                <c:pt idx="526">
                  <c:v>-89.675512033584553</c:v>
                </c:pt>
                <c:pt idx="527">
                  <c:v>-89.933974325365881</c:v>
                </c:pt>
                <c:pt idx="528">
                  <c:v>-90.194283384866395</c:v>
                </c:pt>
                <c:pt idx="529">
                  <c:v>-90.456477662882989</c:v>
                </c:pt>
                <c:pt idx="530">
                  <c:v>-90.720594431281853</c:v>
                </c:pt>
                <c:pt idx="531">
                  <c:v>-90.986669672876218</c:v>
                </c:pt>
                <c:pt idx="532">
                  <c:v>-91.254737971804076</c:v>
                </c:pt>
                <c:pt idx="533">
                  <c:v>-91.524832405150022</c:v>
                </c:pt>
                <c:pt idx="534">
                  <c:v>-91.796984436567726</c:v>
                </c:pt>
                <c:pt idx="535">
                  <c:v>-92.071223812682888</c:v>
                </c:pt>
                <c:pt idx="536">
                  <c:v>-92.347578463055243</c:v>
                </c:pt>
                <c:pt idx="537">
                  <c:v>-92.626074404483902</c:v>
                </c:pt>
                <c:pt idx="538">
                  <c:v>-92.906735650419506</c:v>
                </c:pt>
                <c:pt idx="539">
                  <c:v>-93.189584126233314</c:v>
                </c:pt>
                <c:pt idx="540">
                  <c:v>-93.474639591057311</c:v>
                </c:pt>
                <c:pt idx="541">
                  <c:v>-93.761919566872905</c:v>
                </c:pt>
              </c:numCache>
            </c:numRef>
          </c:yVal>
          <c:smooth val="1"/>
          <c:extLst>
            <c:ext xmlns:c16="http://schemas.microsoft.com/office/drawing/2014/chart" uri="{C3380CC4-5D6E-409C-BE32-E72D297353CC}">
              <c16:uniqueId val="{00000000-33F3-4C9F-8D5E-4D1B59EC7B1E}"/>
            </c:ext>
          </c:extLst>
        </c:ser>
        <c:ser>
          <c:idx val="2"/>
          <c:order val="2"/>
          <c:tx>
            <c:v>f_LP</c:v>
          </c:tx>
          <c:spPr>
            <a:ln w="38100" cmpd="sng"/>
          </c:spPr>
          <c:marker>
            <c:symbol val="x"/>
            <c:size val="7"/>
            <c:spPr>
              <a:noFill/>
            </c:spPr>
          </c:marker>
          <c:dPt>
            <c:idx val="0"/>
            <c:marker>
              <c:spPr>
                <a:noFill/>
                <a:ln w="19050">
                  <a:solidFill>
                    <a:schemeClr val="tx1"/>
                  </a:solidFill>
                </a:ln>
              </c:spPr>
            </c:marker>
            <c:bubble3D val="0"/>
            <c:extLst>
              <c:ext xmlns:c16="http://schemas.microsoft.com/office/drawing/2014/chart" uri="{C3380CC4-5D6E-409C-BE32-E72D297353CC}">
                <c16:uniqueId val="{00000001-33F3-4C9F-8D5E-4D1B59EC7B1E}"/>
              </c:ext>
            </c:extLst>
          </c:dPt>
          <c:dLbls>
            <c:dLbl>
              <c:idx val="0"/>
              <c:tx>
                <c:rich>
                  <a:bodyPr/>
                  <a:lstStyle/>
                  <a:p>
                    <a:r>
                      <a:rPr lang="en-US" sz="1100" b="1"/>
                      <a:t>f</a:t>
                    </a:r>
                    <a:r>
                      <a:rPr lang="en-US" sz="1100" b="1" baseline="-25000"/>
                      <a:t>LP</a:t>
                    </a:r>
                    <a:endParaRPr lang="en-US" b="1" baseline="-25000"/>
                  </a:p>
                </c:rich>
              </c:tx>
              <c:dLblPos val="b"/>
              <c:showLegendKey val="0"/>
              <c:showVal val="0"/>
              <c:showCatName val="0"/>
              <c:showSerName val="1"/>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1-33F3-4C9F-8D5E-4D1B59EC7B1E}"/>
                </c:ext>
              </c:extLst>
            </c:dLbl>
            <c:spPr>
              <a:noFill/>
              <a:ln>
                <a:noFill/>
              </a:ln>
              <a:effectLst/>
            </c:spPr>
            <c:dLblPos val="b"/>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CCM_Loop_Modeling_Isolated!$O$11</c:f>
              <c:numCache>
                <c:formatCode>0</c:formatCode>
                <c:ptCount val="1"/>
                <c:pt idx="0">
                  <c:v>3.056473529885507</c:v>
                </c:pt>
              </c:numCache>
            </c:numRef>
          </c:xVal>
          <c:yVal>
            <c:numRef>
              <c:f>CCM_Loop_Modeling_Isolated!$AW$11</c:f>
              <c:numCache>
                <c:formatCode>0.000</c:formatCode>
                <c:ptCount val="1"/>
                <c:pt idx="0">
                  <c:v>84.650951715086947</c:v>
                </c:pt>
              </c:numCache>
            </c:numRef>
          </c:yVal>
          <c:smooth val="0"/>
          <c:extLst>
            <c:ext xmlns:c16="http://schemas.microsoft.com/office/drawing/2014/chart" uri="{C3380CC4-5D6E-409C-BE32-E72D297353CC}">
              <c16:uniqueId val="{00000002-33F3-4C9F-8D5E-4D1B59EC7B1E}"/>
            </c:ext>
          </c:extLst>
        </c:ser>
        <c:ser>
          <c:idx val="3"/>
          <c:order val="3"/>
          <c:tx>
            <c:v>fz_rhp</c:v>
          </c:tx>
          <c:spPr>
            <a:ln>
              <a:solidFill>
                <a:schemeClr val="tx1"/>
              </a:solidFill>
            </a:ln>
          </c:spPr>
          <c:marker>
            <c:symbol val="circle"/>
            <c:size val="7"/>
            <c:spPr>
              <a:noFill/>
              <a:ln w="19050">
                <a:solidFill>
                  <a:schemeClr val="tx1"/>
                </a:solidFill>
              </a:ln>
            </c:spPr>
          </c:marker>
          <c:dLbls>
            <c:dLbl>
              <c:idx val="0"/>
              <c:layout>
                <c:manualLayout>
                  <c:x val="8.0501209561423519E-3"/>
                  <c:y val="-1.5493667278504181E-2"/>
                </c:manualLayout>
              </c:layout>
              <c:dLblPos val="r"/>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3-33F3-4C9F-8D5E-4D1B59EC7B1E}"/>
                </c:ext>
              </c:extLst>
            </c:dLbl>
            <c:spPr>
              <a:noFill/>
              <a:ln>
                <a:noFill/>
              </a:ln>
              <a:effectLst/>
            </c:spPr>
            <c:txPr>
              <a:bodyPr/>
              <a:lstStyle/>
              <a:p>
                <a:pPr>
                  <a:defRPr b="1"/>
                </a:pPr>
                <a:endParaRPr lang="en-US"/>
              </a:p>
            </c:txPr>
            <c:dLblPos val="t"/>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CCM_Loop_Modeling_Isolated!$O$9</c:f>
              <c:numCache>
                <c:formatCode>0</c:formatCode>
                <c:ptCount val="1"/>
                <c:pt idx="0">
                  <c:v>47157.020175376398</c:v>
                </c:pt>
              </c:numCache>
            </c:numRef>
          </c:xVal>
          <c:yVal>
            <c:numRef>
              <c:f>CCM_Loop_Modeling_Isolated!$AW$9</c:f>
              <c:numCache>
                <c:formatCode>0.000</c:formatCode>
                <c:ptCount val="1"/>
                <c:pt idx="0">
                  <c:v>-46.365446149523599</c:v>
                </c:pt>
              </c:numCache>
            </c:numRef>
          </c:yVal>
          <c:smooth val="1"/>
          <c:extLst>
            <c:ext xmlns:c16="http://schemas.microsoft.com/office/drawing/2014/chart" uri="{C3380CC4-5D6E-409C-BE32-E72D297353CC}">
              <c16:uniqueId val="{00000004-33F3-4C9F-8D5E-4D1B59EC7B1E}"/>
            </c:ext>
          </c:extLst>
        </c:ser>
        <c:ser>
          <c:idx val="4"/>
          <c:order val="4"/>
          <c:tx>
            <c:v>f_esr</c:v>
          </c:tx>
          <c:spPr>
            <a:ln>
              <a:noFill/>
            </a:ln>
          </c:spPr>
          <c:marker>
            <c:symbol val="circle"/>
            <c:size val="5"/>
            <c:spPr>
              <a:noFill/>
              <a:ln w="19050">
                <a:solidFill>
                  <a:schemeClr val="tx1"/>
                </a:solidFill>
              </a:ln>
            </c:spPr>
          </c:marker>
          <c:dPt>
            <c:idx val="0"/>
            <c:marker>
              <c:symbol val="circle"/>
              <c:size val="7"/>
            </c:marker>
            <c:bubble3D val="0"/>
            <c:extLst>
              <c:ext xmlns:c16="http://schemas.microsoft.com/office/drawing/2014/chart" uri="{C3380CC4-5D6E-409C-BE32-E72D297353CC}">
                <c16:uniqueId val="{00000005-33F3-4C9F-8D5E-4D1B59EC7B1E}"/>
              </c:ext>
            </c:extLst>
          </c:dPt>
          <c:dLbls>
            <c:dLbl>
              <c:idx val="0"/>
              <c:layout>
                <c:manualLayout>
                  <c:x val="-5.990474489899654E-2"/>
                  <c:y val="-1.2457193490087108E-2"/>
                </c:manualLayout>
              </c:layout>
              <c:dLblPos val="r"/>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5-33F3-4C9F-8D5E-4D1B59EC7B1E}"/>
                </c:ext>
              </c:extLst>
            </c:dLbl>
            <c:spPr>
              <a:noFill/>
              <a:ln>
                <a:noFill/>
              </a:ln>
              <a:effectLst/>
            </c:spPr>
            <c:txPr>
              <a:bodyPr/>
              <a:lstStyle/>
              <a:p>
                <a:pPr>
                  <a:defRPr b="1"/>
                </a:pPr>
                <a:endParaRPr lang="en-US"/>
              </a:p>
            </c:txPr>
            <c:dLblPos val="t"/>
            <c:showLegendKey val="0"/>
            <c:showVal val="0"/>
            <c:showCatName val="0"/>
            <c:showSerName val="1"/>
            <c:showPercent val="0"/>
            <c:showBubbleSize val="0"/>
            <c:showLeaderLines val="0"/>
            <c:extLst>
              <c:ext xmlns:c15="http://schemas.microsoft.com/office/drawing/2012/chart" uri="{CE6537A1-D6FC-4f65-9D91-7224C49458BB}">
                <c15:showLeaderLines val="0"/>
              </c:ext>
            </c:extLst>
          </c:dLbls>
          <c:xVal>
            <c:numRef>
              <c:f>CCM_Loop_Modeling_Isolated!$O$10</c:f>
              <c:numCache>
                <c:formatCode>0</c:formatCode>
                <c:ptCount val="1"/>
                <c:pt idx="0">
                  <c:v>147365.68804805123</c:v>
                </c:pt>
              </c:numCache>
            </c:numRef>
          </c:xVal>
          <c:yVal>
            <c:numRef>
              <c:f>CCM_Loop_Modeling_Isolated!$AW$10</c:f>
              <c:numCache>
                <c:formatCode>0.000</c:formatCode>
                <c:ptCount val="1"/>
                <c:pt idx="0">
                  <c:v>-63.295589950410836</c:v>
                </c:pt>
              </c:numCache>
            </c:numRef>
          </c:yVal>
          <c:smooth val="1"/>
          <c:extLst>
            <c:ext xmlns:c16="http://schemas.microsoft.com/office/drawing/2014/chart" uri="{C3380CC4-5D6E-409C-BE32-E72D297353CC}">
              <c16:uniqueId val="{00000006-33F3-4C9F-8D5E-4D1B59EC7B1E}"/>
            </c:ext>
          </c:extLst>
        </c:ser>
        <c:ser>
          <c:idx val="5"/>
          <c:order val="5"/>
          <c:tx>
            <c:v>fz_ea</c:v>
          </c:tx>
          <c:marker>
            <c:symbol val="circle"/>
            <c:size val="8"/>
            <c:spPr>
              <a:noFill/>
              <a:ln w="25400">
                <a:solidFill>
                  <a:srgbClr val="00B0F0"/>
                </a:solidFill>
              </a:ln>
            </c:spPr>
          </c:marker>
          <c:dLbls>
            <c:dLbl>
              <c:idx val="0"/>
              <c:spPr/>
              <c:txPr>
                <a:bodyPr/>
                <a:lstStyle/>
                <a:p>
                  <a:pPr>
                    <a:defRPr b="1"/>
                  </a:pPr>
                  <a:endParaRPr lang="en-US"/>
                </a:p>
              </c:txPr>
              <c:dLblPos val="b"/>
              <c:showLegendKey val="0"/>
              <c:showVal val="0"/>
              <c:showCatName val="0"/>
              <c:showSerName val="1"/>
              <c:showPercent val="0"/>
              <c:showBubbleSize val="0"/>
              <c:extLst>
                <c:ext xmlns:c15="http://schemas.microsoft.com/office/drawing/2012/chart" uri="{CE6537A1-D6FC-4f65-9D91-7224C49458BB}"/>
                <c:ext xmlns:c16="http://schemas.microsoft.com/office/drawing/2014/chart" uri="{C3380CC4-5D6E-409C-BE32-E72D297353CC}">
                  <c16:uniqueId val="{00000007-33F3-4C9F-8D5E-4D1B59EC7B1E}"/>
                </c:ext>
              </c:extLst>
            </c:dLbl>
            <c:spPr>
              <a:noFill/>
              <a:ln>
                <a:noFill/>
              </a:ln>
              <a:effectLst/>
            </c:spPr>
            <c:showLegendKey val="0"/>
            <c:showVal val="0"/>
            <c:showCatName val="0"/>
            <c:showSerName val="0"/>
            <c:showPercent val="0"/>
            <c:showBubbleSize val="0"/>
            <c:extLst>
              <c:ext xmlns:c15="http://schemas.microsoft.com/office/drawing/2012/chart" uri="{CE6537A1-D6FC-4f65-9D91-7224C49458BB}">
                <c15:showLeaderLines val="0"/>
              </c:ext>
            </c:extLst>
          </c:dLbls>
          <c:xVal>
            <c:numRef>
              <c:f>CCM_Loop_Modeling_Isolated!$O$12</c:f>
              <c:numCache>
                <c:formatCode>General</c:formatCode>
                <c:ptCount val="1"/>
                <c:pt idx="0">
                  <c:v>602.85963292384599</c:v>
                </c:pt>
              </c:numCache>
            </c:numRef>
          </c:xVal>
          <c:yVal>
            <c:numRef>
              <c:f>CCM_Loop_Modeling_Isolated!$AW$12</c:f>
              <c:numCache>
                <c:formatCode>0.000</c:formatCode>
                <c:ptCount val="1"/>
                <c:pt idx="0">
                  <c:v>12.559239021080026</c:v>
                </c:pt>
              </c:numCache>
            </c:numRef>
          </c:yVal>
          <c:smooth val="1"/>
          <c:extLst>
            <c:ext xmlns:c16="http://schemas.microsoft.com/office/drawing/2014/chart" uri="{C3380CC4-5D6E-409C-BE32-E72D297353CC}">
              <c16:uniqueId val="{00000008-33F3-4C9F-8D5E-4D1B59EC7B1E}"/>
            </c:ext>
          </c:extLst>
        </c:ser>
        <c:dLbls>
          <c:showLegendKey val="0"/>
          <c:showVal val="0"/>
          <c:showCatName val="0"/>
          <c:showSerName val="0"/>
          <c:showPercent val="0"/>
          <c:showBubbleSize val="0"/>
        </c:dLbls>
        <c:axId val="377478144"/>
        <c:axId val="377496704"/>
      </c:scatterChart>
      <c:scatterChart>
        <c:scatterStyle val="smoothMarker"/>
        <c:varyColors val="0"/>
        <c:ser>
          <c:idx val="1"/>
          <c:order val="1"/>
          <c:tx>
            <c:v>Phase (deg)</c:v>
          </c:tx>
          <c:spPr>
            <a:ln w="28575">
              <a:solidFill>
                <a:schemeClr val="tx1">
                  <a:lumMod val="95000"/>
                  <a:lumOff val="5000"/>
                </a:schemeClr>
              </a:solidFill>
              <a:prstDash val="sysDash"/>
            </a:ln>
          </c:spPr>
          <c:marker>
            <c:symbol val="none"/>
          </c:marker>
          <c:xVal>
            <c:numRef>
              <c:f>CCM_Loop_Modeling_Isolated!$O$19:$O$560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CCM_Loop_Modeling_Isolated!$AX$19:$AX$560</c:f>
              <c:numCache>
                <c:formatCode>General</c:formatCode>
                <c:ptCount val="542"/>
                <c:pt idx="0">
                  <c:v>36.233471941420845</c:v>
                </c:pt>
                <c:pt idx="1">
                  <c:v>36.268821567406299</c:v>
                </c:pt>
                <c:pt idx="2">
                  <c:v>36.316367154623975</c:v>
                </c:pt>
                <c:pt idx="3">
                  <c:v>36.375941695800485</c:v>
                </c:pt>
                <c:pt idx="4">
                  <c:v>36.447364994572702</c:v>
                </c:pt>
                <c:pt idx="5">
                  <c:v>36.530443569300893</c:v>
                </c:pt>
                <c:pt idx="6">
                  <c:v>36.62497056230842</c:v>
                </c:pt>
                <c:pt idx="7">
                  <c:v>36.730725657712</c:v>
                </c:pt>
                <c:pt idx="8">
                  <c:v>36.847475011139323</c:v>
                </c:pt>
                <c:pt idx="9">
                  <c:v>36.974971194760279</c:v>
                </c:pt>
                <c:pt idx="10">
                  <c:v>37.112953161135835</c:v>
                </c:pt>
                <c:pt idx="11">
                  <c:v>37.261146229437728</c:v>
                </c:pt>
                <c:pt idx="12">
                  <c:v>37.419262097599812</c:v>
                </c:pt>
                <c:pt idx="13">
                  <c:v>37.586998883934662</c:v>
                </c:pt>
                <c:pt idx="14">
                  <c:v>37.764041201672683</c:v>
                </c:pt>
                <c:pt idx="15">
                  <c:v>37.95006026976359</c:v>
                </c:pt>
                <c:pt idx="16">
                  <c:v>38.144714063112175</c:v>
                </c:pt>
                <c:pt idx="17">
                  <c:v>38.347647505219882</c:v>
                </c:pt>
                <c:pt idx="18">
                  <c:v>38.558492705935386</c:v>
                </c:pt>
                <c:pt idx="19">
                  <c:v>38.776869246723379</c:v>
                </c:pt>
                <c:pt idx="20">
                  <c:v>39.002384515518358</c:v>
                </c:pt>
                <c:pt idx="21">
                  <c:v>39.234634092831129</c:v>
                </c:pt>
                <c:pt idx="22">
                  <c:v>39.473202190371751</c:v>
                </c:pt>
                <c:pt idx="23">
                  <c:v>39.717662142976828</c:v>
                </c:pt>
                <c:pt idx="24">
                  <c:v>39.967576954154531</c:v>
                </c:pt>
                <c:pt idx="25">
                  <c:v>40.222499895055634</c:v>
                </c:pt>
                <c:pt idx="26">
                  <c:v>40.481975156139441</c:v>
                </c:pt>
                <c:pt idx="27">
                  <c:v>40.745538550299933</c:v>
                </c:pt>
                <c:pt idx="28">
                  <c:v>41.012718265653248</c:v>
                </c:pt>
                <c:pt idx="29">
                  <c:v>41.283035665693873</c:v>
                </c:pt>
                <c:pt idx="30">
                  <c:v>41.556006133997627</c:v>
                </c:pt>
                <c:pt idx="31">
                  <c:v>41.831139960178945</c:v>
                </c:pt>
                <c:pt idx="32">
                  <c:v>42.107943263351828</c:v>
                </c:pt>
                <c:pt idx="33">
                  <c:v>42.385918948949396</c:v>
                </c:pt>
                <c:pt idx="34">
                  <c:v>42.664567694371023</c:v>
                </c:pt>
                <c:pt idx="35">
                  <c:v>42.943388958646686</c:v>
                </c:pt>
                <c:pt idx="36">
                  <c:v>43.221882011044819</c:v>
                </c:pt>
                <c:pt idx="37">
                  <c:v>43.499546973369647</c:v>
                </c:pt>
                <c:pt idx="38">
                  <c:v>43.775885870593264</c:v>
                </c:pt>
                <c:pt idx="39">
                  <c:v>44.050403684399214</c:v>
                </c:pt>
                <c:pt idx="40">
                  <c:v>44.322609404267787</c:v>
                </c:pt>
                <c:pt idx="41">
                  <c:v>44.592017070806008</c:v>
                </c:pt>
                <c:pt idx="42">
                  <c:v>44.858146806198093</c:v>
                </c:pt>
                <c:pt idx="43">
                  <c:v>45.120525826879131</c:v>
                </c:pt>
                <c:pt idx="44">
                  <c:v>45.378689433805029</c:v>
                </c:pt>
                <c:pt idx="45">
                  <c:v>45.632181976046311</c:v>
                </c:pt>
                <c:pt idx="46">
                  <c:v>45.880557783802359</c:v>
                </c:pt>
                <c:pt idx="47">
                  <c:v>46.123382067351614</c:v>
                </c:pt>
                <c:pt idx="48">
                  <c:v>46.360231778911562</c:v>
                </c:pt>
                <c:pt idx="49">
                  <c:v>46.590696434844396</c:v>
                </c:pt>
                <c:pt idx="50">
                  <c:v>46.814378896124552</c:v>
                </c:pt>
                <c:pt idx="51">
                  <c:v>47.030896105478405</c:v>
                </c:pt>
                <c:pt idx="52">
                  <c:v>47.239879780074141</c:v>
                </c:pt>
                <c:pt idx="53">
                  <c:v>47.44097705911804</c:v>
                </c:pt>
                <c:pt idx="54">
                  <c:v>47.633851106142927</c:v>
                </c:pt>
                <c:pt idx="55">
                  <c:v>47.818181666204708</c:v>
                </c:pt>
                <c:pt idx="56">
                  <c:v>47.993665578576831</c:v>
                </c:pt>
                <c:pt idx="57">
                  <c:v>48.160017245873185</c:v>
                </c:pt>
                <c:pt idx="58">
                  <c:v>48.316969060832662</c:v>
                </c:pt>
                <c:pt idx="59">
                  <c:v>48.464271792241227</c:v>
                </c:pt>
                <c:pt idx="60">
                  <c:v>48.601694931677706</c:v>
                </c:pt>
                <c:pt idx="61">
                  <c:v>48.729027002903401</c:v>
                </c:pt>
                <c:pt idx="62">
                  <c:v>48.846075835826753</c:v>
                </c:pt>
                <c:pt idx="63">
                  <c:v>48.95266880701282</c:v>
                </c:pt>
                <c:pt idx="64">
                  <c:v>49.04865304869962</c:v>
                </c:pt>
                <c:pt idx="65">
                  <c:v>49.13389562823896</c:v>
                </c:pt>
                <c:pt idx="66">
                  <c:v>49.208283699777311</c:v>
                </c:pt>
                <c:pt idx="67">
                  <c:v>49.271724629855576</c:v>
                </c:pt>
                <c:pt idx="68">
                  <c:v>49.324146098422126</c:v>
                </c:pt>
                <c:pt idx="69">
                  <c:v>49.365496176564434</c:v>
                </c:pt>
                <c:pt idx="70">
                  <c:v>49.395743381998251</c:v>
                </c:pt>
                <c:pt idx="71">
                  <c:v>49.414876713123846</c:v>
                </c:pt>
                <c:pt idx="72">
                  <c:v>49.422905662154967</c:v>
                </c:pt>
                <c:pt idx="73">
                  <c:v>49.419860207557228</c:v>
                </c:pt>
                <c:pt idx="74">
                  <c:v>49.405790785726303</c:v>
                </c:pt>
                <c:pt idx="75">
                  <c:v>49.38076824154863</c:v>
                </c:pt>
                <c:pt idx="76">
                  <c:v>49.34488375719112</c:v>
                </c:pt>
                <c:pt idx="77">
                  <c:v>49.298248758203805</c:v>
                </c:pt>
                <c:pt idx="78">
                  <c:v>49.240994795747682</c:v>
                </c:pt>
                <c:pt idx="79">
                  <c:v>49.173273403529379</c:v>
                </c:pt>
                <c:pt idx="80">
                  <c:v>49.095255927819203</c:v>
                </c:pt>
                <c:pt idx="81">
                  <c:v>49.007133328755913</c:v>
                </c:pt>
                <c:pt idx="82">
                  <c:v>48.909115951000743</c:v>
                </c:pt>
                <c:pt idx="83">
                  <c:v>48.801433261711367</c:v>
                </c:pt>
                <c:pt idx="84">
                  <c:v>48.684333553762229</c:v>
                </c:pt>
                <c:pt idx="85">
                  <c:v>48.55808361212825</c:v>
                </c:pt>
                <c:pt idx="86">
                  <c:v>48.422968341403156</c:v>
                </c:pt>
                <c:pt idx="87">
                  <c:v>48.279290352521961</c:v>
                </c:pt>
                <c:pt idx="88">
                  <c:v>48.127369506908359</c:v>
                </c:pt>
                <c:pt idx="89">
                  <c:v>47.967542416471019</c:v>
                </c:pt>
                <c:pt idx="90">
                  <c:v>47.80016189812379</c:v>
                </c:pt>
                <c:pt idx="91">
                  <c:v>47.625596381803945</c:v>
                </c:pt>
                <c:pt idx="92">
                  <c:v>47.444229271305922</c:v>
                </c:pt>
                <c:pt idx="93">
                  <c:v>47.256458257628417</c:v>
                </c:pt>
                <c:pt idx="94">
                  <c:v>47.062694584951032</c:v>
                </c:pt>
                <c:pt idx="95">
                  <c:v>46.863362269793349</c:v>
                </c:pt>
                <c:pt idx="96">
                  <c:v>46.658897274380408</c:v>
                </c:pt>
                <c:pt idx="97">
                  <c:v>46.449746635709985</c:v>
                </c:pt>
                <c:pt idx="98">
                  <c:v>46.236367552297615</c:v>
                </c:pt>
                <c:pt idx="99">
                  <c:v>46.019226431053994</c:v>
                </c:pt>
                <c:pt idx="100">
                  <c:v>45.798797897213291</c:v>
                </c:pt>
                <c:pt idx="101">
                  <c:v>45.575563770669355</c:v>
                </c:pt>
                <c:pt idx="102">
                  <c:v>45.350012012494481</c:v>
                </c:pt>
                <c:pt idx="103">
                  <c:v>45.122635645784463</c:v>
                </c:pt>
                <c:pt idx="104">
                  <c:v>44.893931655305295</c:v>
                </c:pt>
                <c:pt idx="105">
                  <c:v>44.664399870687951</c:v>
                </c:pt>
                <c:pt idx="106">
                  <c:v>44.434541838142138</c:v>
                </c:pt>
                <c:pt idx="107">
                  <c:v>44.204859685805957</c:v>
                </c:pt>
                <c:pt idx="108">
                  <c:v>43.975854987947244</c:v>
                </c:pt>
                <c:pt idx="109">
                  <c:v>43.748027633241335</c:v>
                </c:pt>
                <c:pt idx="110">
                  <c:v>43.521874702314861</c:v>
                </c:pt>
                <c:pt idx="111">
                  <c:v>43.297889359620697</c:v>
                </c:pt>
                <c:pt idx="112">
                  <c:v>43.076559764531595</c:v>
                </c:pt>
                <c:pt idx="113">
                  <c:v>42.858368006301632</c:v>
                </c:pt>
                <c:pt idx="114">
                  <c:v>42.643789067237968</c:v>
                </c:pt>
                <c:pt idx="115">
                  <c:v>42.433289818083523</c:v>
                </c:pt>
                <c:pt idx="116">
                  <c:v>42.227328049209305</c:v>
                </c:pt>
                <c:pt idx="117">
                  <c:v>42.026351540795766</c:v>
                </c:pt>
                <c:pt idx="118">
                  <c:v>41.830797174707833</c:v>
                </c:pt>
                <c:pt idx="119">
                  <c:v>41.641090090310691</c:v>
                </c:pt>
                <c:pt idx="120">
                  <c:v>41.457642885962692</c:v>
                </c:pt>
                <c:pt idx="121">
                  <c:v>41.280854867452049</c:v>
                </c:pt>
                <c:pt idx="122">
                  <c:v>41.111111344143133</c:v>
                </c:pt>
                <c:pt idx="123">
                  <c:v>40.948782973132758</c:v>
                </c:pt>
                <c:pt idx="124">
                  <c:v>40.794225151279242</c:v>
                </c:pt>
                <c:pt idx="125">
                  <c:v>40.647777454527308</c:v>
                </c:pt>
                <c:pt idx="126">
                  <c:v>40.509763123586943</c:v>
                </c:pt>
                <c:pt idx="127">
                  <c:v>40.380488594669949</c:v>
                </c:pt>
                <c:pt idx="128">
                  <c:v>40.260243073686034</c:v>
                </c:pt>
                <c:pt idx="129">
                  <c:v>40.149298152058726</c:v>
                </c:pt>
                <c:pt idx="130">
                  <c:v>40.047907462101726</c:v>
                </c:pt>
                <c:pt idx="131">
                  <c:v>39.956306369764896</c:v>
                </c:pt>
                <c:pt idx="132">
                  <c:v>39.874711702441253</c:v>
                </c:pt>
                <c:pt idx="133">
                  <c:v>39.803321509487674</c:v>
                </c:pt>
                <c:pt idx="134">
                  <c:v>39.742314853115445</c:v>
                </c:pt>
                <c:pt idx="135">
                  <c:v>39.691851627348122</c:v>
                </c:pt>
                <c:pt idx="136">
                  <c:v>39.65207240284704</c:v>
                </c:pt>
                <c:pt idx="137">
                  <c:v>39.623098295540714</c:v>
                </c:pt>
                <c:pt idx="138">
                  <c:v>39.605030857170078</c:v>
                </c:pt>
                <c:pt idx="139">
                  <c:v>39.597951986071102</c:v>
                </c:pt>
                <c:pt idx="140">
                  <c:v>39.60192385675947</c:v>
                </c:pt>
                <c:pt idx="141">
                  <c:v>39.616988867146489</c:v>
                </c:pt>
                <c:pt idx="142">
                  <c:v>39.643169602502077</c:v>
                </c:pt>
                <c:pt idx="143">
                  <c:v>39.680468815577633</c:v>
                </c:pt>
                <c:pt idx="144">
                  <c:v>39.728869422613343</c:v>
                </c:pt>
                <c:pt idx="145">
                  <c:v>39.788334515267024</c:v>
                </c:pt>
                <c:pt idx="146">
                  <c:v>39.858807388813396</c:v>
                </c:pt>
                <c:pt idx="147">
                  <c:v>39.940211587261253</c:v>
                </c:pt>
                <c:pt idx="148">
                  <c:v>40.032450966333876</c:v>
                </c:pt>
                <c:pt idx="149">
                  <c:v>40.135409775523271</c:v>
                </c:pt>
                <c:pt idx="150">
                  <c:v>40.248952760680979</c:v>
                </c:pt>
                <c:pt idx="151">
                  <c:v>40.372925288827915</c:v>
                </c:pt>
                <c:pt idx="152">
                  <c:v>40.50715349705262</c:v>
                </c:pt>
                <c:pt idx="153">
                  <c:v>40.651444467514729</c:v>
                </c:pt>
                <c:pt idx="154">
                  <c:v>40.805586430681728</c:v>
                </c:pt>
                <c:pt idx="155">
                  <c:v>40.969348998988991</c:v>
                </c:pt>
                <c:pt idx="156">
                  <c:v>41.142483433127964</c:v>
                </c:pt>
                <c:pt idx="157">
                  <c:v>41.324722943133686</c:v>
                </c:pt>
                <c:pt idx="158">
                  <c:v>41.515783026359522</c:v>
                </c:pt>
                <c:pt idx="159">
                  <c:v>41.715361844285454</c:v>
                </c:pt>
                <c:pt idx="160">
                  <c:v>41.923140639921307</c:v>
                </c:pt>
                <c:pt idx="161">
                  <c:v>42.138784197322686</c:v>
                </c:pt>
                <c:pt idx="162">
                  <c:v>42.36194134445109</c:v>
                </c:pt>
                <c:pt idx="163">
                  <c:v>42.592245500273641</c:v>
                </c:pt>
                <c:pt idx="164">
                  <c:v>42.829315266623432</c:v>
                </c:pt>
                <c:pt idx="165">
                  <c:v>43.072755064921765</c:v>
                </c:pt>
                <c:pt idx="166">
                  <c:v>43.32215581743197</c:v>
                </c:pt>
                <c:pt idx="167">
                  <c:v>43.577095672225965</c:v>
                </c:pt>
                <c:pt idx="168">
                  <c:v>43.837140770578451</c:v>
                </c:pt>
                <c:pt idx="169">
                  <c:v>44.101846054992592</c:v>
                </c:pt>
                <c:pt idx="170">
                  <c:v>44.370756115570792</c:v>
                </c:pt>
                <c:pt idx="171">
                  <c:v>44.643406071956647</c:v>
                </c:pt>
                <c:pt idx="172">
                  <c:v>44.919322487596645</c:v>
                </c:pt>
                <c:pt idx="173">
                  <c:v>45.198024312628114</c:v>
                </c:pt>
                <c:pt idx="174">
                  <c:v>45.479023851286634</c:v>
                </c:pt>
                <c:pt idx="175">
                  <c:v>45.76182774935215</c:v>
                </c:pt>
                <c:pt idx="176">
                  <c:v>46.045937996838376</c:v>
                </c:pt>
                <c:pt idx="177">
                  <c:v>46.330852940856417</c:v>
                </c:pt>
                <c:pt idx="178">
                  <c:v>46.616068303389291</c:v>
                </c:pt>
                <c:pt idx="179">
                  <c:v>46.901078198565337</c:v>
                </c:pt>
                <c:pt idx="180">
                  <c:v>47.185376143958777</c:v>
                </c:pt>
                <c:pt idx="181">
                  <c:v>47.468456060440204</c:v>
                </c:pt>
                <c:pt idx="182">
                  <c:v>47.749813255172143</c:v>
                </c:pt>
                <c:pt idx="183">
                  <c:v>48.028945382487073</c:v>
                </c:pt>
                <c:pt idx="184">
                  <c:v>48.305353377594024</c:v>
                </c:pt>
                <c:pt idx="185">
                  <c:v>48.578542358325052</c:v>
                </c:pt>
                <c:pt idx="186">
                  <c:v>48.848022490469049</c:v>
                </c:pt>
                <c:pt idx="187">
                  <c:v>49.113309812617615</c:v>
                </c:pt>
                <c:pt idx="188">
                  <c:v>49.373927016874283</c:v>
                </c:pt>
                <c:pt idx="189">
                  <c:v>49.629404182245644</c:v>
                </c:pt>
                <c:pt idx="190">
                  <c:v>49.879279458025366</c:v>
                </c:pt>
                <c:pt idx="191">
                  <c:v>50.123099694993662</c:v>
                </c:pt>
                <c:pt idx="192">
                  <c:v>50.360421022799429</c:v>
                </c:pt>
                <c:pt idx="193">
                  <c:v>50.590809372397587</c:v>
                </c:pt>
                <c:pt idx="194">
                  <c:v>50.813840942984108</c:v>
                </c:pt>
                <c:pt idx="195">
                  <c:v>51.029102613346815</c:v>
                </c:pt>
                <c:pt idx="196">
                  <c:v>51.236192298091375</c:v>
                </c:pt>
                <c:pt idx="197">
                  <c:v>51.434719249657086</c:v>
                </c:pt>
                <c:pt idx="198">
                  <c:v>51.624304307489432</c:v>
                </c:pt>
                <c:pt idx="199">
                  <c:v>51.804580096159818</c:v>
                </c:pt>
                <c:pt idx="200">
                  <c:v>51.975191174589405</c:v>
                </c:pt>
                <c:pt idx="201">
                  <c:v>52.135794138874672</c:v>
                </c:pt>
                <c:pt idx="202">
                  <c:v>52.286057681506783</c:v>
                </c:pt>
                <c:pt idx="203">
                  <c:v>52.425662610022727</c:v>
                </c:pt>
                <c:pt idx="204">
                  <c:v>52.554301828335369</c:v>
                </c:pt>
                <c:pt idx="205">
                  <c:v>52.671680284147271</c:v>
                </c:pt>
                <c:pt idx="206">
                  <c:v>52.777514885972465</c:v>
                </c:pt>
                <c:pt idx="207">
                  <c:v>52.871534393368862</c:v>
                </c:pt>
                <c:pt idx="208">
                  <c:v>52.95347928401997</c:v>
                </c:pt>
                <c:pt idx="209">
                  <c:v>53.023101601306344</c:v>
                </c:pt>
                <c:pt idx="210">
                  <c:v>53.080164785969529</c:v>
                </c:pt>
                <c:pt idx="211">
                  <c:v>53.124443495411228</c:v>
                </c:pt>
                <c:pt idx="212">
                  <c:v>53.15572341407038</c:v>
                </c:pt>
                <c:pt idx="213">
                  <c:v>53.173801058203956</c:v>
                </c:pt>
                <c:pt idx="214">
                  <c:v>53.17848357825477</c:v>
                </c:pt>
                <c:pt idx="215">
                  <c:v>53.169588561818898</c:v>
                </c:pt>
                <c:pt idx="216">
                  <c:v>53.146943840057858</c:v>
                </c:pt>
                <c:pt idx="217">
                  <c:v>53.110387300191007</c:v>
                </c:pt>
                <c:pt idx="218">
                  <c:v>53.059766706502259</c:v>
                </c:pt>
                <c:pt idx="219">
                  <c:v>52.994939532079336</c:v>
                </c:pt>
                <c:pt idx="220">
                  <c:v>52.915772803266641</c:v>
                </c:pt>
                <c:pt idx="221">
                  <c:v>52.822142958590362</c:v>
                </c:pt>
                <c:pt idx="222">
                  <c:v>52.713935723661429</c:v>
                </c:pt>
                <c:pt idx="223">
                  <c:v>52.59104600332909</c:v>
                </c:pt>
                <c:pt idx="224">
                  <c:v>52.453377792104959</c:v>
                </c:pt>
                <c:pt idx="225">
                  <c:v>52.300844103624527</c:v>
                </c:pt>
                <c:pt idx="226">
                  <c:v>52.133366919667601</c:v>
                </c:pt>
                <c:pt idx="227">
                  <c:v>51.95087715900349</c:v>
                </c:pt>
                <c:pt idx="228">
                  <c:v>51.753314666074495</c:v>
                </c:pt>
                <c:pt idx="229">
                  <c:v>51.540628219275625</c:v>
                </c:pt>
                <c:pt idx="230">
                  <c:v>51.312775558342764</c:v>
                </c:pt>
                <c:pt idx="231">
                  <c:v>51.069723430104638</c:v>
                </c:pt>
                <c:pt idx="232">
                  <c:v>50.811447651611651</c:v>
                </c:pt>
                <c:pt idx="233">
                  <c:v>50.537933189400505</c:v>
                </c:pt>
                <c:pt idx="234">
                  <c:v>50.24917425342278</c:v>
                </c:pt>
                <c:pt idx="235">
                  <c:v>49.945174403918458</c:v>
                </c:pt>
                <c:pt idx="236">
                  <c:v>49.625946669290627</c:v>
                </c:pt>
                <c:pt idx="237">
                  <c:v>49.291513672811384</c:v>
                </c:pt>
                <c:pt idx="238">
                  <c:v>48.941907765776037</c:v>
                </c:pt>
                <c:pt idx="239">
                  <c:v>48.577171164520564</c:v>
                </c:pt>
                <c:pt idx="240">
                  <c:v>48.197356088524508</c:v>
                </c:pt>
                <c:pt idx="241">
                  <c:v>47.802524896650205</c:v>
                </c:pt>
                <c:pt idx="242">
                  <c:v>47.392750218411578</c:v>
                </c:pt>
                <c:pt idx="243">
                  <c:v>46.968115077035527</c:v>
                </c:pt>
                <c:pt idx="244">
                  <c:v>46.528713000956692</c:v>
                </c:pt>
                <c:pt idx="245">
                  <c:v>46.074648120315459</c:v>
                </c:pt>
                <c:pt idx="246">
                  <c:v>45.606035244963593</c:v>
                </c:pt>
                <c:pt idx="247">
                  <c:v>45.122999920462796</c:v>
                </c:pt>
                <c:pt idx="248">
                  <c:v>44.625678458576672</c:v>
                </c:pt>
                <c:pt idx="249">
                  <c:v>44.114217938803918</c:v>
                </c:pt>
                <c:pt idx="250">
                  <c:v>43.588776177589388</c:v>
                </c:pt>
                <c:pt idx="251">
                  <c:v>43.049521661991974</c:v>
                </c:pt>
                <c:pt idx="252">
                  <c:v>42.49663344475465</c:v>
                </c:pt>
                <c:pt idx="253">
                  <c:v>41.930300997944876</c:v>
                </c:pt>
                <c:pt idx="254">
                  <c:v>41.350724022613086</c:v>
                </c:pt>
                <c:pt idx="255">
                  <c:v>40.758112212203706</c:v>
                </c:pt>
                <c:pt idx="256">
                  <c:v>40.152684967833295</c:v>
                </c:pt>
                <c:pt idx="257">
                  <c:v>39.53467106392263</c:v>
                </c:pt>
                <c:pt idx="258">
                  <c:v>38.90430826312263</c:v>
                </c:pt>
                <c:pt idx="259">
                  <c:v>38.261842879924977</c:v>
                </c:pt>
                <c:pt idx="260">
                  <c:v>37.607529292859731</c:v>
                </c:pt>
                <c:pt idx="261">
                  <c:v>36.94162940569246</c:v>
                </c:pt>
                <c:pt idx="262">
                  <c:v>36.264412058581605</c:v>
                </c:pt>
                <c:pt idx="263">
                  <c:v>35.576152390698979</c:v>
                </c:pt>
                <c:pt idx="264">
                  <c:v>34.877131156379875</c:v>
                </c:pt>
                <c:pt idx="265">
                  <c:v>34.167633997399001</c:v>
                </c:pt>
                <c:pt idx="266">
                  <c:v>33.44795067452813</c:v>
                </c:pt>
                <c:pt idx="267">
                  <c:v>32.718374262017669</c:v>
                </c:pt>
                <c:pt idx="268">
                  <c:v>31.979200309150677</c:v>
                </c:pt>
                <c:pt idx="269">
                  <c:v>31.23072597343684</c:v>
                </c:pt>
                <c:pt idx="270">
                  <c:v>30.473249130442408</c:v>
                </c:pt>
                <c:pt idx="271">
                  <c:v>29.707067465566855</c:v>
                </c:pt>
                <c:pt idx="272">
                  <c:v>28.932477553386661</c:v>
                </c:pt>
                <c:pt idx="273">
                  <c:v>28.149773930398542</c:v>
                </c:pt>
                <c:pt idx="274">
                  <c:v>27.359248167154117</c:v>
                </c:pt>
                <c:pt idx="275">
                  <c:v>26.561187945861057</c:v>
                </c:pt>
                <c:pt idx="276">
                  <c:v>25.755876149541471</c:v>
                </c:pt>
                <c:pt idx="277">
                  <c:v>24.943589968786277</c:v>
                </c:pt>
                <c:pt idx="278">
                  <c:v>24.124600032005024</c:v>
                </c:pt>
                <c:pt idx="279">
                  <c:v>23.299169564894871</c:v>
                </c:pt>
                <c:pt idx="280">
                  <c:v>22.467553584580749</c:v>
                </c:pt>
                <c:pt idx="281">
                  <c:v>21.629998133580376</c:v>
                </c:pt>
                <c:pt idx="282">
                  <c:v>20.786739558368716</c:v>
                </c:pt>
                <c:pt idx="283">
                  <c:v>19.938003836926335</c:v>
                </c:pt>
                <c:pt idx="284">
                  <c:v>19.084005959192552</c:v>
                </c:pt>
                <c:pt idx="285">
                  <c:v>18.224949363887795</c:v>
                </c:pt>
                <c:pt idx="286">
                  <c:v>17.361025434667994</c:v>
                </c:pt>
                <c:pt idx="287">
                  <c:v>16.492413058070316</c:v>
                </c:pt>
                <c:pt idx="288">
                  <c:v>15.61927824520693</c:v>
                </c:pt>
                <c:pt idx="289">
                  <c:v>14.74177381865468</c:v>
                </c:pt>
                <c:pt idx="290">
                  <c:v>13.86003916549844</c:v>
                </c:pt>
                <c:pt idx="291">
                  <c:v>12.974200057015674</c:v>
                </c:pt>
                <c:pt idx="292">
                  <c:v>12.084368535040456</c:v>
                </c:pt>
                <c:pt idx="293">
                  <c:v>11.190642864618804</c:v>
                </c:pt>
                <c:pt idx="294">
                  <c:v>10.293107552196764</c:v>
                </c:pt>
                <c:pt idx="295">
                  <c:v>9.3918334282191438</c:v>
                </c:pt>
                <c:pt idx="296">
                  <c:v>8.4868777927174044</c:v>
                </c:pt>
                <c:pt idx="297">
                  <c:v>7.5782846221926397</c:v>
                </c:pt>
                <c:pt idx="298">
                  <c:v>6.666084835877542</c:v>
                </c:pt>
                <c:pt idx="299">
                  <c:v>5.7502966192675684</c:v>
                </c:pt>
                <c:pt idx="300">
                  <c:v>4.8309258026730619</c:v>
                </c:pt>
                <c:pt idx="301">
                  <c:v>3.9079662924340215</c:v>
                </c:pt>
                <c:pt idx="302">
                  <c:v>2.9814005523637683</c:v>
                </c:pt>
                <c:pt idx="303">
                  <c:v>2.0512001329544738</c:v>
                </c:pt>
                <c:pt idx="304">
                  <c:v>1.1173262458647382</c:v>
                </c:pt>
                <c:pt idx="305">
                  <c:v>0.17973038122610144</c:v>
                </c:pt>
                <c:pt idx="306">
                  <c:v>-0.76164503465387057</c:v>
                </c:pt>
                <c:pt idx="307">
                  <c:v>-1.7068659435581612</c:v>
                </c:pt>
                <c:pt idx="308">
                  <c:v>-2.6560059238909939</c:v>
                </c:pt>
                <c:pt idx="309">
                  <c:v>-3.6091454256853162</c:v>
                </c:pt>
                <c:pt idx="310">
                  <c:v>-4.5663709742119005</c:v>
                </c:pt>
                <c:pt idx="311">
                  <c:v>-5.5277743442277849</c:v>
                </c:pt>
                <c:pt idx="312">
                  <c:v>-6.4934517068068223</c:v>
                </c:pt>
                <c:pt idx="313">
                  <c:v>-7.4635027506232889</c:v>
                </c:pt>
                <c:pt idx="314">
                  <c:v>-8.4380297794706873</c:v>
                </c:pt>
                <c:pt idx="315">
                  <c:v>-9.4171367877517547</c:v>
                </c:pt>
                <c:pt idx="316">
                  <c:v>-10.400928515612728</c:v>
                </c:pt>
                <c:pt idx="317">
                  <c:v>-11.389509485373356</c:v>
                </c:pt>
                <c:pt idx="318">
                  <c:v>-12.382983020890284</c:v>
                </c:pt>
                <c:pt idx="319">
                  <c:v>-13.381450251499272</c:v>
                </c:pt>
                <c:pt idx="320">
                  <c:v>-14.385009102215994</c:v>
                </c:pt>
                <c:pt idx="321">
                  <c:v>-15.39375327193286</c:v>
                </c:pt>
                <c:pt idx="322">
                  <c:v>-16.407771201427952</c:v>
                </c:pt>
                <c:pt idx="323">
                  <c:v>-17.427145033111486</c:v>
                </c:pt>
                <c:pt idx="324">
                  <c:v>-18.451949564570967</c:v>
                </c:pt>
                <c:pt idx="325">
                  <c:v>-19.482251198123031</c:v>
                </c:pt>
                <c:pt idx="326">
                  <c:v>-20.518106888776856</c:v>
                </c:pt>
                <c:pt idx="327">
                  <c:v>-21.559563093211246</c:v>
                </c:pt>
                <c:pt idx="328">
                  <c:v>-22.606654722591596</c:v>
                </c:pt>
                <c:pt idx="329">
                  <c:v>-23.659404102316575</c:v>
                </c:pt>
                <c:pt idx="330">
                  <c:v>-24.717819942018444</c:v>
                </c:pt>
                <c:pt idx="331">
                  <c:v>-25.781896319455736</c:v>
                </c:pt>
                <c:pt idx="332">
                  <c:v>-26.851611682189247</c:v>
                </c:pt>
                <c:pt idx="333">
                  <c:v>-27.926927871256357</c:v>
                </c:pt>
                <c:pt idx="334">
                  <c:v>-29.007789171327353</c:v>
                </c:pt>
                <c:pt idx="335">
                  <c:v>-30.09412139214048</c:v>
                </c:pt>
                <c:pt idx="336">
                  <c:v>-31.185830986276603</c:v>
                </c:pt>
                <c:pt idx="337">
                  <c:v>-32.282804208622004</c:v>
                </c:pt>
                <c:pt idx="338">
                  <c:v>-33.384906323081879</c:v>
                </c:pt>
                <c:pt idx="339">
                  <c:v>-34.491980862357494</c:v>
                </c:pt>
                <c:pt idx="340">
                  <c:v>-35.603848946750681</c:v>
                </c:pt>
                <c:pt idx="341">
                  <c:v>-36.720308668122975</c:v>
                </c:pt>
                <c:pt idx="342">
                  <c:v>-37.841134545200923</c:v>
                </c:pt>
                <c:pt idx="343">
                  <c:v>-38.966077056471747</c:v>
                </c:pt>
                <c:pt idx="344">
                  <c:v>-40.094862256876063</c:v>
                </c:pt>
                <c:pt idx="345">
                  <c:v>-41.227191484397373</c:v>
                </c:pt>
                <c:pt idx="346">
                  <c:v>-42.362741162492021</c:v>
                </c:pt>
                <c:pt idx="347">
                  <c:v>-43.50116270403003</c:v>
                </c:pt>
                <c:pt idx="348">
                  <c:v>-44.642082522105277</c:v>
                </c:pt>
                <c:pt idx="349">
                  <c:v>-45.785102152634046</c:v>
                </c:pt>
                <c:pt idx="350">
                  <c:v>-46.929798493168228</c:v>
                </c:pt>
                <c:pt idx="351">
                  <c:v>-48.075724161749058</c:v>
                </c:pt>
                <c:pt idx="352">
                  <c:v>-49.222407978964128</c:v>
                </c:pt>
                <c:pt idx="353">
                  <c:v>-50.369355575596941</c:v>
                </c:pt>
                <c:pt idx="354">
                  <c:v>-51.516050127457156</c:v>
                </c:pt>
                <c:pt idx="355">
                  <c:v>-52.661953218040189</c:v>
                </c:pt>
                <c:pt idx="356">
                  <c:v>-53.806505828758802</c:v>
                </c:pt>
                <c:pt idx="357">
                  <c:v>-54.949129455439333</c:v>
                </c:pt>
                <c:pt idx="358">
                  <c:v>-56.089227348770507</c:v>
                </c:pt>
                <c:pt idx="359">
                  <c:v>-57.226185875302455</c:v>
                </c:pt>
                <c:pt idx="360">
                  <c:v>-58.359375994549787</c:v>
                </c:pt>
                <c:pt idx="361">
                  <c:v>-59.488154846658851</c:v>
                </c:pt>
                <c:pt idx="362">
                  <c:v>-60.611867444089739</c:v>
                </c:pt>
                <c:pt idx="363">
                  <c:v>-61.729848459737489</c:v>
                </c:pt>
                <c:pt idx="364">
                  <c:v>-62.841424102984533</c:v>
                </c:pt>
                <c:pt idx="365">
                  <c:v>-63.945914074294876</c:v>
                </c:pt>
                <c:pt idx="366">
                  <c:v>-65.04263358817451</c:v>
                </c:pt>
                <c:pt idx="367">
                  <c:v>-66.130895453609526</c:v>
                </c:pt>
                <c:pt idx="368">
                  <c:v>-67.210012200542138</c:v>
                </c:pt>
                <c:pt idx="369">
                  <c:v>-68.279298240430961</c:v>
                </c:pt>
                <c:pt idx="370">
                  <c:v>-69.338072048640115</c:v>
                </c:pt>
                <c:pt idx="371">
                  <c:v>-70.385658356155986</c:v>
                </c:pt>
                <c:pt idx="372">
                  <c:v>-71.421390338070907</c:v>
                </c:pt>
                <c:pt idx="373">
                  <c:v>-72.444611786302602</c:v>
                </c:pt>
                <c:pt idx="374">
                  <c:v>-73.454679254202404</c:v>
                </c:pt>
                <c:pt idx="375">
                  <c:v>-74.450964161016614</c:v>
                </c:pt>
                <c:pt idx="376">
                  <c:v>-75.432854844553702</c:v>
                </c:pt>
                <c:pt idx="377">
                  <c:v>-76.39975855095912</c:v>
                </c:pt>
                <c:pt idx="378">
                  <c:v>-77.351103351097095</c:v>
                </c:pt>
                <c:pt idx="379">
                  <c:v>-78.286339973745157</c:v>
                </c:pt>
                <c:pt idx="380">
                  <c:v>-79.204943546572878</c:v>
                </c:pt>
                <c:pt idx="381">
                  <c:v>-80.106415236694417</c:v>
                </c:pt>
                <c:pt idx="382">
                  <c:v>-80.990283783457187</c:v>
                </c:pt>
                <c:pt idx="383">
                  <c:v>-81.856106917003302</c:v>
                </c:pt>
                <c:pt idx="384">
                  <c:v>-82.703472657053524</c:v>
                </c:pt>
                <c:pt idx="385">
                  <c:v>-83.532000487259324</c:v>
                </c:pt>
                <c:pt idx="386">
                  <c:v>-84.341342401361175</c:v>
                </c:pt>
                <c:pt idx="387">
                  <c:v>-85.131183818258194</c:v>
                </c:pt>
                <c:pt idx="388">
                  <c:v>-85.901244363935149</c:v>
                </c:pt>
                <c:pt idx="389">
                  <c:v>-86.651278518987411</c:v>
                </c:pt>
                <c:pt idx="390">
                  <c:v>-87.381076131254517</c:v>
                </c:pt>
                <c:pt idx="391">
                  <c:v>-88.090462793774222</c:v>
                </c:pt>
                <c:pt idx="392">
                  <c:v>-88.779300088937518</c:v>
                </c:pt>
                <c:pt idx="393">
                  <c:v>-89.447485700348736</c:v>
                </c:pt>
                <c:pt idx="394">
                  <c:v>-90.094953394450954</c:v>
                </c:pt>
                <c:pt idx="395">
                  <c:v>-90.721672874511214</c:v>
                </c:pt>
                <c:pt idx="396">
                  <c:v>-91.327649510038015</c:v>
                </c:pt>
                <c:pt idx="397">
                  <c:v>-91.912923945146233</c:v>
                </c:pt>
                <c:pt idx="398">
                  <c:v>-92.477571589793726</c:v>
                </c:pt>
                <c:pt idx="399">
                  <c:v>-93.021701998192796</c:v>
                </c:pt>
                <c:pt idx="400">
                  <c:v>-93.545458139055157</c:v>
                </c:pt>
                <c:pt idx="401">
                  <c:v>-94.049015562650737</c:v>
                </c:pt>
                <c:pt idx="402">
                  <c:v>-94.532581469985942</c:v>
                </c:pt>
                <c:pt idx="403">
                  <c:v>-94.996393689692439</c:v>
                </c:pt>
                <c:pt idx="404">
                  <c:v>-95.440719568501748</c:v>
                </c:pt>
                <c:pt idx="405">
                  <c:v>-95.865854781454644</c:v>
                </c:pt>
                <c:pt idx="406">
                  <c:v>-96.272122068245707</c:v>
                </c:pt>
                <c:pt idx="407">
                  <c:v>-96.659869902342734</c:v>
                </c:pt>
                <c:pt idx="408">
                  <c:v>-97.029471099754687</c:v>
                </c:pt>
                <c:pt idx="409">
                  <c:v>-97.381321374520923</c:v>
                </c:pt>
                <c:pt idx="410">
                  <c:v>-97.715837848184734</c:v>
                </c:pt>
                <c:pt idx="411">
                  <c:v>-98.033457520669401</c:v>
                </c:pt>
                <c:pt idx="412">
                  <c:v>-98.334635710109936</c:v>
                </c:pt>
                <c:pt idx="413">
                  <c:v>-98.619844469279528</c:v>
                </c:pt>
                <c:pt idx="414">
                  <c:v>-98.889570986313359</c:v>
                </c:pt>
                <c:pt idx="415">
                  <c:v>-99.144315977436406</c:v>
                </c:pt>
                <c:pt idx="416">
                  <c:v>-99.384592079371473</c:v>
                </c:pt>
                <c:pt idx="417">
                  <c:v>-99.61092224901077</c:v>
                </c:pt>
                <c:pt idx="418">
                  <c:v>-99.823838177798876</c:v>
                </c:pt>
                <c:pt idx="419">
                  <c:v>-100.02387872808315</c:v>
                </c:pt>
                <c:pt idx="420">
                  <c:v>-100.2115883984244</c:v>
                </c:pt>
                <c:pt idx="421">
                  <c:v>-100.38751582457586</c:v>
                </c:pt>
                <c:pt idx="422">
                  <c:v>-100.55221232246231</c:v>
                </c:pt>
                <c:pt idx="423">
                  <c:v>-100.70623047910173</c:v>
                </c:pt>
                <c:pt idx="424">
                  <c:v>-100.85012279693942</c:v>
                </c:pt>
                <c:pt idx="425">
                  <c:v>-100.98444039658915</c:v>
                </c:pt>
                <c:pt idx="426">
                  <c:v>-101.10973178243316</c:v>
                </c:pt>
                <c:pt idx="427">
                  <c:v>-101.22654167497465</c:v>
                </c:pt>
                <c:pt idx="428">
                  <c:v>-101.33540991326218</c:v>
                </c:pt>
                <c:pt idx="429">
                  <c:v>-101.43687043010324</c:v>
                </c:pt>
                <c:pt idx="430">
                  <c:v>-101.53145030217817</c:v>
                </c:pt>
                <c:pt idx="431">
                  <c:v>-101.61966887657287</c:v>
                </c:pt>
                <c:pt idx="432">
                  <c:v>-101.70203697464056</c:v>
                </c:pt>
                <c:pt idx="433">
                  <c:v>-101.77905617353298</c:v>
                </c:pt>
                <c:pt idx="434">
                  <c:v>-101.85121816517415</c:v>
                </c:pt>
                <c:pt idx="435">
                  <c:v>-101.91900419192268</c:v>
                </c:pt>
                <c:pt idx="436">
                  <c:v>-101.98288455766826</c:v>
                </c:pt>
                <c:pt idx="437">
                  <c:v>-102.04331821264358</c:v>
                </c:pt>
                <c:pt idx="438">
                  <c:v>-102.10075240981384</c:v>
                </c:pt>
                <c:pt idx="439">
                  <c:v>-102.15562243032748</c:v>
                </c:pt>
                <c:pt idx="440">
                  <c:v>-102.20835137517952</c:v>
                </c:pt>
                <c:pt idx="441">
                  <c:v>-102.25935001994993</c:v>
                </c:pt>
                <c:pt idx="442">
                  <c:v>-102.30901672924713</c:v>
                </c:pt>
                <c:pt idx="443">
                  <c:v>-102.35773742728661</c:v>
                </c:pt>
                <c:pt idx="444">
                  <c:v>-102.4058856208901</c:v>
                </c:pt>
                <c:pt idx="445">
                  <c:v>-102.45382247108999</c:v>
                </c:pt>
                <c:pt idx="446">
                  <c:v>-102.50189690945216</c:v>
                </c:pt>
                <c:pt idx="447">
                  <c:v>-102.55044579521363</c:v>
                </c:pt>
                <c:pt idx="448">
                  <c:v>-102.59979410933921</c:v>
                </c:pt>
                <c:pt idx="449">
                  <c:v>-102.65025518164187</c:v>
                </c:pt>
                <c:pt idx="450">
                  <c:v>-102.70213094718572</c:v>
                </c:pt>
                <c:pt idx="451">
                  <c:v>-102.75571222828484</c:v>
                </c:pt>
                <c:pt idx="452">
                  <c:v>-102.81127903853189</c:v>
                </c:pt>
                <c:pt idx="453">
                  <c:v>-102.86910090542109</c:v>
                </c:pt>
                <c:pt idx="454">
                  <c:v>-102.92943720828771</c:v>
                </c:pt>
                <c:pt idx="455">
                  <c:v>-102.9925375284425</c:v>
                </c:pt>
                <c:pt idx="456">
                  <c:v>-103.05864200855112</c:v>
                </c:pt>
                <c:pt idx="457">
                  <c:v>-103.12798171848948</c:v>
                </c:pt>
                <c:pt idx="458">
                  <c:v>-103.20077902507639</c:v>
                </c:pt>
                <c:pt idx="459">
                  <c:v>-103.27724796327323</c:v>
                </c:pt>
                <c:pt idx="460">
                  <c:v>-103.35759460661401</c:v>
                </c:pt>
                <c:pt idx="461">
                  <c:v>-103.4420174348046</c:v>
                </c:pt>
                <c:pt idx="462">
                  <c:v>-103.53070769660323</c:v>
                </c:pt>
                <c:pt idx="463">
                  <c:v>-103.62384976625682</c:v>
                </c:pt>
                <c:pt idx="464">
                  <c:v>-103.721621491926</c:v>
                </c:pt>
                <c:pt idx="465">
                  <c:v>-103.82419453468071</c:v>
                </c:pt>
                <c:pt idx="466">
                  <c:v>-103.93173469679247</c:v>
                </c:pt>
                <c:pt idx="467">
                  <c:v>-104.04440223817623</c:v>
                </c:pt>
                <c:pt idx="468">
                  <c:v>-104.16235217996498</c:v>
                </c:pt>
                <c:pt idx="469">
                  <c:v>-104.28573459430655</c:v>
                </c:pt>
                <c:pt idx="470">
                  <c:v>-104.41469487958342</c:v>
                </c:pt>
                <c:pt idx="471">
                  <c:v>-104.54937402034807</c:v>
                </c:pt>
                <c:pt idx="472">
                  <c:v>-104.68990883135237</c:v>
                </c:pt>
                <c:pt idx="473">
                  <c:v>-104.83643218513077</c:v>
                </c:pt>
                <c:pt idx="474">
                  <c:v>-104.98907322266487</c:v>
                </c:pt>
                <c:pt idx="475">
                  <c:v>-105.14795754672016</c:v>
                </c:pt>
                <c:pt idx="476">
                  <c:v>-105.31320739749972</c:v>
                </c:pt>
                <c:pt idx="477">
                  <c:v>-105.48494181031246</c:v>
                </c:pt>
                <c:pt idx="478">
                  <c:v>-105.6632767549923</c:v>
                </c:pt>
                <c:pt idx="479">
                  <c:v>-105.84832525684453</c:v>
                </c:pt>
                <c:pt idx="480">
                  <c:v>-106.04019749893264</c:v>
                </c:pt>
                <c:pt idx="481">
                  <c:v>-106.23900090554126</c:v>
                </c:pt>
                <c:pt idx="482">
                  <c:v>-106.44484020668718</c:v>
                </c:pt>
                <c:pt idx="483">
                  <c:v>-106.65781748356686</c:v>
                </c:pt>
                <c:pt idx="484">
                  <c:v>-106.87803219485689</c:v>
                </c:pt>
                <c:pt idx="485">
                  <c:v>-107.10558118380527</c:v>
                </c:pt>
                <c:pt idx="486">
                  <c:v>-107.34055866607319</c:v>
                </c:pt>
                <c:pt idx="487">
                  <c:v>-107.58305619830861</c:v>
                </c:pt>
                <c:pt idx="488">
                  <c:v>-107.83316262746084</c:v>
                </c:pt>
                <c:pt idx="489">
                  <c:v>-108.09096402086851</c:v>
                </c:pt>
                <c:pt idx="490">
                  <c:v>-108.3565435771846</c:v>
                </c:pt>
                <c:pt idx="491">
                  <c:v>-108.62998151823399</c:v>
                </c:pt>
                <c:pt idx="492">
                  <c:v>-108.91135496193695</c:v>
                </c:pt>
                <c:pt idx="493">
                  <c:v>-109.20073777647433</c:v>
                </c:pt>
                <c:pt idx="494">
                  <c:v>-109.49820041591629</c:v>
                </c:pt>
                <c:pt idx="495">
                  <c:v>-109.80380973759262</c:v>
                </c:pt>
                <c:pt idx="496">
                  <c:v>-110.11762880154018</c:v>
                </c:pt>
                <c:pt idx="497">
                  <c:v>-110.43971665243313</c:v>
                </c:pt>
                <c:pt idx="498">
                  <c:v>-110.77012808447697</c:v>
                </c:pt>
                <c:pt idx="499">
                  <c:v>-111.1089133898264</c:v>
                </c:pt>
                <c:pt idx="500">
                  <c:v>-111.45611809118638</c:v>
                </c:pt>
                <c:pt idx="501">
                  <c:v>-111.81178265934622</c:v>
                </c:pt>
                <c:pt idx="502">
                  <c:v>-112.17594221651363</c:v>
                </c:pt>
                <c:pt idx="503">
                  <c:v>-112.54862622642702</c:v>
                </c:pt>
                <c:pt idx="504">
                  <c:v>-112.92985817234992</c:v>
                </c:pt>
                <c:pt idx="505">
                  <c:v>-113.31965522418764</c:v>
                </c:pt>
                <c:pt idx="506">
                  <c:v>-113.71802789610133</c:v>
                </c:pt>
                <c:pt idx="507">
                  <c:v>-114.12497969614363</c:v>
                </c:pt>
                <c:pt idx="508">
                  <c:v>-114.54050676959348</c:v>
                </c:pt>
                <c:pt idx="509">
                  <c:v>-114.96459753781897</c:v>
                </c:pt>
                <c:pt idx="510">
                  <c:v>-115.39723233465918</c:v>
                </c:pt>
                <c:pt idx="511">
                  <c:v>-115.83838304247527</c:v>
                </c:pt>
                <c:pt idx="512">
                  <c:v>-116.28801273018014</c:v>
                </c:pt>
                <c:pt idx="513">
                  <c:v>-116.74607529570746</c:v>
                </c:pt>
                <c:pt idx="514">
                  <c:v>-117.21251511553869</c:v>
                </c:pt>
                <c:pt idx="515">
                  <c:v>-117.68726670403902</c:v>
                </c:pt>
                <c:pt idx="516">
                  <c:v>-118.17025438549319</c:v>
                </c:pt>
                <c:pt idx="517">
                  <c:v>-118.66139198184256</c:v>
                </c:pt>
                <c:pt idx="518">
                  <c:v>-119.16058251922014</c:v>
                </c:pt>
                <c:pt idx="519">
                  <c:v>-119.66771795647253</c:v>
                </c:pt>
                <c:pt idx="520">
                  <c:v>-120.18267893889578</c:v>
                </c:pt>
                <c:pt idx="521">
                  <c:v>-120.70533458044899</c:v>
                </c:pt>
                <c:pt idx="522">
                  <c:v>-121.23554227770153</c:v>
                </c:pt>
                <c:pt idx="523">
                  <c:v>-121.77314755873579</c:v>
                </c:pt>
                <c:pt idx="524">
                  <c:v>-122.31798397014806</c:v>
                </c:pt>
                <c:pt idx="525">
                  <c:v>-122.8698730051853</c:v>
                </c:pt>
                <c:pt idx="526">
                  <c:v>-123.42862407589364</c:v>
                </c:pt>
                <c:pt idx="527">
                  <c:v>-123.99403453196598</c:v>
                </c:pt>
                <c:pt idx="528">
                  <c:v>-124.56588972873054</c:v>
                </c:pt>
                <c:pt idx="529">
                  <c:v>-125.14396314645248</c:v>
                </c:pt>
                <c:pt idx="530">
                  <c:v>-125.72801656277485</c:v>
                </c:pt>
                <c:pt idx="531">
                  <c:v>-126.31780027978768</c:v>
                </c:pt>
                <c:pt idx="532">
                  <c:v>-126.91305340678167</c:v>
                </c:pt>
                <c:pt idx="533">
                  <c:v>-127.51350419933091</c:v>
                </c:pt>
                <c:pt idx="534">
                  <c:v>-128.1188704548527</c:v>
                </c:pt>
                <c:pt idx="535">
                  <c:v>-128.72885996432092</c:v>
                </c:pt>
                <c:pt idx="536">
                  <c:v>-129.34317101927107</c:v>
                </c:pt>
                <c:pt idx="537">
                  <c:v>-129.96149297272564</c:v>
                </c:pt>
                <c:pt idx="538">
                  <c:v>-130.5835068521169</c:v>
                </c:pt>
                <c:pt idx="539">
                  <c:v>-131.20888602176063</c:v>
                </c:pt>
                <c:pt idx="540">
                  <c:v>-131.83729689190505</c:v>
                </c:pt>
                <c:pt idx="541">
                  <c:v>-132.46839967088002</c:v>
                </c:pt>
              </c:numCache>
            </c:numRef>
          </c:yVal>
          <c:smooth val="1"/>
          <c:extLst>
            <c:ext xmlns:c16="http://schemas.microsoft.com/office/drawing/2014/chart" uri="{C3380CC4-5D6E-409C-BE32-E72D297353CC}">
              <c16:uniqueId val="{00000009-33F3-4C9F-8D5E-4D1B59EC7B1E}"/>
            </c:ext>
          </c:extLst>
        </c:ser>
        <c:dLbls>
          <c:showLegendKey val="0"/>
          <c:showVal val="0"/>
          <c:showCatName val="0"/>
          <c:showSerName val="0"/>
          <c:showPercent val="0"/>
          <c:showBubbleSize val="0"/>
        </c:dLbls>
        <c:axId val="377513088"/>
        <c:axId val="377498624"/>
      </c:scatterChart>
      <c:valAx>
        <c:axId val="377478144"/>
        <c:scaling>
          <c:logBase val="10"/>
          <c:orientation val="minMax"/>
          <c:max val="2000000"/>
          <c:min val="100"/>
        </c:scaling>
        <c:delete val="0"/>
        <c:axPos val="b"/>
        <c:minorGridlines/>
        <c:title>
          <c:tx>
            <c:rich>
              <a:bodyPr/>
              <a:lstStyle/>
              <a:p>
                <a:pPr>
                  <a:defRPr/>
                </a:pPr>
                <a:r>
                  <a:rPr lang="en-US"/>
                  <a:t>Frequency</a:t>
                </a:r>
                <a:r>
                  <a:rPr lang="en-US" baseline="0"/>
                  <a:t> (Hz)</a:t>
                </a:r>
                <a:endParaRPr lang="en-US"/>
              </a:p>
            </c:rich>
          </c:tx>
          <c:overlay val="0"/>
        </c:title>
        <c:numFmt formatCode="0" sourceLinked="0"/>
        <c:majorTickMark val="out"/>
        <c:minorTickMark val="none"/>
        <c:tickLblPos val="low"/>
        <c:txPr>
          <a:bodyPr/>
          <a:lstStyle/>
          <a:p>
            <a:pPr>
              <a:defRPr b="1"/>
            </a:pPr>
            <a:endParaRPr lang="en-US"/>
          </a:p>
        </c:txPr>
        <c:crossAx val="377496704"/>
        <c:crosses val="autoZero"/>
        <c:crossBetween val="midCat"/>
      </c:valAx>
      <c:valAx>
        <c:axId val="377496704"/>
        <c:scaling>
          <c:orientation val="minMax"/>
          <c:max val="40"/>
          <c:min val="-40"/>
        </c:scaling>
        <c:delete val="0"/>
        <c:axPos val="l"/>
        <c:majorGridlines/>
        <c:minorGridlines/>
        <c:title>
          <c:tx>
            <c:rich>
              <a:bodyPr rot="-5400000" vert="horz"/>
              <a:lstStyle/>
              <a:p>
                <a:pPr>
                  <a:defRPr/>
                </a:pPr>
                <a:r>
                  <a:rPr lang="en-US">
                    <a:solidFill>
                      <a:srgbClr val="FF0000"/>
                    </a:solidFill>
                  </a:rPr>
                  <a:t>Gain</a:t>
                </a:r>
                <a:r>
                  <a:rPr lang="en-US" baseline="0">
                    <a:solidFill>
                      <a:srgbClr val="FF0000"/>
                    </a:solidFill>
                  </a:rPr>
                  <a:t> (dB)</a:t>
                </a:r>
                <a:endParaRPr lang="en-US">
                  <a:solidFill>
                    <a:srgbClr val="FF0000"/>
                  </a:solidFill>
                </a:endParaRPr>
              </a:p>
            </c:rich>
          </c:tx>
          <c:overlay val="0"/>
        </c:title>
        <c:numFmt formatCode="General" sourceLinked="0"/>
        <c:majorTickMark val="out"/>
        <c:minorTickMark val="none"/>
        <c:tickLblPos val="nextTo"/>
        <c:txPr>
          <a:bodyPr/>
          <a:lstStyle/>
          <a:p>
            <a:pPr>
              <a:defRPr b="1">
                <a:solidFill>
                  <a:srgbClr val="FF0000"/>
                </a:solidFill>
              </a:defRPr>
            </a:pPr>
            <a:endParaRPr lang="en-US"/>
          </a:p>
        </c:txPr>
        <c:crossAx val="377478144"/>
        <c:crosses val="autoZero"/>
        <c:crossBetween val="midCat"/>
        <c:majorUnit val="20"/>
        <c:minorUnit val="10"/>
      </c:valAx>
      <c:valAx>
        <c:axId val="377498624"/>
        <c:scaling>
          <c:orientation val="minMax"/>
          <c:max val="180"/>
          <c:min val="-180"/>
        </c:scaling>
        <c:delete val="0"/>
        <c:axPos val="r"/>
        <c:title>
          <c:tx>
            <c:rich>
              <a:bodyPr rot="-5400000" vert="horz"/>
              <a:lstStyle/>
              <a:p>
                <a:pPr>
                  <a:defRPr/>
                </a:pPr>
                <a:r>
                  <a:rPr lang="en-US"/>
                  <a:t>Phase (deg)</a:t>
                </a:r>
              </a:p>
            </c:rich>
          </c:tx>
          <c:overlay val="0"/>
        </c:title>
        <c:numFmt formatCode="General" sourceLinked="1"/>
        <c:majorTickMark val="out"/>
        <c:minorTickMark val="none"/>
        <c:tickLblPos val="nextTo"/>
        <c:txPr>
          <a:bodyPr/>
          <a:lstStyle/>
          <a:p>
            <a:pPr>
              <a:defRPr b="1">
                <a:solidFill>
                  <a:schemeClr val="tx1">
                    <a:lumMod val="95000"/>
                    <a:lumOff val="5000"/>
                  </a:schemeClr>
                </a:solidFill>
              </a:defRPr>
            </a:pPr>
            <a:endParaRPr lang="en-US"/>
          </a:p>
        </c:txPr>
        <c:crossAx val="377513088"/>
        <c:crosses val="max"/>
        <c:crossBetween val="midCat"/>
        <c:majorUnit val="90"/>
        <c:minorUnit val="45"/>
      </c:valAx>
      <c:valAx>
        <c:axId val="377513088"/>
        <c:scaling>
          <c:logBase val="10"/>
          <c:orientation val="minMax"/>
        </c:scaling>
        <c:delete val="1"/>
        <c:axPos val="b"/>
        <c:numFmt formatCode="0.00" sourceLinked="1"/>
        <c:majorTickMark val="out"/>
        <c:minorTickMark val="none"/>
        <c:tickLblPos val="nextTo"/>
        <c:crossAx val="377498624"/>
        <c:crosses val="autoZero"/>
        <c:crossBetween val="midCat"/>
      </c:valAx>
    </c:plotArea>
    <c:legend>
      <c:legendPos val="r"/>
      <c:legendEntry>
        <c:idx val="1"/>
        <c:delete val="1"/>
      </c:legendEntry>
      <c:legendEntry>
        <c:idx val="2"/>
        <c:delete val="1"/>
      </c:legendEntry>
      <c:legendEntry>
        <c:idx val="3"/>
        <c:delete val="1"/>
      </c:legendEntry>
      <c:legendEntry>
        <c:idx val="4"/>
        <c:delete val="1"/>
      </c:legendEntry>
      <c:layout>
        <c:manualLayout>
          <c:xMode val="edge"/>
          <c:yMode val="edge"/>
          <c:x val="0.61392536510371165"/>
          <c:y val="7.0381012799940294E-3"/>
          <c:w val="0.28497500584606611"/>
          <c:h val="7.9643865606846526E-2"/>
        </c:manualLayout>
      </c:layout>
      <c:overlay val="1"/>
    </c:legend>
    <c:plotVisOnly val="1"/>
    <c:dispBlanksAs val="gap"/>
    <c:showDLblsOverMax val="0"/>
  </c:chart>
  <c:spPr>
    <a:ln>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Plant Transfer</a:t>
            </a:r>
            <a:r>
              <a:rPr lang="en-US" baseline="0"/>
              <a:t> Function</a:t>
            </a:r>
            <a:endParaRPr lang="en-US"/>
          </a:p>
        </c:rich>
      </c:tx>
      <c:overlay val="0"/>
    </c:title>
    <c:autoTitleDeleted val="0"/>
    <c:plotArea>
      <c:layout/>
      <c:scatterChart>
        <c:scatterStyle val="smoothMarker"/>
        <c:varyColors val="0"/>
        <c:ser>
          <c:idx val="0"/>
          <c:order val="0"/>
          <c:tx>
            <c:v>Gain(dB)</c:v>
          </c:tx>
          <c:marker>
            <c:symbol val="none"/>
          </c:marker>
          <c:xVal>
            <c:numRef>
              <c:f>CCM_Loop_Modeling_non_isolated!$O$19:$O$560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CCM_Loop_Modeling_non_isolated!$AD$19:$AD$560</c:f>
              <c:numCache>
                <c:formatCode>0.000</c:formatCode>
                <c:ptCount val="542"/>
                <c:pt idx="0">
                  <c:v>38.798889498556328</c:v>
                </c:pt>
                <c:pt idx="1">
                  <c:v>38.614928508304359</c:v>
                </c:pt>
                <c:pt idx="2">
                  <c:v>38.430301074793853</c:v>
                </c:pt>
                <c:pt idx="3">
                  <c:v>38.245032666228894</c:v>
                </c:pt>
                <c:pt idx="4">
                  <c:v>38.05914795927071</c:v>
                </c:pt>
                <c:pt idx="5">
                  <c:v>37.872670848485491</c:v>
                </c:pt>
                <c:pt idx="6">
                  <c:v>37.685624457096452</c:v>
                </c:pt>
                <c:pt idx="7">
                  <c:v>37.498031148891243</c:v>
                </c:pt>
                <c:pt idx="8">
                  <c:v>37.309912541144207</c:v>
                </c:pt>
                <c:pt idx="9">
                  <c:v>37.121289518421101</c:v>
                </c:pt>
                <c:pt idx="10">
                  <c:v>36.932182247143068</c:v>
                </c:pt>
                <c:pt idx="11">
                  <c:v>36.742610190793485</c:v>
                </c:pt>
                <c:pt idx="12">
                  <c:v>36.552592125661349</c:v>
                </c:pt>
                <c:pt idx="13">
                  <c:v>36.362146157021009</c:v>
                </c:pt>
                <c:pt idx="14">
                  <c:v>36.171289735656657</c:v>
                </c:pt>
                <c:pt idx="15">
                  <c:v>35.980039674647344</c:v>
                </c:pt>
                <c:pt idx="16">
                  <c:v>35.788412166334851</c:v>
                </c:pt>
                <c:pt idx="17">
                  <c:v>35.596422799403896</c:v>
                </c:pt>
                <c:pt idx="18">
                  <c:v>35.40408657601057</c:v>
                </c:pt>
                <c:pt idx="19">
                  <c:v>35.211417928900474</c:v>
                </c:pt>
                <c:pt idx="20">
                  <c:v>35.018430738464929</c:v>
                </c:pt>
                <c:pt idx="21">
                  <c:v>34.825138349687208</c:v>
                </c:pt>
                <c:pt idx="22">
                  <c:v>34.631553588938097</c:v>
                </c:pt>
                <c:pt idx="23">
                  <c:v>34.43768878058183</c:v>
                </c:pt>
                <c:pt idx="24">
                  <c:v>34.243555763361996</c:v>
                </c:pt>
                <c:pt idx="25">
                  <c:v>34.049165906535947</c:v>
                </c:pt>
                <c:pt idx="26">
                  <c:v>33.854530125735216</c:v>
                </c:pt>
                <c:pt idx="27">
                  <c:v>33.659658898528974</c:v>
                </c:pt>
                <c:pt idx="28">
                  <c:v>33.46456227967284</c:v>
                </c:pt>
                <c:pt idx="29">
                  <c:v>33.269249916028059</c:v>
                </c:pt>
                <c:pt idx="30">
                  <c:v>33.073731061137998</c:v>
                </c:pt>
                <c:pt idx="31">
                  <c:v>32.878014589452114</c:v>
                </c:pt>
                <c:pt idx="32">
                  <c:v>32.682109010190224</c:v>
                </c:pt>
                <c:pt idx="33">
                  <c:v>32.486022480839793</c:v>
                </c:pt>
                <c:pt idx="34">
                  <c:v>32.289762820284352</c:v>
                </c:pt>
                <c:pt idx="35">
                  <c:v>32.093337521558944</c:v>
                </c:pt>
                <c:pt idx="36">
                  <c:v>31.896753764232901</c:v>
                </c:pt>
                <c:pt idx="37">
                  <c:v>31.700018426420531</c:v>
                </c:pt>
                <c:pt idx="38">
                  <c:v>31.503138096420614</c:v>
                </c:pt>
                <c:pt idx="39">
                  <c:v>31.306119083988957</c:v>
                </c:pt>
                <c:pt idx="40">
                  <c:v>31.108967431246199</c:v>
                </c:pt>
                <c:pt idx="41">
                  <c:v>30.911688923226489</c:v>
                </c:pt>
                <c:pt idx="42">
                  <c:v>30.714289098071937</c:v>
                </c:pt>
                <c:pt idx="43">
                  <c:v>30.516773256878626</c:v>
                </c:pt>
                <c:pt idx="44">
                  <c:v>30.319146473200838</c:v>
                </c:pt>
                <c:pt idx="45">
                  <c:v>30.12141360221985</c:v>
                </c:pt>
                <c:pt idx="46">
                  <c:v>29.923579289584925</c:v>
                </c:pt>
                <c:pt idx="47">
                  <c:v>29.725647979933896</c:v>
                </c:pt>
                <c:pt idx="48">
                  <c:v>29.527623925100649</c:v>
                </c:pt>
                <c:pt idx="49">
                  <c:v>29.329511192018252</c:v>
                </c:pt>
                <c:pt idx="50">
                  <c:v>29.131313670324296</c:v>
                </c:pt>
                <c:pt idx="51">
                  <c:v>28.933035079678639</c:v>
                </c:pt>
                <c:pt idx="52">
                  <c:v>28.734678976799316</c:v>
                </c:pt>
                <c:pt idx="53">
                  <c:v>28.53624876222705</c:v>
                </c:pt>
                <c:pt idx="54">
                  <c:v>28.337747686825111</c:v>
                </c:pt>
                <c:pt idx="55">
                  <c:v>28.139178858022266</c:v>
                </c:pt>
                <c:pt idx="56">
                  <c:v>27.940545245809002</c:v>
                </c:pt>
                <c:pt idx="57">
                  <c:v>27.741849688492177</c:v>
                </c:pt>
                <c:pt idx="58">
                  <c:v>27.543094898218069</c:v>
                </c:pt>
                <c:pt idx="59">
                  <c:v>27.344283466270799</c:v>
                </c:pt>
                <c:pt idx="60">
                  <c:v>27.145417868152979</c:v>
                </c:pt>
                <c:pt idx="61">
                  <c:v>26.94650046845743</c:v>
                </c:pt>
                <c:pt idx="62">
                  <c:v>26.747533525536266</c:v>
                </c:pt>
                <c:pt idx="63">
                  <c:v>26.548519195974194</c:v>
                </c:pt>
                <c:pt idx="64">
                  <c:v>26.349459538873955</c:v>
                </c:pt>
                <c:pt idx="65">
                  <c:v>26.150356519959971</c:v>
                </c:pt>
                <c:pt idx="66">
                  <c:v>25.951212015506471</c:v>
                </c:pt>
                <c:pt idx="67">
                  <c:v>25.752027816097272</c:v>
                </c:pt>
                <c:pt idx="68">
                  <c:v>25.552805630222664</c:v>
                </c:pt>
                <c:pt idx="69">
                  <c:v>25.353547087719832</c:v>
                </c:pt>
                <c:pt idx="70">
                  <c:v>25.154253743062213</c:v>
                </c:pt>
                <c:pt idx="71">
                  <c:v>24.954927078503829</c:v>
                </c:pt>
                <c:pt idx="72">
                  <c:v>24.75556850708368</c:v>
                </c:pt>
                <c:pt idx="73">
                  <c:v>24.556179375495141</c:v>
                </c:pt>
                <c:pt idx="74">
                  <c:v>24.356760966826705</c:v>
                </c:pt>
                <c:pt idx="75">
                  <c:v>24.157314503176828</c:v>
                </c:pt>
                <c:pt idx="76">
                  <c:v>23.95784114814948</c:v>
                </c:pt>
                <c:pt idx="77">
                  <c:v>23.758342009233754</c:v>
                </c:pt>
                <c:pt idx="78">
                  <c:v>23.55881814007234</c:v>
                </c:pt>
                <c:pt idx="79">
                  <c:v>23.359270542622845</c:v>
                </c:pt>
                <c:pt idx="80">
                  <c:v>23.159700169215974</c:v>
                </c:pt>
                <c:pt idx="81">
                  <c:v>22.960107924513935</c:v>
                </c:pt>
                <c:pt idx="82">
                  <c:v>22.760494667373923</c:v>
                </c:pt>
                <c:pt idx="83">
                  <c:v>22.56086121261864</c:v>
                </c:pt>
                <c:pt idx="84">
                  <c:v>22.361208332718068</c:v>
                </c:pt>
                <c:pt idx="85">
                  <c:v>22.161536759386216</c:v>
                </c:pt>
                <c:pt idx="86">
                  <c:v>21.961847185093845</c:v>
                </c:pt>
                <c:pt idx="87">
                  <c:v>21.76214026450274</c:v>
                </c:pt>
                <c:pt idx="88">
                  <c:v>21.562416615821959</c:v>
                </c:pt>
                <c:pt idx="89">
                  <c:v>21.362676822090187</c:v>
                </c:pt>
                <c:pt idx="90">
                  <c:v>21.162921432385907</c:v>
                </c:pt>
                <c:pt idx="91">
                  <c:v>20.963150962967813</c:v>
                </c:pt>
                <c:pt idx="92">
                  <c:v>20.763365898348379</c:v>
                </c:pt>
                <c:pt idx="93">
                  <c:v>20.563566692301013</c:v>
                </c:pt>
                <c:pt idx="94">
                  <c:v>20.36375376880525</c:v>
                </c:pt>
                <c:pt idx="95">
                  <c:v>20.163927522929256</c:v>
                </c:pt>
                <c:pt idx="96">
                  <c:v>19.964088321653279</c:v>
                </c:pt>
                <c:pt idx="97">
                  <c:v>19.764236504634873</c:v>
                </c:pt>
                <c:pt idx="98">
                  <c:v>19.564372384916908</c:v>
                </c:pt>
                <c:pt idx="99">
                  <c:v>19.364496249581322</c:v>
                </c:pt>
                <c:pt idx="100">
                  <c:v>19.164608360348037</c:v>
                </c:pt>
                <c:pt idx="101">
                  <c:v>18.964708954121786</c:v>
                </c:pt>
                <c:pt idx="102">
                  <c:v>18.764798243486915</c:v>
                </c:pt>
                <c:pt idx="103">
                  <c:v>18.564876417151662</c:v>
                </c:pt>
                <c:pt idx="104">
                  <c:v>18.364943640342567</c:v>
                </c:pt>
                <c:pt idx="105">
                  <c:v>18.165000055150099</c:v>
                </c:pt>
                <c:pt idx="106">
                  <c:v>17.965045780825633</c:v>
                </c:pt>
                <c:pt idx="107">
                  <c:v>17.765080914030943</c:v>
                </c:pt>
                <c:pt idx="108">
                  <c:v>17.565105529040668</c:v>
                </c:pt>
                <c:pt idx="109">
                  <c:v>17.365119677897464</c:v>
                </c:pt>
                <c:pt idx="110">
                  <c:v>17.165123390521121</c:v>
                </c:pt>
                <c:pt idx="111">
                  <c:v>16.965116674771281</c:v>
                </c:pt>
                <c:pt idx="112">
                  <c:v>16.765099516463962</c:v>
                </c:pt>
                <c:pt idx="113">
                  <c:v>16.565071879341804</c:v>
                </c:pt>
                <c:pt idx="114">
                  <c:v>16.365033704998627</c:v>
                </c:pt>
                <c:pt idx="115">
                  <c:v>16.164984912757106</c:v>
                </c:pt>
                <c:pt idx="116">
                  <c:v>15.964925399500412</c:v>
                </c:pt>
                <c:pt idx="117">
                  <c:v>15.764855039456339</c:v>
                </c:pt>
                <c:pt idx="118">
                  <c:v>15.564773683934822</c:v>
                </c:pt>
                <c:pt idx="119">
                  <c:v>15.364681161016945</c:v>
                </c:pt>
                <c:pt idx="120">
                  <c:v>15.164577275195905</c:v>
                </c:pt>
                <c:pt idx="121">
                  <c:v>14.964461806968457</c:v>
                </c:pt>
                <c:pt idx="122">
                  <c:v>14.764334512376973</c:v>
                </c:pt>
                <c:pt idx="123">
                  <c:v>14.56419512249936</c:v>
                </c:pt>
                <c:pt idx="124">
                  <c:v>14.364043342888753</c:v>
                </c:pt>
                <c:pt idx="125">
                  <c:v>14.163878852958696</c:v>
                </c:pt>
                <c:pt idx="126">
                  <c:v>13.963701305314453</c:v>
                </c:pt>
                <c:pt idx="127">
                  <c:v>13.763510325029449</c:v>
                </c:pt>
                <c:pt idx="128">
                  <c:v>13.563305508863985</c:v>
                </c:pt>
                <c:pt idx="129">
                  <c:v>13.363086424425216</c:v>
                </c:pt>
                <c:pt idx="130">
                  <c:v>13.162852609267922</c:v>
                </c:pt>
                <c:pt idx="131">
                  <c:v>12.96260356993213</c:v>
                </c:pt>
                <c:pt idx="132">
                  <c:v>12.762338780917998</c:v>
                </c:pt>
                <c:pt idx="133">
                  <c:v>12.562057683593927</c:v>
                </c:pt>
                <c:pt idx="134">
                  <c:v>12.361759685037384</c:v>
                </c:pt>
                <c:pt idx="135">
                  <c:v>12.161444156805278</c:v>
                </c:pt>
                <c:pt idx="136">
                  <c:v>11.961110433631735</c:v>
                </c:pt>
                <c:pt idx="137">
                  <c:v>11.760757812050587</c:v>
                </c:pt>
                <c:pt idx="138">
                  <c:v>11.560385548940877</c:v>
                </c:pt>
                <c:pt idx="139">
                  <c:v>11.35999285999098</c:v>
                </c:pt>
                <c:pt idx="140">
                  <c:v>11.159578918079969</c:v>
                </c:pt>
                <c:pt idx="141">
                  <c:v>10.959142851572112</c:v>
                </c:pt>
                <c:pt idx="142">
                  <c:v>10.7586837425219</c:v>
                </c:pt>
                <c:pt idx="143">
                  <c:v>10.558200624786028</c:v>
                </c:pt>
                <c:pt idx="144">
                  <c:v>10.357692482038892</c:v>
                </c:pt>
                <c:pt idx="145">
                  <c:v>10.15715824568764</c:v>
                </c:pt>
                <c:pt idx="146">
                  <c:v>9.9565967926833636</c:v>
                </c:pt>
                <c:pt idx="147">
                  <c:v>9.7560069432241594</c:v>
                </c:pt>
                <c:pt idx="148">
                  <c:v>9.5553874583462957</c:v>
                </c:pt>
                <c:pt idx="149">
                  <c:v>9.354737037398154</c:v>
                </c:pt>
                <c:pt idx="150">
                  <c:v>9.1540543153939637</c:v>
                </c:pt>
                <c:pt idx="151">
                  <c:v>8.9533378602412643</c:v>
                </c:pt>
                <c:pt idx="152">
                  <c:v>8.7525861698374836</c:v>
                </c:pt>
                <c:pt idx="153">
                  <c:v>8.5517976690321973</c:v>
                </c:pt>
                <c:pt idx="154">
                  <c:v>8.3509707064465122</c:v>
                </c:pt>
                <c:pt idx="155">
                  <c:v>8.1501035511482698</c:v>
                </c:pt>
                <c:pt idx="156">
                  <c:v>7.9491943891736296</c:v>
                </c:pt>
                <c:pt idx="157">
                  <c:v>7.7482413198922586</c:v>
                </c:pt>
                <c:pt idx="158">
                  <c:v>7.5472423522077232</c:v>
                </c:pt>
                <c:pt idx="159">
                  <c:v>7.3461954005894512</c:v>
                </c:pt>
                <c:pt idx="160">
                  <c:v>7.1450982809274333</c:v>
                </c:pt>
                <c:pt idx="161">
                  <c:v>6.9439487062046057</c:v>
                </c:pt>
                <c:pt idx="162">
                  <c:v>6.7427442819803662</c:v>
                </c:pt>
                <c:pt idx="163">
                  <c:v>6.5414825016772138</c:v>
                </c:pt>
                <c:pt idx="164">
                  <c:v>6.3401607416645671</c:v>
                </c:pt>
                <c:pt idx="165">
                  <c:v>6.1387762561322035</c:v>
                </c:pt>
                <c:pt idx="166">
                  <c:v>5.9373261717454682</c:v>
                </c:pt>
                <c:pt idx="167">
                  <c:v>5.7358074820763738</c:v>
                </c:pt>
                <c:pt idx="168">
                  <c:v>5.5342170418001828</c:v>
                </c:pt>
                <c:pt idx="169">
                  <c:v>5.3325515606535321</c:v>
                </c:pt>
                <c:pt idx="170">
                  <c:v>5.1308075971423817</c:v>
                </c:pt>
                <c:pt idx="171">
                  <c:v>4.928981551994994</c:v>
                </c:pt>
                <c:pt idx="172">
                  <c:v>4.7270696613508392</c:v>
                </c:pt>
                <c:pt idx="173">
                  <c:v>4.5250679896765877</c:v>
                </c:pt>
                <c:pt idx="174">
                  <c:v>4.3229724224030939</c:v>
                </c:pt>
                <c:pt idx="175">
                  <c:v>4.1207786582746015</c:v>
                </c:pt>
                <c:pt idx="176">
                  <c:v>3.9184822014020053</c:v>
                </c:pt>
                <c:pt idx="177">
                  <c:v>3.7160783530129331</c:v>
                </c:pt>
                <c:pt idx="178">
                  <c:v>3.5135622028914355</c:v>
                </c:pt>
                <c:pt idx="179">
                  <c:v>3.3109286204997366</c:v>
                </c:pt>
                <c:pt idx="180">
                  <c:v>3.1081722457747238</c:v>
                </c:pt>
                <c:pt idx="181">
                  <c:v>2.9052874795934147</c:v>
                </c:pt>
                <c:pt idx="182">
                  <c:v>2.7022684738999758</c:v>
                </c:pt>
                <c:pt idx="183">
                  <c:v>2.4991091214900623</c:v>
                </c:pt>
                <c:pt idx="184">
                  <c:v>2.2958030454463785</c:v>
                </c:pt>
                <c:pt idx="185">
                  <c:v>2.0923435882212207</c:v>
                </c:pt>
                <c:pt idx="186">
                  <c:v>1.888723800361837</c:v>
                </c:pt>
                <c:pt idx="187">
                  <c:v>1.6849364288778017</c:v>
                </c:pt>
                <c:pt idx="188">
                  <c:v>1.4809739052458424</c:v>
                </c:pt>
                <c:pt idx="189">
                  <c:v>1.2768283330542107</c:v>
                </c:pt>
                <c:pt idx="190">
                  <c:v>1.0724914752853403</c:v>
                </c:pt>
                <c:pt idx="191">
                  <c:v>0.86795474123973049</c:v>
                </c:pt>
                <c:pt idx="192">
                  <c:v>0.66320917310580296</c:v>
                </c:pt>
                <c:pt idx="193">
                  <c:v>0.45824543217925812</c:v>
                </c:pt>
                <c:pt idx="194">
                  <c:v>0.25305378474111467</c:v>
                </c:pt>
                <c:pt idx="195">
                  <c:v>4.7624087604155249E-2</c:v>
                </c:pt>
                <c:pt idx="196">
                  <c:v>-0.1580542266610391</c:v>
                </c:pt>
                <c:pt idx="197">
                  <c:v>-0.3639921648049339</c:v>
                </c:pt>
                <c:pt idx="198">
                  <c:v>-0.57020118826460886</c:v>
                </c:pt>
                <c:pt idx="199">
                  <c:v>-0.77669322879641522</c:v>
                </c:pt>
                <c:pt idx="200">
                  <c:v>-0.98348070435015267</c:v>
                </c:pt>
                <c:pt idx="201">
                  <c:v>-1.1905765351573192</c:v>
                </c:pt>
                <c:pt idx="202">
                  <c:v>-1.3979941600015855</c:v>
                </c:pt>
                <c:pt idx="203">
                  <c:v>-1.6057475526347131</c:v>
                </c:pt>
                <c:pt idx="204">
                  <c:v>-1.8138512382971133</c:v>
                </c:pt>
                <c:pt idx="205">
                  <c:v>-2.0223203102969762</c:v>
                </c:pt>
                <c:pt idx="206">
                  <c:v>-2.2311704465971784</c:v>
                </c:pt>
                <c:pt idx="207">
                  <c:v>-2.4404179263521093</c:v>
                </c:pt>
                <c:pt idx="208">
                  <c:v>-2.6500796463323328</c:v>
                </c:pt>
                <c:pt idx="209">
                  <c:v>-2.8601731371676689</c:v>
                </c:pt>
                <c:pt idx="210">
                  <c:v>-3.0707165793323794</c:v>
                </c:pt>
                <c:pt idx="211">
                  <c:v>-3.2817288187898557</c:v>
                </c:pt>
                <c:pt idx="212">
                  <c:v>-3.4932293822067817</c:v>
                </c:pt>
                <c:pt idx="213">
                  <c:v>-3.7052384916384309</c:v>
                </c:pt>
                <c:pt idx="214">
                  <c:v>-3.9177770785798023</c:v>
                </c:pt>
                <c:pt idx="215">
                  <c:v>-4.1308667972685935</c:v>
                </c:pt>
                <c:pt idx="216">
                  <c:v>-4.3445300371179938</c:v>
                </c:pt>
                <c:pt idx="217">
                  <c:v>-4.5587899341489901</c:v>
                </c:pt>
                <c:pt idx="218">
                  <c:v>-4.7736703812825692</c:v>
                </c:pt>
                <c:pt idx="219">
                  <c:v>-4.9891960373449384</c:v>
                </c:pt>
                <c:pt idx="220">
                  <c:v>-5.2053923346292983</c:v>
                </c:pt>
                <c:pt idx="221">
                  <c:v>-5.42228548485022</c:v>
                </c:pt>
                <c:pt idx="222">
                  <c:v>-5.6399024833178064</c:v>
                </c:pt>
                <c:pt idx="223">
                  <c:v>-5.8582711111526029</c:v>
                </c:pt>
                <c:pt idx="224">
                  <c:v>-6.0774199353530056</c:v>
                </c:pt>
                <c:pt idx="225">
                  <c:v>-6.2973783065227629</c:v>
                </c:pt>
                <c:pt idx="226">
                  <c:v>-6.5181763540593805</c:v>
                </c:pt>
                <c:pt idx="227">
                  <c:v>-6.7398449785981454</c:v>
                </c:pt>
                <c:pt idx="228">
                  <c:v>-6.9624158415067043</c:v>
                </c:pt>
                <c:pt idx="229">
                  <c:v>-7.1859213512199158</c:v>
                </c:pt>
                <c:pt idx="230">
                  <c:v>-7.410394646203958</c:v>
                </c:pt>
                <c:pt idx="231">
                  <c:v>-7.6358695743431459</c:v>
                </c:pt>
                <c:pt idx="232">
                  <c:v>-7.8623806685419133</c:v>
                </c:pt>
                <c:pt idx="233">
                  <c:v>-8.0899631183434995</c:v>
                </c:pt>
                <c:pt idx="234">
                  <c:v>-8.3186527373717851</c:v>
                </c:pt>
                <c:pt idx="235">
                  <c:v>-8.5484859264148501</c:v>
                </c:pt>
                <c:pt idx="236">
                  <c:v>-8.7794996319819312</c:v>
                </c:pt>
                <c:pt idx="237">
                  <c:v>-9.0117313001803865</c:v>
                </c:pt>
                <c:pt idx="238">
                  <c:v>-9.2452188257805954</c:v>
                </c:pt>
                <c:pt idx="239">
                  <c:v>-9.4800004963571816</c:v>
                </c:pt>
                <c:pt idx="240">
                  <c:v>-9.7161149314227586</c:v>
                </c:pt>
                <c:pt idx="241">
                  <c:v>-9.9536010164989985</c:v>
                </c:pt>
                <c:pt idx="242">
                  <c:v>-10.192497832102191</c:v>
                </c:pt>
                <c:pt idx="243">
                  <c:v>-10.432844577657718</c:v>
                </c:pt>
                <c:pt idx="244">
                  <c:v>-10.67468049039633</c:v>
                </c:pt>
                <c:pt idx="245">
                  <c:v>-10.918044759328547</c:v>
                </c:pt>
                <c:pt idx="246">
                  <c:v>-11.162976434437917</c:v>
                </c:pt>
                <c:pt idx="247">
                  <c:v>-11.409514331282187</c:v>
                </c:pt>
                <c:pt idx="248">
                  <c:v>-11.65769693124145</c:v>
                </c:pt>
                <c:pt idx="249">
                  <c:v>-11.907562277703896</c:v>
                </c:pt>
                <c:pt idx="250">
                  <c:v>-12.159147868531122</c:v>
                </c:pt>
                <c:pt idx="251">
                  <c:v>-12.412490545200088</c:v>
                </c:pt>
                <c:pt idx="252">
                  <c:v>-12.667626379068469</c:v>
                </c:pt>
                <c:pt idx="253">
                  <c:v>-12.924590555264338</c:v>
                </c:pt>
                <c:pt idx="254">
                  <c:v>-13.183417254747754</c:v>
                </c:pt>
                <c:pt idx="255">
                  <c:v>-13.444139535141289</c:v>
                </c:pt>
                <c:pt idx="256">
                  <c:v>-13.70678921096559</c:v>
                </c:pt>
                <c:pt idx="257">
                  <c:v>-13.971396733958187</c:v>
                </c:pt>
                <c:pt idx="258">
                  <c:v>-14.237991074183389</c:v>
                </c:pt>
                <c:pt idx="259">
                  <c:v>-14.506599602667016</c:v>
                </c:pt>
                <c:pt idx="260">
                  <c:v>-14.777247976312344</c:v>
                </c:pt>
                <c:pt idx="261">
                  <c:v>-15.049960025858946</c:v>
                </c:pt>
                <c:pt idx="262">
                  <c:v>-15.324757647653559</c:v>
                </c:pt>
                <c:pt idx="263">
                  <c:v>-15.601660699992429</c:v>
                </c:pt>
                <c:pt idx="264">
                  <c:v>-15.880686904779509</c:v>
                </c:pt>
                <c:pt idx="265">
                  <c:v>-16.161851755219661</c:v>
                </c:pt>
                <c:pt idx="266">
                  <c:v>-16.445168430230709</c:v>
                </c:pt>
                <c:pt idx="267">
                  <c:v>-16.730647716212633</c:v>
                </c:pt>
                <c:pt idx="268">
                  <c:v>-17.018297936760572</c:v>
                </c:pt>
                <c:pt idx="269">
                  <c:v>-17.308124890844425</c:v>
                </c:pt>
                <c:pt idx="270">
                  <c:v>-17.600131799909452</c:v>
                </c:pt>
                <c:pt idx="271">
                  <c:v>-17.894319264275381</c:v>
                </c:pt>
                <c:pt idx="272">
                  <c:v>-18.190685229127187</c:v>
                </c:pt>
                <c:pt idx="273">
                  <c:v>-18.489224960308533</c:v>
                </c:pt>
                <c:pt idx="274">
                  <c:v>-18.789931030033312</c:v>
                </c:pt>
                <c:pt idx="275">
                  <c:v>-19.092793312541406</c:v>
                </c:pt>
                <c:pt idx="276">
                  <c:v>-19.397798989633333</c:v>
                </c:pt>
                <c:pt idx="277">
                  <c:v>-19.704932565923045</c:v>
                </c:pt>
                <c:pt idx="278">
                  <c:v>-20.014175893563028</c:v>
                </c:pt>
                <c:pt idx="279">
                  <c:v>-20.325508206107529</c:v>
                </c:pt>
                <c:pt idx="280">
                  <c:v>-20.638906161100429</c:v>
                </c:pt>
                <c:pt idx="281">
                  <c:v>-20.954343890900176</c:v>
                </c:pt>
                <c:pt idx="282">
                  <c:v>-21.271793061185615</c:v>
                </c:pt>
                <c:pt idx="283">
                  <c:v>-21.591222936529938</c:v>
                </c:pt>
                <c:pt idx="284">
                  <c:v>-21.91260045237723</c:v>
                </c:pt>
                <c:pt idx="285">
                  <c:v>-22.235890292717265</c:v>
                </c:pt>
                <c:pt idx="286">
                  <c:v>-22.561054972721131</c:v>
                </c:pt>
                <c:pt idx="287">
                  <c:v>-22.888054925580196</c:v>
                </c:pt>
                <c:pt idx="288">
                  <c:v>-23.216848592778192</c:v>
                </c:pt>
                <c:pt idx="289">
                  <c:v>-23.547392517023766</c:v>
                </c:pt>
                <c:pt idx="290">
                  <c:v>-23.87964143707898</c:v>
                </c:pt>
                <c:pt idx="291">
                  <c:v>-24.213548383732913</c:v>
                </c:pt>
                <c:pt idx="292">
                  <c:v>-24.549064776194175</c:v>
                </c:pt>
                <c:pt idx="293">
                  <c:v>-24.886140518207114</c:v>
                </c:pt>
                <c:pt idx="294">
                  <c:v>-25.224724093232211</c:v>
                </c:pt>
                <c:pt idx="295">
                  <c:v>-25.564762658076312</c:v>
                </c:pt>
                <c:pt idx="296">
                  <c:v>-25.906202134403685</c:v>
                </c:pt>
                <c:pt idx="297">
                  <c:v>-26.248987297611958</c:v>
                </c:pt>
                <c:pt idx="298">
                  <c:v>-26.59306186261059</c:v>
                </c:pt>
                <c:pt idx="299">
                  <c:v>-26.938368566096329</c:v>
                </c:pt>
                <c:pt idx="300">
                  <c:v>-27.284849244977721</c:v>
                </c:pt>
                <c:pt idx="301">
                  <c:v>-27.632444910659409</c:v>
                </c:pt>
                <c:pt idx="302">
                  <c:v>-27.981095818954614</c:v>
                </c:pt>
                <c:pt idx="303">
                  <c:v>-28.330741535451423</c:v>
                </c:pt>
                <c:pt idx="304">
                  <c:v>-28.681320996215458</c:v>
                </c:pt>
                <c:pt idx="305">
                  <c:v>-29.03277256376365</c:v>
                </c:pt>
                <c:pt idx="306">
                  <c:v>-29.385034078298116</c:v>
                </c:pt>
                <c:pt idx="307">
                  <c:v>-29.738042904235936</c:v>
                </c:pt>
                <c:pt idx="308">
                  <c:v>-30.091735972118954</c:v>
                </c:pt>
                <c:pt idx="309">
                  <c:v>-30.446049816029603</c:v>
                </c:pt>
                <c:pt idx="310">
                  <c:v>-30.800920606679668</c:v>
                </c:pt>
                <c:pt idx="311">
                  <c:v>-31.156284180376414</c:v>
                </c:pt>
                <c:pt idx="312">
                  <c:v>-31.512076064102082</c:v>
                </c:pt>
                <c:pt idx="313">
                  <c:v>-31.868231496976001</c:v>
                </c:pt>
                <c:pt idx="314">
                  <c:v>-32.224685448391782</c:v>
                </c:pt>
                <c:pt idx="315">
                  <c:v>-32.58137263315097</c:v>
                </c:pt>
                <c:pt idx="316">
                  <c:v>-32.938227523929754</c:v>
                </c:pt>
                <c:pt idx="317">
                  <c:v>-33.295184361437066</c:v>
                </c:pt>
                <c:pt idx="318">
                  <c:v>-33.652177162634779</c:v>
                </c:pt>
                <c:pt idx="319">
                  <c:v>-34.00913972740377</c:v>
                </c:pt>
                <c:pt idx="320">
                  <c:v>-34.366005644047306</c:v>
                </c:pt>
                <c:pt idx="321">
                  <c:v>-34.722708294029701</c:v>
                </c:pt>
                <c:pt idx="322">
                  <c:v>-35.079180856351996</c:v>
                </c:pt>
                <c:pt idx="323">
                  <c:v>-35.435356311965961</c:v>
                </c:pt>
                <c:pt idx="324">
                  <c:v>-35.791167448627398</c:v>
                </c:pt>
                <c:pt idx="325">
                  <c:v>-36.146546866580763</c:v>
                </c:pt>
                <c:pt idx="326">
                  <c:v>-36.501426985464903</c:v>
                </c:pt>
                <c:pt idx="327">
                  <c:v>-36.855740052815314</c:v>
                </c:pt>
                <c:pt idx="328">
                  <c:v>-37.209418154525757</c:v>
                </c:pt>
                <c:pt idx="329">
                  <c:v>-37.562393227617854</c:v>
                </c:pt>
                <c:pt idx="330">
                  <c:v>-37.914597075643371</c:v>
                </c:pt>
                <c:pt idx="331">
                  <c:v>-38.265961387028469</c:v>
                </c:pt>
                <c:pt idx="332">
                  <c:v>-38.616417756636551</c:v>
                </c:pt>
                <c:pt idx="333">
                  <c:v>-38.965897710804072</c:v>
                </c:pt>
                <c:pt idx="334">
                  <c:v>-39.314332736066945</c:v>
                </c:pt>
                <c:pt idx="335">
                  <c:v>-39.661654311764636</c:v>
                </c:pt>
                <c:pt idx="336">
                  <c:v>-40.007793946666624</c:v>
                </c:pt>
                <c:pt idx="337">
                  <c:v>-40.352683219730679</c:v>
                </c:pt>
                <c:pt idx="338">
                  <c:v>-40.696253825051883</c:v>
                </c:pt>
                <c:pt idx="339">
                  <c:v>-41.03843762102008</c:v>
                </c:pt>
                <c:pt idx="340">
                  <c:v>-41.379166683651761</c:v>
                </c:pt>
                <c:pt idx="341">
                  <c:v>-41.718373364012571</c:v>
                </c:pt>
                <c:pt idx="342">
                  <c:v>-42.055990349592129</c:v>
                </c:pt>
                <c:pt idx="343">
                  <c:v>-42.391950729440552</c:v>
                </c:pt>
                <c:pt idx="344">
                  <c:v>-42.726188062820576</c:v>
                </c:pt>
                <c:pt idx="345">
                  <c:v>-43.058636451073852</c:v>
                </c:pt>
                <c:pt idx="346">
                  <c:v>-43.389230612347582</c:v>
                </c:pt>
                <c:pt idx="347">
                  <c:v>-43.717905958771155</c:v>
                </c:pt>
                <c:pt idx="348">
                  <c:v>-44.044598675627824</c:v>
                </c:pt>
                <c:pt idx="349">
                  <c:v>-44.369245802012756</c:v>
                </c:pt>
                <c:pt idx="350">
                  <c:v>-44.691785312429815</c:v>
                </c:pt>
                <c:pt idx="351">
                  <c:v>-45.012156198738083</c:v>
                </c:pt>
                <c:pt idx="352">
                  <c:v>-45.330298551828491</c:v>
                </c:pt>
                <c:pt idx="353">
                  <c:v>-45.646153642382608</c:v>
                </c:pt>
                <c:pt idx="354">
                  <c:v>-45.959664000048875</c:v>
                </c:pt>
                <c:pt idx="355">
                  <c:v>-46.270773490358685</c:v>
                </c:pt>
                <c:pt idx="356">
                  <c:v>-46.57942738870539</c:v>
                </c:pt>
                <c:pt idx="357">
                  <c:v>-46.885572450715209</c:v>
                </c:pt>
                <c:pt idx="358">
                  <c:v>-47.189156978356557</c:v>
                </c:pt>
                <c:pt idx="359">
                  <c:v>-47.490130881161662</c:v>
                </c:pt>
                <c:pt idx="360">
                  <c:v>-47.788445731972018</c:v>
                </c:pt>
                <c:pt idx="361">
                  <c:v>-48.084054816665059</c:v>
                </c:pt>
                <c:pt idx="362">
                  <c:v>-48.376913177376323</c:v>
                </c:pt>
                <c:pt idx="363">
                  <c:v>-48.666977648798081</c:v>
                </c:pt>
                <c:pt idx="364">
                  <c:v>-48.954206887205501</c:v>
                </c:pt>
                <c:pt idx="365">
                  <c:v>-49.238561391946753</c:v>
                </c:pt>
                <c:pt idx="366">
                  <c:v>-49.520003519216587</c:v>
                </c:pt>
                <c:pt idx="367">
                  <c:v>-49.798497488026392</c:v>
                </c:pt>
                <c:pt idx="368">
                  <c:v>-50.074009378380211</c:v>
                </c:pt>
                <c:pt idx="369">
                  <c:v>-50.346507121760865</c:v>
                </c:pt>
                <c:pt idx="370">
                  <c:v>-50.61596048413076</c:v>
                </c:pt>
                <c:pt idx="371">
                  <c:v>-50.882341041747232</c:v>
                </c:pt>
                <c:pt idx="372">
                  <c:v>-51.145622150187968</c:v>
                </c:pt>
                <c:pt idx="373">
                  <c:v>-51.405778907068481</c:v>
                </c:pt>
                <c:pt idx="374">
                  <c:v>-51.662788109021598</c:v>
                </c:pt>
                <c:pt idx="375">
                  <c:v>-51.916628203581794</c:v>
                </c:pt>
                <c:pt idx="376">
                  <c:v>-52.167279236688515</c:v>
                </c:pt>
                <c:pt idx="377">
                  <c:v>-52.414722796577081</c:v>
                </c:pt>
                <c:pt idx="378">
                  <c:v>-52.658941954876333</c:v>
                </c:pt>
                <c:pt idx="379">
                  <c:v>-52.899921205768706</c:v>
                </c:pt>
                <c:pt idx="380">
                  <c:v>-53.137646404086667</c:v>
                </c:pt>
                <c:pt idx="381">
                  <c:v>-53.372104703238875</c:v>
                </c:pt>
                <c:pt idx="382">
                  <c:v>-53.603284493851511</c:v>
                </c:pt>
                <c:pt idx="383">
                  <c:v>-53.831175343999206</c:v>
                </c:pt>
                <c:pt idx="384">
                  <c:v>-54.055767941872183</c:v>
                </c:pt>
                <c:pt idx="385">
                  <c:v>-54.277054041688508</c:v>
                </c:pt>
                <c:pt idx="386">
                  <c:v>-54.495026413609004</c:v>
                </c:pt>
                <c:pt idx="387">
                  <c:v>-54.709678798351995</c:v>
                </c:pt>
                <c:pt idx="388">
                  <c:v>-54.921005867134333</c:v>
                </c:pt>
                <c:pt idx="389">
                  <c:v>-55.129003187485296</c:v>
                </c:pt>
                <c:pt idx="390">
                  <c:v>-55.333667195391598</c:v>
                </c:pt>
                <c:pt idx="391">
                  <c:v>-55.53499517414113</c:v>
                </c:pt>
                <c:pt idx="392">
                  <c:v>-55.732985240128237</c:v>
                </c:pt>
                <c:pt idx="393">
                  <c:v>-55.927636335788911</c:v>
                </c:pt>
                <c:pt idx="394">
                  <c:v>-56.118948229719798</c:v>
                </c:pt>
                <c:pt idx="395">
                  <c:v>-56.306921523938122</c:v>
                </c:pt>
                <c:pt idx="396">
                  <c:v>-56.491557668127058</c:v>
                </c:pt>
                <c:pt idx="397">
                  <c:v>-56.672858980612808</c:v>
                </c:pt>
                <c:pt idx="398">
                  <c:v>-56.850828675716585</c:v>
                </c:pt>
                <c:pt idx="399">
                  <c:v>-57.025470897032626</c:v>
                </c:pt>
                <c:pt idx="400">
                  <c:v>-57.196790756091701</c:v>
                </c:pt>
                <c:pt idx="401">
                  <c:v>-57.364794375791</c:v>
                </c:pt>
                <c:pt idx="402">
                  <c:v>-57.529488937897412</c:v>
                </c:pt>
                <c:pt idx="403">
                  <c:v>-57.69088273386734</c:v>
                </c:pt>
                <c:pt idx="404">
                  <c:v>-57.848985218176345</c:v>
                </c:pt>
                <c:pt idx="405">
                  <c:v>-58.00380706330845</c:v>
                </c:pt>
                <c:pt idx="406">
                  <c:v>-58.15536021552834</c:v>
                </c:pt>
                <c:pt idx="407">
                  <c:v>-58.303657950539609</c:v>
                </c:pt>
                <c:pt idx="408">
                  <c:v>-58.448714928133505</c:v>
                </c:pt>
                <c:pt idx="409">
                  <c:v>-58.5905472449369</c:v>
                </c:pt>
                <c:pt idx="410">
                  <c:v>-58.729172484392258</c:v>
                </c:pt>
                <c:pt idx="411">
                  <c:v>-58.864609763135576</c:v>
                </c:pt>
                <c:pt idx="412">
                  <c:v>-58.996879772984585</c:v>
                </c:pt>
                <c:pt idx="413">
                  <c:v>-59.126004817803249</c:v>
                </c:pt>
                <c:pt idx="414">
                  <c:v>-59.252008844579514</c:v>
                </c:pt>
                <c:pt idx="415">
                  <c:v>-59.374917468123904</c:v>
                </c:pt>
                <c:pt idx="416">
                  <c:v>-59.494757988883421</c:v>
                </c:pt>
                <c:pt idx="417">
                  <c:v>-59.611559403450023</c:v>
                </c:pt>
                <c:pt idx="418">
                  <c:v>-59.725352407442273</c:v>
                </c:pt>
                <c:pt idx="419">
                  <c:v>-59.836169390529847</c:v>
                </c:pt>
                <c:pt idx="420">
                  <c:v>-59.944044423472455</c:v>
                </c:pt>
                <c:pt idx="421">
                  <c:v>-60.049013237143186</c:v>
                </c:pt>
                <c:pt idx="422">
                  <c:v>-60.151113193600132</c:v>
                </c:pt>
                <c:pt idx="423">
                  <c:v>-60.250383249367985</c:v>
                </c:pt>
                <c:pt idx="424">
                  <c:v>-60.34686391117485</c:v>
                </c:pt>
                <c:pt idx="425">
                  <c:v>-60.4405971844783</c:v>
                </c:pt>
                <c:pt idx="426">
                  <c:v>-60.531626515187099</c:v>
                </c:pt>
                <c:pt idx="427">
                  <c:v>-60.619996725053859</c:v>
                </c:pt>
                <c:pt idx="428">
                  <c:v>-60.705753941275319</c:v>
                </c:pt>
                <c:pt idx="429">
                  <c:v>-60.788945520885932</c:v>
                </c:pt>
                <c:pt idx="430">
                  <c:v>-60.869619970570668</c:v>
                </c:pt>
                <c:pt idx="431">
                  <c:v>-60.94782686255617</c:v>
                </c:pt>
                <c:pt idx="432">
                  <c:v>-61.023616747258025</c:v>
                </c:pt>
                <c:pt idx="433">
                  <c:v>-61.097041063376338</c:v>
                </c:pt>
                <c:pt idx="434">
                  <c:v>-61.168152046131581</c:v>
                </c:pt>
                <c:pt idx="435">
                  <c:v>-61.237002634328761</c:v>
                </c:pt>
                <c:pt idx="436">
                  <c:v>-61.30364637692238</c:v>
                </c:pt>
                <c:pt idx="437">
                  <c:v>-61.368137339733657</c:v>
                </c:pt>
                <c:pt idx="438">
                  <c:v>-61.430530012942739</c:v>
                </c:pt>
                <c:pt idx="439">
                  <c:v>-61.490879219945363</c:v>
                </c:pt>
                <c:pt idx="440">
                  <c:v>-61.549240028125034</c:v>
                </c:pt>
                <c:pt idx="441">
                  <c:v>-61.605667662048361</c:v>
                </c:pt>
                <c:pt idx="442">
                  <c:v>-61.660217419546854</c:v>
                </c:pt>
                <c:pt idx="443">
                  <c:v>-61.712944591100978</c:v>
                </c:pt>
                <c:pt idx="444">
                  <c:v>-61.763904382892065</c:v>
                </c:pt>
                <c:pt idx="445">
                  <c:v>-61.813151843841048</c:v>
                </c:pt>
                <c:pt idx="446">
                  <c:v>-61.86074179690182</c:v>
                </c:pt>
                <c:pt idx="447">
                  <c:v>-61.906728774829922</c:v>
                </c:pt>
                <c:pt idx="448">
                  <c:v>-61.951166960600482</c:v>
                </c:pt>
                <c:pt idx="449">
                  <c:v>-61.994110132605286</c:v>
                </c:pt>
                <c:pt idx="450">
                  <c:v>-62.035611614715123</c:v>
                </c:pt>
                <c:pt idx="451">
                  <c:v>-62.075724231254945</c:v>
                </c:pt>
                <c:pt idx="452">
                  <c:v>-62.114500266902333</c:v>
                </c:pt>
                <c:pt idx="453">
                  <c:v>-62.15199143148547</c:v>
                </c:pt>
                <c:pt idx="454">
                  <c:v>-62.1882488296269</c:v>
                </c:pt>
                <c:pt idx="455">
                  <c:v>-62.223322935151813</c:v>
                </c:pt>
                <c:pt idx="456">
                  <c:v>-62.25726357015408</c:v>
                </c:pt>
                <c:pt idx="457">
                  <c:v>-62.29011988859434</c:v>
                </c:pt>
                <c:pt idx="458">
                  <c:v>-62.321940364284814</c:v>
                </c:pt>
                <c:pt idx="459">
                  <c:v>-62.352772783100079</c:v>
                </c:pt>
                <c:pt idx="460">
                  <c:v>-62.382664239242402</c:v>
                </c:pt>
                <c:pt idx="461">
                  <c:v>-62.411661135377756</c:v>
                </c:pt>
                <c:pt idx="462">
                  <c:v>-62.439809186453992</c:v>
                </c:pt>
                <c:pt idx="463">
                  <c:v>-62.467153427004035</c:v>
                </c:pt>
                <c:pt idx="464">
                  <c:v>-62.493738221735597</c:v>
                </c:pt>
                <c:pt idx="465">
                  <c:v>-62.519607279207733</c:v>
                </c:pt>
                <c:pt idx="466">
                  <c:v>-62.544803668390983</c:v>
                </c:pt>
                <c:pt idx="467">
                  <c:v>-62.56936983791234</c:v>
                </c:pt>
                <c:pt idx="468">
                  <c:v>-62.593347637786927</c:v>
                </c:pt>
                <c:pt idx="469">
                  <c:v>-62.616778343439201</c:v>
                </c:pt>
                <c:pt idx="470">
                  <c:v>-62.639702681824893</c:v>
                </c:pt>
                <c:pt idx="471">
                  <c:v>-62.662160859463825</c:v>
                </c:pt>
                <c:pt idx="472">
                  <c:v>-62.68419259220029</c:v>
                </c:pt>
                <c:pt idx="473">
                  <c:v>-62.705837136514369</c:v>
                </c:pt>
                <c:pt idx="474">
                  <c:v>-62.727133322208729</c:v>
                </c:pt>
                <c:pt idx="475">
                  <c:v>-62.748119586301868</c:v>
                </c:pt>
                <c:pt idx="476">
                  <c:v>-62.768834007964003</c:v>
                </c:pt>
                <c:pt idx="477">
                  <c:v>-62.789314344334144</c:v>
                </c:pt>
                <c:pt idx="478">
                  <c:v>-62.809598067061991</c:v>
                </c:pt>
                <c:pt idx="479">
                  <c:v>-62.829722399421392</c:v>
                </c:pt>
                <c:pt idx="480">
                  <c:v>-62.849724353845545</c:v>
                </c:pt>
                <c:pt idx="481">
                  <c:v>-62.86964076973571</c:v>
                </c:pt>
                <c:pt idx="482">
                  <c:v>-62.889508351396053</c:v>
                </c:pt>
                <c:pt idx="483">
                  <c:v>-62.909363705951861</c:v>
                </c:pt>
                <c:pt idx="484">
                  <c:v>-62.929243381105195</c:v>
                </c:pt>
                <c:pt idx="485">
                  <c:v>-62.949183902583684</c:v>
                </c:pt>
                <c:pt idx="486">
                  <c:v>-62.969221811136968</c:v>
                </c:pt>
                <c:pt idx="487">
                  <c:v>-62.989393698934542</c:v>
                </c:pt>
                <c:pt idx="488">
                  <c:v>-63.009736245216203</c:v>
                </c:pt>
                <c:pt idx="489">
                  <c:v>-63.030286251042895</c:v>
                </c:pt>
                <c:pt idx="490">
                  <c:v>-63.051080672993997</c:v>
                </c:pt>
                <c:pt idx="491">
                  <c:v>-63.072156655653956</c:v>
                </c:pt>
                <c:pt idx="492">
                  <c:v>-63.093551562723114</c:v>
                </c:pt>
                <c:pt idx="493">
                  <c:v>-63.11530300658977</c:v>
                </c:pt>
                <c:pt idx="494">
                  <c:v>-63.137448876188756</c:v>
                </c:pt>
                <c:pt idx="495">
                  <c:v>-63.160027362972791</c:v>
                </c:pt>
                <c:pt idx="496">
                  <c:v>-63.183076984813702</c:v>
                </c:pt>
                <c:pt idx="497">
                  <c:v>-63.206636607648662</c:v>
                </c:pt>
                <c:pt idx="498">
                  <c:v>-63.230745464680503</c:v>
                </c:pt>
                <c:pt idx="499">
                  <c:v>-63.25544317293668</c:v>
                </c:pt>
                <c:pt idx="500">
                  <c:v>-63.280769746988945</c:v>
                </c:pt>
                <c:pt idx="501">
                  <c:v>-63.30676560963208</c:v>
                </c:pt>
                <c:pt idx="502">
                  <c:v>-63.333471599317065</c:v>
                </c:pt>
                <c:pt idx="503">
                  <c:v>-63.360928974134353</c:v>
                </c:pt>
                <c:pt idx="504">
                  <c:v>-63.389179412143015</c:v>
                </c:pt>
                <c:pt idx="505">
                  <c:v>-63.418265007841654</c:v>
                </c:pt>
                <c:pt idx="506">
                  <c:v>-63.44822826458276</c:v>
                </c:pt>
                <c:pt idx="507">
                  <c:v>-63.479112082736542</c:v>
                </c:pt>
                <c:pt idx="508">
                  <c:v>-63.510959743417146</c:v>
                </c:pt>
                <c:pt idx="509">
                  <c:v>-63.543814887595929</c:v>
                </c:pt>
                <c:pt idx="510">
                  <c:v>-63.577721490437938</c:v>
                </c:pt>
                <c:pt idx="511">
                  <c:v>-63.612723830713989</c:v>
                </c:pt>
                <c:pt idx="512">
                  <c:v>-63.648866455157489</c:v>
                </c:pt>
                <c:pt idx="513">
                  <c:v>-63.686194137661083</c:v>
                </c:pt>
                <c:pt idx="514">
                  <c:v>-63.724751833226499</c:v>
                </c:pt>
                <c:pt idx="515">
                  <c:v>-63.764584626615964</c:v>
                </c:pt>
                <c:pt idx="516">
                  <c:v>-63.805737675680717</c:v>
                </c:pt>
                <c:pt idx="517">
                  <c:v>-63.848256149378237</c:v>
                </c:pt>
                <c:pt idx="518">
                  <c:v>-63.892185160530026</c:v>
                </c:pt>
                <c:pt idx="519">
                  <c:v>-63.93756969340896</c:v>
                </c:pt>
                <c:pt idx="520">
                  <c:v>-63.984454526294421</c:v>
                </c:pt>
                <c:pt idx="521">
                  <c:v>-64.032884149176624</c:v>
                </c:pt>
                <c:pt idx="522">
                  <c:v>-64.082902676841911</c:v>
                </c:pt>
                <c:pt idx="523">
                  <c:v>-64.134553757622527</c:v>
                </c:pt>
                <c:pt idx="524">
                  <c:v>-64.187880478145388</c:v>
                </c:pt>
                <c:pt idx="525">
                  <c:v>-64.2429252644678</c:v>
                </c:pt>
                <c:pt idx="526">
                  <c:v>-64.299729780040536</c:v>
                </c:pt>
                <c:pt idx="527">
                  <c:v>-64.358334820991544</c:v>
                </c:pt>
                <c:pt idx="528">
                  <c:v>-64.418780209272313</c:v>
                </c:pt>
                <c:pt idx="529">
                  <c:v>-64.481104684259321</c:v>
                </c:pt>
                <c:pt idx="530">
                  <c:v>-64.545345793444454</c:v>
                </c:pt>
                <c:pt idx="531">
                  <c:v>-64.611539782891953</c:v>
                </c:pt>
                <c:pt idx="532">
                  <c:v>-64.679721488171097</c:v>
                </c:pt>
                <c:pt idx="533">
                  <c:v>-64.749924226507034</c:v>
                </c:pt>
                <c:pt idx="534">
                  <c:v>-64.822179690909351</c:v>
                </c:pt>
                <c:pt idx="535">
                  <c:v>-64.896517847058064</c:v>
                </c:pt>
                <c:pt idx="536">
                  <c:v>-64.97296683372825</c:v>
                </c:pt>
                <c:pt idx="537">
                  <c:v>-65.051552867535321</c:v>
                </c:pt>
                <c:pt idx="538">
                  <c:v>-65.132300152769517</c:v>
                </c:pt>
                <c:pt idx="539">
                  <c:v>-65.215230797067164</c:v>
                </c:pt>
                <c:pt idx="540">
                  <c:v>-65.300364733635831</c:v>
                </c:pt>
                <c:pt idx="541">
                  <c:v>-65.387719650709869</c:v>
                </c:pt>
              </c:numCache>
            </c:numRef>
          </c:yVal>
          <c:smooth val="1"/>
          <c:extLst>
            <c:ext xmlns:c16="http://schemas.microsoft.com/office/drawing/2014/chart" uri="{C3380CC4-5D6E-409C-BE32-E72D297353CC}">
              <c16:uniqueId val="{00000000-FE68-4EBF-AB11-4BE4FC08AB2C}"/>
            </c:ext>
          </c:extLst>
        </c:ser>
        <c:dLbls>
          <c:showLegendKey val="0"/>
          <c:showVal val="0"/>
          <c:showCatName val="0"/>
          <c:showSerName val="0"/>
          <c:showPercent val="0"/>
          <c:showBubbleSize val="0"/>
        </c:dLbls>
        <c:axId val="385819776"/>
        <c:axId val="385821696"/>
      </c:scatterChart>
      <c:scatterChart>
        <c:scatterStyle val="smoothMarker"/>
        <c:varyColors val="0"/>
        <c:ser>
          <c:idx val="1"/>
          <c:order val="1"/>
          <c:tx>
            <c:v>Phase (deg)</c:v>
          </c:tx>
          <c:marker>
            <c:symbol val="none"/>
          </c:marker>
          <c:xVal>
            <c:numRef>
              <c:f>CCM_Loop_Modeling_non_isolated!$O$19:$O$560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CCM_Loop_Modeling_non_isolated!$AE$19:$AE$560</c:f>
              <c:numCache>
                <c:formatCode>General</c:formatCode>
                <c:ptCount val="542"/>
                <c:pt idx="0">
                  <c:v>-73.487773699064746</c:v>
                </c:pt>
                <c:pt idx="1">
                  <c:v>-73.848835783167985</c:v>
                </c:pt>
                <c:pt idx="2">
                  <c:v>-74.203074380075904</c:v>
                </c:pt>
                <c:pt idx="3">
                  <c:v>-74.55057150763146</c:v>
                </c:pt>
                <c:pt idx="4">
                  <c:v>-74.891411638486929</c:v>
                </c:pt>
                <c:pt idx="5">
                  <c:v>-75.225681442183173</c:v>
                </c:pt>
                <c:pt idx="6">
                  <c:v>-75.55346953944948</c:v>
                </c:pt>
                <c:pt idx="7">
                  <c:v>-75.874866268628168</c:v>
                </c:pt>
                <c:pt idx="8">
                  <c:v>-76.189963464078346</c:v>
                </c:pt>
                <c:pt idx="9">
                  <c:v>-76.49885424636507</c:v>
                </c:pt>
                <c:pt idx="10">
                  <c:v>-76.801632824002169</c:v>
                </c:pt>
                <c:pt idx="11">
                  <c:v>-77.098394306484408</c:v>
                </c:pt>
                <c:pt idx="12">
                  <c:v>-77.389234528313878</c:v>
                </c:pt>
                <c:pt idx="13">
                  <c:v>-77.674249883705485</c:v>
                </c:pt>
                <c:pt idx="14">
                  <c:v>-77.95353717163394</c:v>
                </c:pt>
                <c:pt idx="15">
                  <c:v>-78.227193450875006</c:v>
                </c:pt>
                <c:pt idx="16">
                  <c:v>-78.495315904677213</c:v>
                </c:pt>
                <c:pt idx="17">
                  <c:v>-78.758001714697585</c:v>
                </c:pt>
                <c:pt idx="18">
                  <c:v>-79.015347943827592</c:v>
                </c:pt>
                <c:pt idx="19">
                  <c:v>-79.267451427534695</c:v>
                </c:pt>
                <c:pt idx="20">
                  <c:v>-79.514408673344846</c:v>
                </c:pt>
                <c:pt idx="21">
                  <c:v>-79.756315768094481</c:v>
                </c:pt>
                <c:pt idx="22">
                  <c:v>-79.993268292583551</c:v>
                </c:pt>
                <c:pt idx="23">
                  <c:v>-80.225361243269631</c:v>
                </c:pt>
                <c:pt idx="24">
                  <c:v>-80.452688960645574</c:v>
                </c:pt>
                <c:pt idx="25">
                  <c:v>-80.675345063957394</c:v>
                </c:pt>
                <c:pt idx="26">
                  <c:v>-80.893422391922257</c:v>
                </c:pt>
                <c:pt idx="27">
                  <c:v>-81.1070129491209</c:v>
                </c:pt>
                <c:pt idx="28">
                  <c:v>-81.316207857746505</c:v>
                </c:pt>
                <c:pt idx="29">
                  <c:v>-81.521097314403846</c:v>
                </c:pt>
                <c:pt idx="30">
                  <c:v>-81.72177055166361</c:v>
                </c:pt>
                <c:pt idx="31">
                  <c:v>-81.918315804088394</c:v>
                </c:pt>
                <c:pt idx="32">
                  <c:v>-82.110820278457481</c:v>
                </c:pt>
                <c:pt idx="33">
                  <c:v>-82.299370127930715</c:v>
                </c:pt>
                <c:pt idx="34">
                  <c:v>-82.484050429901004</c:v>
                </c:pt>
                <c:pt idx="35">
                  <c:v>-82.664945167298413</c:v>
                </c:pt>
                <c:pt idx="36">
                  <c:v>-82.842137213119003</c:v>
                </c:pt>
                <c:pt idx="37">
                  <c:v>-83.015708317962535</c:v>
                </c:pt>
                <c:pt idx="38">
                  <c:v>-83.18573910037442</c:v>
                </c:pt>
                <c:pt idx="39">
                  <c:v>-83.352309039797419</c:v>
                </c:pt>
                <c:pt idx="40">
                  <c:v>-83.515496471948893</c:v>
                </c:pt>
                <c:pt idx="41">
                  <c:v>-83.675378586449739</c:v>
                </c:pt>
                <c:pt idx="42">
                  <c:v>-83.832031426539544</c:v>
                </c:pt>
                <c:pt idx="43">
                  <c:v>-83.98552989072337</c:v>
                </c:pt>
                <c:pt idx="44">
                  <c:v>-84.135947736202809</c:v>
                </c:pt>
                <c:pt idx="45">
                  <c:v>-84.283357583954029</c:v>
                </c:pt>
                <c:pt idx="46">
                  <c:v>-84.427830925321913</c:v>
                </c:pt>
                <c:pt idx="47">
                  <c:v>-84.569438130009388</c:v>
                </c:pt>
                <c:pt idx="48">
                  <c:v>-84.708248455346421</c:v>
                </c:pt>
                <c:pt idx="49">
                  <c:v>-84.844330056731394</c:v>
                </c:pt>
                <c:pt idx="50">
                  <c:v>-84.977749999144962</c:v>
                </c:pt>
                <c:pt idx="51">
                  <c:v>-85.108574269640755</c:v>
                </c:pt>
                <c:pt idx="52">
                  <c:v>-85.236867790726379</c:v>
                </c:pt>
                <c:pt idx="53">
                  <c:v>-85.362694434551216</c:v>
                </c:pt>
                <c:pt idx="54">
                  <c:v>-85.486117037825124</c:v>
                </c:pt>
                <c:pt idx="55">
                  <c:v>-85.607197417396122</c:v>
                </c:pt>
                <c:pt idx="56">
                  <c:v>-85.725996386420704</c:v>
                </c:pt>
                <c:pt idx="57">
                  <c:v>-85.842573771064977</c:v>
                </c:pt>
                <c:pt idx="58">
                  <c:v>-85.956988427678922</c:v>
                </c:pt>
                <c:pt idx="59">
                  <c:v>-86.069298260390696</c:v>
                </c:pt>
                <c:pt idx="60">
                  <c:v>-86.179560239071876</c:v>
                </c:pt>
                <c:pt idx="61">
                  <c:v>-86.287830417627347</c:v>
                </c:pt>
                <c:pt idx="62">
                  <c:v>-86.39416395256859</c:v>
                </c:pt>
                <c:pt idx="63">
                  <c:v>-86.498615121830667</c:v>
                </c:pt>
                <c:pt idx="64">
                  <c:v>-86.601237343797777</c:v>
                </c:pt>
                <c:pt idx="65">
                  <c:v>-86.702083196504148</c:v>
                </c:pt>
                <c:pt idx="66">
                  <c:v>-86.8012044369802</c:v>
                </c:pt>
                <c:pt idx="67">
                  <c:v>-86.898652020716369</c:v>
                </c:pt>
                <c:pt idx="68">
                  <c:v>-86.994476121219705</c:v>
                </c:pt>
                <c:pt idx="69">
                  <c:v>-87.088726149639513</c:v>
                </c:pt>
                <c:pt idx="70">
                  <c:v>-87.181450774442268</c:v>
                </c:pt>
                <c:pt idx="71">
                  <c:v>-87.272697941115865</c:v>
                </c:pt>
                <c:pt idx="72">
                  <c:v>-87.362514891886846</c:v>
                </c:pt>
                <c:pt idx="73">
                  <c:v>-87.450948185435152</c:v>
                </c:pt>
                <c:pt idx="74">
                  <c:v>-87.538043716592497</c:v>
                </c:pt>
                <c:pt idx="75">
                  <c:v>-87.623846736012212</c:v>
                </c:pt>
                <c:pt idx="76">
                  <c:v>-87.708401869800085</c:v>
                </c:pt>
                <c:pt idx="77">
                  <c:v>-87.791753139096144</c:v>
                </c:pt>
                <c:pt idx="78">
                  <c:v>-87.873943979599758</c:v>
                </c:pt>
                <c:pt idx="79">
                  <c:v>-87.955017261030264</c:v>
                </c:pt>
                <c:pt idx="80">
                  <c:v>-88.035015306517636</c:v>
                </c:pt>
                <c:pt idx="81">
                  <c:v>-88.113979911917767</c:v>
                </c:pt>
                <c:pt idx="82">
                  <c:v>-88.191952365048422</c:v>
                </c:pt>
                <c:pt idx="83">
                  <c:v>-88.268973464842333</c:v>
                </c:pt>
                <c:pt idx="84">
                  <c:v>-88.345083540415075</c:v>
                </c:pt>
                <c:pt idx="85">
                  <c:v>-88.420322470046202</c:v>
                </c:pt>
                <c:pt idx="86">
                  <c:v>-88.494729700072014</c:v>
                </c:pt>
                <c:pt idx="87">
                  <c:v>-88.568344263690065</c:v>
                </c:pt>
                <c:pt idx="88">
                  <c:v>-88.641204799675165</c:v>
                </c:pt>
                <c:pt idx="89">
                  <c:v>-88.71334957100801</c:v>
                </c:pt>
                <c:pt idx="90">
                  <c:v>-88.784816483417131</c:v>
                </c:pt>
                <c:pt idx="91">
                  <c:v>-88.855643103836428</c:v>
                </c:pt>
                <c:pt idx="92">
                  <c:v>-88.925866678779812</c:v>
                </c:pt>
                <c:pt idx="93">
                  <c:v>-88.995524152636037</c:v>
                </c:pt>
                <c:pt idx="94">
                  <c:v>-89.064652185886231</c:v>
                </c:pt>
                <c:pt idx="95">
                  <c:v>-89.133287173247552</c:v>
                </c:pt>
                <c:pt idx="96">
                  <c:v>-89.201465261746378</c:v>
                </c:pt>
                <c:pt idx="97">
                  <c:v>-89.269222368725053</c:v>
                </c:pt>
                <c:pt idx="98">
                  <c:v>-89.336594199786134</c:v>
                </c:pt>
                <c:pt idx="99">
                  <c:v>-89.403616266678512</c:v>
                </c:pt>
                <c:pt idx="100">
                  <c:v>-89.470323905130059</c:v>
                </c:pt>
                <c:pt idx="101">
                  <c:v>-89.536752292631462</c:v>
                </c:pt>
                <c:pt idx="102">
                  <c:v>-89.602936466176189</c:v>
                </c:pt>
                <c:pt idx="103">
                  <c:v>-89.668911339961809</c:v>
                </c:pt>
                <c:pt idx="104">
                  <c:v>-89.734711723057771</c:v>
                </c:pt>
                <c:pt idx="105">
                  <c:v>-89.800372337045104</c:v>
                </c:pt>
                <c:pt idx="106">
                  <c:v>-89.865927833633549</c:v>
                </c:pt>
                <c:pt idx="107">
                  <c:v>-89.931412812261655</c:v>
                </c:pt>
                <c:pt idx="108">
                  <c:v>-89.996861837685572</c:v>
                </c:pt>
                <c:pt idx="109">
                  <c:v>-90.062309457562222</c:v>
                </c:pt>
                <c:pt idx="110">
                  <c:v>-90.127790220032765</c:v>
                </c:pt>
                <c:pt idx="111">
                  <c:v>-90.193338691312078</c:v>
                </c:pt>
                <c:pt idx="112">
                  <c:v>-90.2589894732902</c:v>
                </c:pt>
                <c:pt idx="113">
                  <c:v>-90.324777221151678</c:v>
                </c:pt>
                <c:pt idx="114">
                  <c:v>-90.390736661018636</c:v>
                </c:pt>
                <c:pt idx="115">
                  <c:v>-90.456902607623419</c:v>
                </c:pt>
                <c:pt idx="116">
                  <c:v>-90.523309982016855</c:v>
                </c:pt>
                <c:pt idx="117">
                  <c:v>-90.58999382931782</c:v>
                </c:pt>
                <c:pt idx="118">
                  <c:v>-90.656989336509938</c:v>
                </c:pt>
                <c:pt idx="119">
                  <c:v>-90.724331850291179</c:v>
                </c:pt>
                <c:pt idx="120">
                  <c:v>-90.792056894981869</c:v>
                </c:pt>
                <c:pt idx="121">
                  <c:v>-90.860200190496997</c:v>
                </c:pt>
                <c:pt idx="122">
                  <c:v>-90.928797670387738</c:v>
                </c:pt>
                <c:pt idx="123">
                  <c:v>-90.997885499958187</c:v>
                </c:pt>
                <c:pt idx="124">
                  <c:v>-91.067500094461764</c:v>
                </c:pt>
                <c:pt idx="125">
                  <c:v>-91.137678137383048</c:v>
                </c:pt>
                <c:pt idx="126">
                  <c:v>-91.208456598809491</c:v>
                </c:pt>
                <c:pt idx="127">
                  <c:v>-91.279872753897521</c:v>
                </c:pt>
                <c:pt idx="128">
                  <c:v>-91.351964201437895</c:v>
                </c:pt>
                <c:pt idx="129">
                  <c:v>-91.424768882524518</c:v>
                </c:pt>
                <c:pt idx="130">
                  <c:v>-91.498325099330089</c:v>
                </c:pt>
                <c:pt idx="131">
                  <c:v>-91.572671533993045</c:v>
                </c:pt>
                <c:pt idx="132">
                  <c:v>-91.647847267618459</c:v>
                </c:pt>
                <c:pt idx="133">
                  <c:v>-91.723891799396526</c:v>
                </c:pt>
                <c:pt idx="134">
                  <c:v>-91.80084506584069</c:v>
                </c:pt>
                <c:pt idx="135">
                  <c:v>-91.878747460148134</c:v>
                </c:pt>
                <c:pt idx="136">
                  <c:v>-91.957639851684164</c:v>
                </c:pt>
                <c:pt idx="137">
                  <c:v>-92.037563605592013</c:v>
                </c:pt>
                <c:pt idx="138">
                  <c:v>-92.118560602528461</c:v>
                </c:pt>
                <c:pt idx="139">
                  <c:v>-92.200673258526308</c:v>
                </c:pt>
                <c:pt idx="140">
                  <c:v>-92.283944544982418</c:v>
                </c:pt>
                <c:pt idx="141">
                  <c:v>-92.368418008771243</c:v>
                </c:pt>
                <c:pt idx="142">
                  <c:v>-92.454137792481433</c:v>
                </c:pt>
                <c:pt idx="143">
                  <c:v>-92.541148654773451</c:v>
                </c:pt>
                <c:pt idx="144">
                  <c:v>-92.62949599085502</c:v>
                </c:pt>
                <c:pt idx="145">
                  <c:v>-92.719225853069844</c:v>
                </c:pt>
                <c:pt idx="146">
                  <c:v>-92.810384971595084</c:v>
                </c:pt>
                <c:pt idx="147">
                  <c:v>-92.903020775241131</c:v>
                </c:pt>
                <c:pt idx="148">
                  <c:v>-92.997181412346649</c:v>
                </c:pt>
                <c:pt idx="149">
                  <c:v>-93.092915771760261</c:v>
                </c:pt>
                <c:pt idx="150">
                  <c:v>-93.190273503900087</c:v>
                </c:pt>
                <c:pt idx="151">
                  <c:v>-93.289305041879231</c:v>
                </c:pt>
                <c:pt idx="152">
                  <c:v>-93.390061622685167</c:v>
                </c:pt>
                <c:pt idx="153">
                  <c:v>-93.492595308399686</c:v>
                </c:pt>
                <c:pt idx="154">
                  <c:v>-93.596959007442962</c:v>
                </c:pt>
                <c:pt idx="155">
                  <c:v>-93.703206495824844</c:v>
                </c:pt>
                <c:pt idx="156">
                  <c:v>-93.811392438383919</c:v>
                </c:pt>
                <c:pt idx="157">
                  <c:v>-93.921572409993757</c:v>
                </c:pt>
                <c:pt idx="158">
                  <c:v>-94.033802916711537</c:v>
                </c:pt>
                <c:pt idx="159">
                  <c:v>-94.148141416844737</c:v>
                </c:pt>
                <c:pt idx="160">
                  <c:v>-94.264646341907067</c:v>
                </c:pt>
                <c:pt idx="161">
                  <c:v>-94.383377117432218</c:v>
                </c:pt>
                <c:pt idx="162">
                  <c:v>-94.504394183612959</c:v>
                </c:pt>
                <c:pt idx="163">
                  <c:v>-94.627759015728472</c:v>
                </c:pt>
                <c:pt idx="164">
                  <c:v>-94.753534144319232</c:v>
                </c:pt>
                <c:pt idx="165">
                  <c:v>-94.881783175067781</c:v>
                </c:pt>
                <c:pt idx="166">
                  <c:v>-95.0125708083376</c:v>
                </c:pt>
                <c:pt idx="167">
                  <c:v>-95.14596285831955</c:v>
                </c:pt>
                <c:pt idx="168">
                  <c:v>-95.282026271731624</c:v>
                </c:pt>
                <c:pt idx="169">
                  <c:v>-95.420829146012807</c:v>
                </c:pt>
                <c:pt idx="170">
                  <c:v>-95.562440746947715</c:v>
                </c:pt>
                <c:pt idx="171">
                  <c:v>-95.706931525653246</c:v>
                </c:pt>
                <c:pt idx="172">
                  <c:v>-95.854373134854384</c:v>
                </c:pt>
                <c:pt idx="173">
                  <c:v>-96.004838444370264</c:v>
                </c:pt>
                <c:pt idx="174">
                  <c:v>-96.15840155572576</c:v>
                </c:pt>
                <c:pt idx="175">
                  <c:v>-96.315137815798238</c:v>
                </c:pt>
                <c:pt idx="176">
                  <c:v>-96.475123829402946</c:v>
                </c:pt>
                <c:pt idx="177">
                  <c:v>-96.638437470713342</c:v>
                </c:pt>
                <c:pt idx="178">
                  <c:v>-96.80515789340599</c:v>
                </c:pt>
                <c:pt idx="179">
                  <c:v>-96.975365539412721</c:v>
                </c:pt>
                <c:pt idx="180">
                  <c:v>-97.149142146154119</c:v>
                </c:pt>
                <c:pt idx="181">
                  <c:v>-97.326570752121384</c:v>
                </c:pt>
                <c:pt idx="182">
                  <c:v>-97.507735700665265</c:v>
                </c:pt>
                <c:pt idx="183">
                  <c:v>-97.69272264184012</c:v>
                </c:pt>
                <c:pt idx="184">
                  <c:v>-97.881618532145666</c:v>
                </c:pt>
                <c:pt idx="185">
                  <c:v>-98.074511631995662</c:v>
                </c:pt>
                <c:pt idx="186">
                  <c:v>-98.271491500736289</c:v>
                </c:pt>
                <c:pt idx="187">
                  <c:v>-98.472648989024449</c:v>
                </c:pt>
                <c:pt idx="188">
                  <c:v>-98.678076228367644</c:v>
                </c:pt>
                <c:pt idx="189">
                  <c:v>-98.887866617614989</c:v>
                </c:pt>
                <c:pt idx="190">
                  <c:v>-99.102114806179301</c:v>
                </c:pt>
                <c:pt idx="191">
                  <c:v>-99.320916673758418</c:v>
                </c:pt>
                <c:pt idx="192">
                  <c:v>-99.544369306311907</c:v>
                </c:pt>
                <c:pt idx="193">
                  <c:v>-99.772570968039901</c:v>
                </c:pt>
                <c:pt idx="194">
                  <c:v>-100.0056210690967</c:v>
                </c:pt>
                <c:pt idx="195">
                  <c:v>-100.24362012876253</c:v>
                </c:pt>
                <c:pt idx="196">
                  <c:v>-100.48666973378403</c:v>
                </c:pt>
                <c:pt idx="197">
                  <c:v>-100.73487249158315</c:v>
                </c:pt>
                <c:pt idx="198">
                  <c:v>-100.98833197802406</c:v>
                </c:pt>
                <c:pt idx="199">
                  <c:v>-101.24715267941511</c:v>
                </c:pt>
                <c:pt idx="200">
                  <c:v>-101.51143992841403</c:v>
                </c:pt>
                <c:pt idx="201">
                  <c:v>-101.78129983349639</c:v>
                </c:pt>
                <c:pt idx="202">
                  <c:v>-102.05683920163541</c:v>
                </c:pt>
                <c:pt idx="203">
                  <c:v>-102.33816545383691</c:v>
                </c:pt>
                <c:pt idx="204">
                  <c:v>-102.62538653316524</c:v>
                </c:pt>
                <c:pt idx="205">
                  <c:v>-102.91861080489048</c:v>
                </c:pt>
                <c:pt idx="206">
                  <c:v>-103.2179469483859</c:v>
                </c:pt>
                <c:pt idx="207">
                  <c:v>-103.52350384040142</c:v>
                </c:pt>
                <c:pt idx="208">
                  <c:v>-103.83539042934051</c:v>
                </c:pt>
                <c:pt idx="209">
                  <c:v>-104.15371560017148</c:v>
                </c:pt>
                <c:pt idx="210">
                  <c:v>-104.47858802960945</c:v>
                </c:pt>
                <c:pt idx="211">
                  <c:v>-104.81011603121591</c:v>
                </c:pt>
                <c:pt idx="212">
                  <c:v>-105.14840739007499</c:v>
                </c:pt>
                <c:pt idx="213">
                  <c:v>-105.49356918672267</c:v>
                </c:pt>
                <c:pt idx="214">
                  <c:v>-105.84570761002574</c:v>
                </c:pt>
                <c:pt idx="215">
                  <c:v>-106.20492775873539</c:v>
                </c:pt>
                <c:pt idx="216">
                  <c:v>-106.57133343146782</c:v>
                </c:pt>
                <c:pt idx="217">
                  <c:v>-106.94502690490566</c:v>
                </c:pt>
                <c:pt idx="218">
                  <c:v>-107.32610870005365</c:v>
                </c:pt>
                <c:pt idx="219">
                  <c:v>-107.71467733643097</c:v>
                </c:pt>
                <c:pt idx="220">
                  <c:v>-108.11082907414233</c:v>
                </c:pt>
                <c:pt idx="221">
                  <c:v>-108.51465764383035</c:v>
                </c:pt>
                <c:pt idx="222">
                  <c:v>-108.92625396458253</c:v>
                </c:pt>
                <c:pt idx="223">
                  <c:v>-109.34570584995042</c:v>
                </c:pt>
                <c:pt idx="224">
                  <c:v>-109.7730977023169</c:v>
                </c:pt>
                <c:pt idx="225">
                  <c:v>-110.20851019595436</c:v>
                </c:pt>
                <c:pt idx="226">
                  <c:v>-110.65201994921213</c:v>
                </c:pt>
                <c:pt idx="227">
                  <c:v>-111.10369918638835</c:v>
                </c:pt>
                <c:pt idx="228">
                  <c:v>-111.56361538996241</c:v>
                </c:pt>
                <c:pt idx="229">
                  <c:v>-112.03183094399709</c:v>
                </c:pt>
                <c:pt idx="230">
                  <c:v>-112.50840276964955</c:v>
                </c:pt>
                <c:pt idx="231">
                  <c:v>-112.99338195388493</c:v>
                </c:pt>
                <c:pt idx="232">
                  <c:v>-113.48681337263037</c:v>
                </c:pt>
                <c:pt idx="233">
                  <c:v>-113.98873530977143</c:v>
                </c:pt>
                <c:pt idx="234">
                  <c:v>-114.49917907354799</c:v>
                </c:pt>
                <c:pt idx="235">
                  <c:v>-115.01816861208019</c:v>
                </c:pt>
                <c:pt idx="236">
                  <c:v>-115.54572012991643</c:v>
                </c:pt>
                <c:pt idx="237">
                  <c:v>-116.08184170766324</c:v>
                </c:pt>
                <c:pt idx="238">
                  <c:v>-116.62653292692599</c:v>
                </c:pt>
                <c:pt idx="239">
                  <c:v>-117.17978450294289</c:v>
                </c:pt>
                <c:pt idx="240">
                  <c:v>-117.74157792745294</c:v>
                </c:pt>
                <c:pt idx="241">
                  <c:v>-118.3118851244823</c:v>
                </c:pt>
                <c:pt idx="242">
                  <c:v>-118.89066812185843</c:v>
                </c:pt>
                <c:pt idx="243">
                  <c:v>-119.47787874137887</c:v>
                </c:pt>
                <c:pt idx="244">
                  <c:v>-120.07345831066141</c:v>
                </c:pt>
                <c:pt idx="245">
                  <c:v>-120.67733739976346</c:v>
                </c:pt>
                <c:pt idx="246">
                  <c:v>-121.28943558571665</c:v>
                </c:pt>
                <c:pt idx="247">
                  <c:v>-121.90966124813248</c:v>
                </c:pt>
                <c:pt idx="248">
                  <c:v>-122.53791139902231</c:v>
                </c:pt>
                <c:pt idx="249">
                  <c:v>-123.17407154992257</c:v>
                </c:pt>
                <c:pt idx="250">
                  <c:v>-123.8180156193357</c:v>
                </c:pt>
                <c:pt idx="251">
                  <c:v>-124.46960588335403</c:v>
                </c:pt>
                <c:pt idx="252">
                  <c:v>-125.1286929721774</c:v>
                </c:pt>
                <c:pt idx="253">
                  <c:v>-125.79511591501802</c:v>
                </c:pt>
                <c:pt idx="254">
                  <c:v>-126.46870223562139</c:v>
                </c:pt>
                <c:pt idx="255">
                  <c:v>-127.14926810034578</c:v>
                </c:pt>
                <c:pt idx="256">
                  <c:v>-127.83661852038419</c:v>
                </c:pt>
                <c:pt idx="257">
                  <c:v>-128.53054760934825</c:v>
                </c:pt>
                <c:pt idx="258">
                  <c:v>-129.23083889699166</c:v>
                </c:pt>
                <c:pt idx="259">
                  <c:v>-129.93726569941802</c:v>
                </c:pt>
                <c:pt idx="260">
                  <c:v>-130.64959154561649</c:v>
                </c:pt>
                <c:pt idx="261">
                  <c:v>-131.36757065967473</c:v>
                </c:pt>
                <c:pt idx="262">
                  <c:v>-132.09094849748436</c:v>
                </c:pt>
                <c:pt idx="263">
                  <c:v>-132.81946233622855</c:v>
                </c:pt>
                <c:pt idx="264">
                  <c:v>-133.55284191438943</c:v>
                </c:pt>
                <c:pt idx="265">
                  <c:v>-134.2908101195012</c:v>
                </c:pt>
                <c:pt idx="266">
                  <c:v>-135.0330837203305</c:v>
                </c:pt>
                <c:pt idx="267">
                  <c:v>-135.77937413969286</c:v>
                </c:pt>
                <c:pt idx="268">
                  <c:v>-136.52938826362345</c:v>
                </c:pt>
                <c:pt idx="269">
                  <c:v>-137.28282928221682</c:v>
                </c:pt>
                <c:pt idx="270">
                  <c:v>-138.03939755704022</c:v>
                </c:pt>
                <c:pt idx="271">
                  <c:v>-138.79879150971655</c:v>
                </c:pt>
                <c:pt idx="272">
                  <c:v>-139.56070852599129</c:v>
                </c:pt>
                <c:pt idx="273">
                  <c:v>-140.32484586939015</c:v>
                </c:pt>
                <c:pt idx="274">
                  <c:v>-141.0909015984349</c:v>
                </c:pt>
                <c:pt idx="275">
                  <c:v>-141.85857548131756</c:v>
                </c:pt>
                <c:pt idx="276">
                  <c:v>-142.62756990192716</c:v>
                </c:pt>
                <c:pt idx="277">
                  <c:v>-143.39759075119994</c:v>
                </c:pt>
                <c:pt idx="278">
                  <c:v>-144.16834829790648</c:v>
                </c:pt>
                <c:pt idx="279">
                  <c:v>-144.93955803319179</c:v>
                </c:pt>
                <c:pt idx="280">
                  <c:v>-145.71094148346108</c:v>
                </c:pt>
                <c:pt idx="281">
                  <c:v>-146.482226986527</c:v>
                </c:pt>
                <c:pt idx="282">
                  <c:v>-147.25315042631863</c:v>
                </c:pt>
                <c:pt idx="283">
                  <c:v>-148.02345592186788</c:v>
                </c:pt>
                <c:pt idx="284">
                  <c:v>-148.79289646675969</c:v>
                </c:pt>
                <c:pt idx="285">
                  <c:v>-149.56123451570957</c:v>
                </c:pt>
                <c:pt idx="286">
                  <c:v>-150.32824251544457</c:v>
                </c:pt>
                <c:pt idx="287">
                  <c:v>-151.09370337758816</c:v>
                </c:pt>
                <c:pt idx="288">
                  <c:v>-151.85741089176221</c:v>
                </c:pt>
                <c:pt idx="289">
                  <c:v>-152.61917007764583</c:v>
                </c:pt>
                <c:pt idx="290">
                  <c:v>-153.37879747523633</c:v>
                </c:pt>
                <c:pt idx="291">
                  <c:v>-154.13612137304159</c:v>
                </c:pt>
                <c:pt idx="292">
                  <c:v>-154.89098197439981</c:v>
                </c:pt>
                <c:pt idx="293">
                  <c:v>-155.64323150255851</c:v>
                </c:pt>
                <c:pt idx="294">
                  <c:v>-156.39273424553608</c:v>
                </c:pt>
                <c:pt idx="295">
                  <c:v>-157.13936654216226</c:v>
                </c:pt>
                <c:pt idx="296">
                  <c:v>-157.88301671100569</c:v>
                </c:pt>
                <c:pt idx="297">
                  <c:v>-158.62358492418645</c:v>
                </c:pt>
                <c:pt idx="298">
                  <c:v>-159.36098302830192</c:v>
                </c:pt>
                <c:pt idx="299">
                  <c:v>-160.09513431489975</c:v>
                </c:pt>
                <c:pt idx="300">
                  <c:v>-160.82597324307983</c:v>
                </c:pt>
                <c:pt idx="301">
                  <c:v>-161.55344511692826</c:v>
                </c:pt>
                <c:pt idx="302">
                  <c:v>-162.2775057205655</c:v>
                </c:pt>
                <c:pt idx="303">
                  <c:v>-162.99812091363029</c:v>
                </c:pt>
                <c:pt idx="304">
                  <c:v>-163.71526619004072</c:v>
                </c:pt>
                <c:pt idx="305">
                  <c:v>-164.42892620285355</c:v>
                </c:pt>
                <c:pt idx="306">
                  <c:v>-165.13909425800372</c:v>
                </c:pt>
                <c:pt idx="307">
                  <c:v>-165.84577177964468</c:v>
                </c:pt>
                <c:pt idx="308">
                  <c:v>-166.54896774973196</c:v>
                </c:pt>
                <c:pt idx="309">
                  <c:v>-167.24869812439943</c:v>
                </c:pt>
                <c:pt idx="310">
                  <c:v>-167.94498522957448</c:v>
                </c:pt>
                <c:pt idx="311">
                  <c:v>-168.63785713817248</c:v>
                </c:pt>
                <c:pt idx="312">
                  <c:v>-169.32734703109486</c:v>
                </c:pt>
                <c:pt idx="313">
                  <c:v>-170.01349254414791</c:v>
                </c:pt>
                <c:pt idx="314">
                  <c:v>-170.69633510288529</c:v>
                </c:pt>
                <c:pt idx="315">
                  <c:v>-171.37591924728198</c:v>
                </c:pt>
                <c:pt idx="316">
                  <c:v>-172.05229194804406</c:v>
                </c:pt>
                <c:pt idx="317">
                  <c:v>-172.72550191627897</c:v>
                </c:pt>
                <c:pt idx="318">
                  <c:v>-173.39559890818072</c:v>
                </c:pt>
                <c:pt idx="319">
                  <c:v>-174.06263302631831</c:v>
                </c:pt>
                <c:pt idx="320">
                  <c:v>-174.72665401907966</c:v>
                </c:pt>
                <c:pt idx="321">
                  <c:v>-175.38771057979034</c:v>
                </c:pt>
                <c:pt idx="322">
                  <c:v>-176.04584964701726</c:v>
                </c:pt>
                <c:pt idx="323">
                  <c:v>-176.70111570757251</c:v>
                </c:pt>
                <c:pt idx="324">
                  <c:v>-177.3535501037542</c:v>
                </c:pt>
                <c:pt idx="325">
                  <c:v>-178.00319034640012</c:v>
                </c:pt>
                <c:pt idx="326">
                  <c:v>-178.65006943538577</c:v>
                </c:pt>
                <c:pt idx="327">
                  <c:v>-179.29421518926918</c:v>
                </c:pt>
                <c:pt idx="328">
                  <c:v>-179.93564958586524</c:v>
                </c:pt>
                <c:pt idx="329">
                  <c:v>179.42561188436292</c:v>
                </c:pt>
                <c:pt idx="330">
                  <c:v>178.78956085011319</c:v>
                </c:pt>
                <c:pt idx="331">
                  <c:v>178.15619667413949</c:v>
                </c:pt>
                <c:pt idx="332">
                  <c:v>177.52552704901208</c:v>
                </c:pt>
                <c:pt idx="333">
                  <c:v>176.89756857138025</c:v>
                </c:pt>
                <c:pt idx="334">
                  <c:v>176.2723472922616</c:v>
                </c:pt>
                <c:pt idx="335">
                  <c:v>175.64989924074629</c:v>
                </c:pt>
                <c:pt idx="336">
                  <c:v>175.03027091839385</c:v>
                </c:pt>
                <c:pt idx="337">
                  <c:v>174.41351976148027</c:v>
                </c:pt>
                <c:pt idx="338">
                  <c:v>173.79971456817023</c:v>
                </c:pt>
                <c:pt idx="339">
                  <c:v>173.18893588759363</c:v>
                </c:pt>
                <c:pt idx="340">
                  <c:v>172.5812763677574</c:v>
                </c:pt>
                <c:pt idx="341">
                  <c:v>171.9768410591808</c:v>
                </c:pt>
                <c:pt idx="342">
                  <c:v>171.37574767113924</c:v>
                </c:pt>
                <c:pt idx="343">
                  <c:v>170.77812677742341</c:v>
                </c:pt>
                <c:pt idx="344">
                  <c:v>170.1841219685779</c:v>
                </c:pt>
                <c:pt idx="345">
                  <c:v>169.59388994768204</c:v>
                </c:pt>
                <c:pt idx="346">
                  <c:v>169.00760056687037</c:v>
                </c:pt>
                <c:pt idx="347">
                  <c:v>168.42543680196846</c:v>
                </c:pt>
                <c:pt idx="348">
                  <c:v>167.84759466283853</c:v>
                </c:pt>
                <c:pt idx="349">
                  <c:v>167.27428303729766</c:v>
                </c:pt>
                <c:pt idx="350">
                  <c:v>166.70572346677667</c:v>
                </c:pt>
                <c:pt idx="351">
                  <c:v>166.14214985223938</c:v>
                </c:pt>
                <c:pt idx="352">
                  <c:v>165.58380808927171</c:v>
                </c:pt>
                <c:pt idx="353">
                  <c:v>165.03095563168011</c:v>
                </c:pt>
                <c:pt idx="354">
                  <c:v>164.48386098339762</c:v>
                </c:pt>
                <c:pt idx="355">
                  <c:v>163.94280311899379</c:v>
                </c:pt>
                <c:pt idx="356">
                  <c:v>163.40807083359036</c:v>
                </c:pt>
                <c:pt idx="357">
                  <c:v>162.87996202352718</c:v>
                </c:pt>
                <c:pt idx="358">
                  <c:v>162.35878289965774</c:v>
                </c:pt>
                <c:pt idx="359">
                  <c:v>161.84484713570743</c:v>
                </c:pt>
                <c:pt idx="360">
                  <c:v>161.33847495466193</c:v>
                </c:pt>
                <c:pt idx="361">
                  <c:v>160.83999215669314</c:v>
                </c:pt>
                <c:pt idx="362">
                  <c:v>160.34972909263038</c:v>
                </c:pt>
                <c:pt idx="363">
                  <c:v>159.86801958746952</c:v>
                </c:pt>
                <c:pt idx="364">
                  <c:v>159.39519981886383</c:v>
                </c:pt>
                <c:pt idx="365">
                  <c:v>158.931607155937</c:v>
                </c:pt>
                <c:pt idx="366">
                  <c:v>158.47757896411571</c:v>
                </c:pt>
                <c:pt idx="367">
                  <c:v>158.03345138199128</c:v>
                </c:pt>
                <c:pt idx="368">
                  <c:v>157.59955807644775</c:v>
                </c:pt>
                <c:pt idx="369">
                  <c:v>157.17622898249564</c:v>
                </c:pt>
                <c:pt idx="370">
                  <c:v>156.76378903436043</c:v>
                </c:pt>
                <c:pt idx="371">
                  <c:v>156.36255689444127</c:v>
                </c:pt>
                <c:pt idx="372">
                  <c:v>155.97284368674897</c:v>
                </c:pt>
                <c:pt idx="373">
                  <c:v>155.59495174137356</c:v>
                </c:pt>
                <c:pt idx="374">
                  <c:v>155.22917335641148</c:v>
                </c:pt>
                <c:pt idx="375">
                  <c:v>154.87578958360828</c:v>
                </c:pt>
                <c:pt idx="376">
                  <c:v>154.53506904375917</c:v>
                </c:pt>
                <c:pt idx="377">
                  <c:v>154.2072667776462</c:v>
                </c:pt>
                <c:pt idx="378">
                  <c:v>153.89262313799262</c:v>
                </c:pt>
                <c:pt idx="379">
                  <c:v>153.5913627275946</c:v>
                </c:pt>
                <c:pt idx="380">
                  <c:v>153.30369338844193</c:v>
                </c:pt>
                <c:pt idx="381">
                  <c:v>153.02980524627355</c:v>
                </c:pt>
                <c:pt idx="382">
                  <c:v>152.76986981464557</c:v>
                </c:pt>
                <c:pt idx="383">
                  <c:v>152.52403916221303</c:v>
                </c:pt>
                <c:pt idx="384">
                  <c:v>152.29244514655056</c:v>
                </c:pt>
                <c:pt idx="385">
                  <c:v>152.07519871747226</c:v>
                </c:pt>
                <c:pt idx="386">
                  <c:v>151.87238929244918</c:v>
                </c:pt>
                <c:pt idx="387">
                  <c:v>151.68408420637766</c:v>
                </c:pt>
                <c:pt idx="388">
                  <c:v>151.51032823761844</c:v>
                </c:pt>
                <c:pt idx="389">
                  <c:v>151.3511432119081</c:v>
                </c:pt>
                <c:pt idx="390">
                  <c:v>151.20652768543491</c:v>
                </c:pt>
                <c:pt idx="391">
                  <c:v>151.07645670808526</c:v>
                </c:pt>
                <c:pt idx="392">
                  <c:v>150.96088166757988</c:v>
                </c:pt>
                <c:pt idx="393">
                  <c:v>150.85973021494408</c:v>
                </c:pt>
                <c:pt idx="394">
                  <c:v>150.772906271496</c:v>
                </c:pt>
                <c:pt idx="395">
                  <c:v>150.70029011726047</c:v>
                </c:pt>
                <c:pt idx="396">
                  <c:v>150.64173856045707</c:v>
                </c:pt>
                <c:pt idx="397">
                  <c:v>150.59708518743292</c:v>
                </c:pt>
                <c:pt idx="398">
                  <c:v>150.56614069213879</c:v>
                </c:pt>
                <c:pt idx="399">
                  <c:v>150.54869328394841</c:v>
                </c:pt>
                <c:pt idx="400">
                  <c:v>150.54450917232703</c:v>
                </c:pt>
                <c:pt idx="401">
                  <c:v>150.55333312654051</c:v>
                </c:pt>
                <c:pt idx="402">
                  <c:v>150.57488910825887</c:v>
                </c:pt>
                <c:pt idx="403">
                  <c:v>150.6088809745801</c:v>
                </c:pt>
                <c:pt idx="404">
                  <c:v>150.65499324863325</c:v>
                </c:pt>
                <c:pt idx="405">
                  <c:v>150.71289195456438</c:v>
                </c:pt>
                <c:pt idx="406">
                  <c:v>150.78222551333471</c:v>
                </c:pt>
                <c:pt idx="407">
                  <c:v>150.86262569539258</c:v>
                </c:pt>
                <c:pt idx="408">
                  <c:v>150.95370862590647</c:v>
                </c:pt>
                <c:pt idx="409">
                  <c:v>151.05507583788929</c:v>
                </c:pt>
                <c:pt idx="410">
                  <c:v>151.16631536819787</c:v>
                </c:pt>
                <c:pt idx="411">
                  <c:v>151.28700289106487</c:v>
                </c:pt>
                <c:pt idx="412">
                  <c:v>151.41670288352708</c:v>
                </c:pt>
                <c:pt idx="413">
                  <c:v>151.55496981684894</c:v>
                </c:pt>
                <c:pt idx="414">
                  <c:v>151.70134936781912</c:v>
                </c:pt>
                <c:pt idx="415">
                  <c:v>151.85537964362706</c:v>
                </c:pt>
                <c:pt idx="416">
                  <c:v>152.01659241389757</c:v>
                </c:pt>
                <c:pt idx="417">
                  <c:v>152.184514343405</c:v>
                </c:pt>
                <c:pt idx="418">
                  <c:v>152.35866821897139</c:v>
                </c:pt>
                <c:pt idx="419">
                  <c:v>152.53857416411634</c:v>
                </c:pt>
                <c:pt idx="420">
                  <c:v>152.72375083514657</c:v>
                </c:pt>
                <c:pt idx="421">
                  <c:v>152.91371659254537</c:v>
                </c:pt>
                <c:pt idx="422">
                  <c:v>153.1079906417778</c:v>
                </c:pt>
                <c:pt idx="423">
                  <c:v>153.30609413791615</c:v>
                </c:pt>
                <c:pt idx="424">
                  <c:v>153.5075512488616</c:v>
                </c:pt>
                <c:pt idx="425">
                  <c:v>153.71189017232871</c:v>
                </c:pt>
                <c:pt idx="426">
                  <c:v>153.91864410222121</c:v>
                </c:pt>
                <c:pt idx="427">
                  <c:v>154.12735214050892</c:v>
                </c:pt>
                <c:pt idx="428">
                  <c:v>154.33756015123561</c:v>
                </c:pt>
                <c:pt idx="429">
                  <c:v>154.54882155382407</c:v>
                </c:pt>
                <c:pt idx="430">
                  <c:v>154.76069805340094</c:v>
                </c:pt>
                <c:pt idx="431">
                  <c:v>154.97276030642155</c:v>
                </c:pt>
                <c:pt idx="432">
                  <c:v>155.18458852043494</c:v>
                </c:pt>
                <c:pt idx="433">
                  <c:v>155.39577298737575</c:v>
                </c:pt>
                <c:pt idx="434">
                  <c:v>155.60591455030502</c:v>
                </c:pt>
                <c:pt idx="435">
                  <c:v>155.81462500403046</c:v>
                </c:pt>
                <c:pt idx="436">
                  <c:v>156.02152743052017</c:v>
                </c:pt>
                <c:pt idx="437">
                  <c:v>156.22625647046976</c:v>
                </c:pt>
                <c:pt idx="438">
                  <c:v>156.42845853280136</c:v>
                </c:pt>
                <c:pt idx="439">
                  <c:v>156.62779194423445</c:v>
                </c:pt>
                <c:pt idx="440">
                  <c:v>156.82392704140582</c:v>
                </c:pt>
                <c:pt idx="441">
                  <c:v>157.01654620829851</c:v>
                </c:pt>
                <c:pt idx="442">
                  <c:v>157.2053438619763</c:v>
                </c:pt>
                <c:pt idx="443">
                  <c:v>157.39002638981981</c:v>
                </c:pt>
                <c:pt idx="444">
                  <c:v>157.5703120416145</c:v>
                </c:pt>
                <c:pt idx="445">
                  <c:v>157.7459307799439</c:v>
                </c:pt>
                <c:pt idx="446">
                  <c:v>157.91662409242153</c:v>
                </c:pt>
                <c:pt idx="447">
                  <c:v>158.08214476932125</c:v>
                </c:pt>
                <c:pt idx="448">
                  <c:v>158.24225665016615</c:v>
                </c:pt>
                <c:pt idx="449">
                  <c:v>158.3967343428067</c:v>
                </c:pt>
                <c:pt idx="450">
                  <c:v>158.54536291845332</c:v>
                </c:pt>
                <c:pt idx="451">
                  <c:v>158.68793758604767</c:v>
                </c:pt>
                <c:pt idx="452">
                  <c:v>158.82426334924574</c:v>
                </c:pt>
                <c:pt idx="453">
                  <c:v>158.95415464916715</c:v>
                </c:pt>
                <c:pt idx="454">
                  <c:v>159.07743499591828</c:v>
                </c:pt>
                <c:pt idx="455">
                  <c:v>159.19393659175535</c:v>
                </c:pt>
                <c:pt idx="456">
                  <c:v>159.30349994858574</c:v>
                </c:pt>
                <c:pt idx="457">
                  <c:v>159.40597350234739</c:v>
                </c:pt>
                <c:pt idx="458">
                  <c:v>159.50121322663645</c:v>
                </c:pt>
                <c:pt idx="459">
                  <c:v>159.58908224778108</c:v>
                </c:pt>
                <c:pt idx="460">
                  <c:v>159.66945046339717</c:v>
                </c:pt>
                <c:pt idx="461">
                  <c:v>159.7421941662929</c:v>
                </c:pt>
                <c:pt idx="462">
                  <c:v>159.80719567542934</c:v>
                </c:pt>
                <c:pt idx="463">
                  <c:v>159.86434297548965</c:v>
                </c:pt>
                <c:pt idx="464">
                  <c:v>159.91352936646169</c:v>
                </c:pt>
                <c:pt idx="465">
                  <c:v>159.9546531244975</c:v>
                </c:pt>
                <c:pt idx="466">
                  <c:v>159.98761717517954</c:v>
                </c:pt>
                <c:pt idx="467">
                  <c:v>160.01232878020366</c:v>
                </c:pt>
                <c:pt idx="468">
                  <c:v>160.0286992383669</c:v>
                </c:pt>
                <c:pt idx="469">
                  <c:v>160.03664360165047</c:v>
                </c:pt>
                <c:pt idx="470">
                  <c:v>160.03608040708244</c:v>
                </c:pt>
                <c:pt idx="471">
                  <c:v>160.02693142498279</c:v>
                </c:pt>
                <c:pt idx="472">
                  <c:v>160.00912142411002</c:v>
                </c:pt>
                <c:pt idx="473">
                  <c:v>159.98257795415822</c:v>
                </c:pt>
                <c:pt idx="474">
                  <c:v>159.94723114598875</c:v>
                </c:pt>
                <c:pt idx="475">
                  <c:v>159.90301352992321</c:v>
                </c:pt>
                <c:pt idx="476">
                  <c:v>159.84985987237729</c:v>
                </c:pt>
                <c:pt idx="477">
                  <c:v>159.78770703106622</c:v>
                </c:pt>
                <c:pt idx="478">
                  <c:v>159.71649382897968</c:v>
                </c:pt>
                <c:pt idx="479">
                  <c:v>159.63616094728661</c:v>
                </c:pt>
                <c:pt idx="480">
                  <c:v>159.54665083730029</c:v>
                </c:pt>
                <c:pt idx="481">
                  <c:v>159.44790765161406</c:v>
                </c:pt>
                <c:pt idx="482">
                  <c:v>159.33987719448572</c:v>
                </c:pt>
                <c:pt idx="483">
                  <c:v>159.22250689153742</c:v>
                </c:pt>
                <c:pt idx="484">
                  <c:v>159.09574577880917</c:v>
                </c:pt>
                <c:pt idx="485">
                  <c:v>158.95954451119175</c:v>
                </c:pt>
                <c:pt idx="486">
                  <c:v>158.81385539024097</c:v>
                </c:pt>
                <c:pt idx="487">
                  <c:v>158.65863241135813</c:v>
                </c:pt>
                <c:pt idx="488">
                  <c:v>158.49383133029758</c:v>
                </c:pt>
                <c:pt idx="489">
                  <c:v>158.31940974893948</c:v>
                </c:pt>
                <c:pt idx="490">
                  <c:v>158.13532722023774</c:v>
                </c:pt>
                <c:pt idx="491">
                  <c:v>157.94154537222462</c:v>
                </c:pt>
                <c:pt idx="492">
                  <c:v>157.73802805091464</c:v>
                </c:pt>
                <c:pt idx="493">
                  <c:v>157.52474148191394</c:v>
                </c:pt>
                <c:pt idx="494">
                  <c:v>157.30165445049278</c:v>
                </c:pt>
                <c:pt idx="495">
                  <c:v>157.06873849982819</c:v>
                </c:pt>
                <c:pt idx="496">
                  <c:v>156.82596814706449</c:v>
                </c:pt>
                <c:pt idx="497">
                  <c:v>156.57332111677263</c:v>
                </c:pt>
                <c:pt idx="498">
                  <c:v>156.31077859131597</c:v>
                </c:pt>
                <c:pt idx="499">
                  <c:v>156.03832547754914</c:v>
                </c:pt>
                <c:pt idx="500">
                  <c:v>155.75595068918221</c:v>
                </c:pt>
                <c:pt idx="501">
                  <c:v>155.46364744405096</c:v>
                </c:pt>
                <c:pt idx="502">
                  <c:v>155.16141357541761</c:v>
                </c:pt>
                <c:pt idx="503">
                  <c:v>154.84925185631769</c:v>
                </c:pt>
                <c:pt idx="504">
                  <c:v>154.52717033584179</c:v>
                </c:pt>
                <c:pt idx="505">
                  <c:v>154.19518268610821</c:v>
                </c:pt>
                <c:pt idx="506">
                  <c:v>153.85330855854468</c:v>
                </c:pt>
                <c:pt idx="507">
                  <c:v>153.50157394795298</c:v>
                </c:pt>
                <c:pt idx="508">
                  <c:v>153.14001156267386</c:v>
                </c:pt>
                <c:pt idx="509">
                  <c:v>152.76866119902161</c:v>
                </c:pt>
                <c:pt idx="510">
                  <c:v>152.38757011799484</c:v>
                </c:pt>
                <c:pt idx="511">
                  <c:v>151.99679342211093</c:v>
                </c:pt>
                <c:pt idx="512">
                  <c:v>151.59639443005503</c:v>
                </c:pt>
                <c:pt idx="513">
                  <c:v>151.18644504667941</c:v>
                </c:pt>
                <c:pt idx="514">
                  <c:v>150.76702612573678</c:v>
                </c:pt>
                <c:pt idx="515">
                  <c:v>150.33822782259463</c:v>
                </c:pt>
                <c:pt idx="516">
                  <c:v>149.90014993404034</c:v>
                </c:pt>
                <c:pt idx="517">
                  <c:v>149.45290222217747</c:v>
                </c:pt>
                <c:pt idx="518">
                  <c:v>148.99660471931392</c:v>
                </c:pt>
                <c:pt idx="519">
                  <c:v>148.53138801065779</c:v>
                </c:pt>
                <c:pt idx="520">
                  <c:v>148.05739349159336</c:v>
                </c:pt>
                <c:pt idx="521">
                  <c:v>147.57477359627467</c:v>
                </c:pt>
                <c:pt idx="522">
                  <c:v>147.08369199428171</c:v>
                </c:pt>
                <c:pt idx="523">
                  <c:v>146.58432375212212</c:v>
                </c:pt>
                <c:pt idx="524">
                  <c:v>146.07685545643372</c:v>
                </c:pt>
                <c:pt idx="525">
                  <c:v>145.56148529585505</c:v>
                </c:pt>
                <c:pt idx="526">
                  <c:v>145.0384230986887</c:v>
                </c:pt>
                <c:pt idx="527">
                  <c:v>144.50789032367396</c:v>
                </c:pt>
                <c:pt idx="528">
                  <c:v>143.9701200014261</c:v>
                </c:pt>
                <c:pt idx="529">
                  <c:v>143.42535662437726</c:v>
                </c:pt>
                <c:pt idx="530">
                  <c:v>142.87385598339048</c:v>
                </c:pt>
                <c:pt idx="531">
                  <c:v>142.31588494956429</c:v>
                </c:pt>
                <c:pt idx="532">
                  <c:v>141.75172120017109</c:v>
                </c:pt>
                <c:pt idx="533">
                  <c:v>141.18165288809067</c:v>
                </c:pt>
                <c:pt idx="534">
                  <c:v>140.6059782545901</c:v>
                </c:pt>
                <c:pt idx="535">
                  <c:v>140.02500518577887</c:v>
                </c:pt>
                <c:pt idx="536">
                  <c:v>139.43905071360302</c:v>
                </c:pt>
                <c:pt idx="537">
                  <c:v>138.84844046275168</c:v>
                </c:pt>
                <c:pt idx="538">
                  <c:v>138.25350804540315</c:v>
                </c:pt>
                <c:pt idx="539">
                  <c:v>137.65459440625796</c:v>
                </c:pt>
                <c:pt idx="540">
                  <c:v>137.05204712083929</c:v>
                </c:pt>
                <c:pt idx="541">
                  <c:v>136.44621965053784</c:v>
                </c:pt>
              </c:numCache>
            </c:numRef>
          </c:yVal>
          <c:smooth val="1"/>
          <c:extLst>
            <c:ext xmlns:c16="http://schemas.microsoft.com/office/drawing/2014/chart" uri="{C3380CC4-5D6E-409C-BE32-E72D297353CC}">
              <c16:uniqueId val="{00000001-FE68-4EBF-AB11-4BE4FC08AB2C}"/>
            </c:ext>
          </c:extLst>
        </c:ser>
        <c:dLbls>
          <c:showLegendKey val="0"/>
          <c:showVal val="0"/>
          <c:showCatName val="0"/>
          <c:showSerName val="0"/>
          <c:showPercent val="0"/>
          <c:showBubbleSize val="0"/>
        </c:dLbls>
        <c:axId val="385829504"/>
        <c:axId val="385827968"/>
      </c:scatterChart>
      <c:valAx>
        <c:axId val="385819776"/>
        <c:scaling>
          <c:logBase val="10"/>
          <c:orientation val="minMax"/>
          <c:max val="2200000"/>
          <c:min val="10"/>
        </c:scaling>
        <c:delete val="0"/>
        <c:axPos val="b"/>
        <c:minorGridlines/>
        <c:title>
          <c:tx>
            <c:rich>
              <a:bodyPr/>
              <a:lstStyle/>
              <a:p>
                <a:pPr>
                  <a:defRPr/>
                </a:pPr>
                <a:r>
                  <a:rPr lang="en-US"/>
                  <a:t>Frequency</a:t>
                </a:r>
                <a:r>
                  <a:rPr lang="en-US" baseline="0"/>
                  <a:t> (Hz)</a:t>
                </a:r>
                <a:endParaRPr lang="en-US"/>
              </a:p>
            </c:rich>
          </c:tx>
          <c:overlay val="0"/>
        </c:title>
        <c:numFmt formatCode="0" sourceLinked="0"/>
        <c:majorTickMark val="out"/>
        <c:minorTickMark val="none"/>
        <c:tickLblPos val="low"/>
        <c:crossAx val="385821696"/>
        <c:crosses val="autoZero"/>
        <c:crossBetween val="midCat"/>
      </c:valAx>
      <c:valAx>
        <c:axId val="385821696"/>
        <c:scaling>
          <c:orientation val="minMax"/>
          <c:max val="40"/>
          <c:min val="-40"/>
        </c:scaling>
        <c:delete val="0"/>
        <c:axPos val="l"/>
        <c:majorGridlines/>
        <c:minorGridlines/>
        <c:title>
          <c:tx>
            <c:rich>
              <a:bodyPr rot="-5400000" vert="horz"/>
              <a:lstStyle/>
              <a:p>
                <a:pPr>
                  <a:defRPr/>
                </a:pPr>
                <a:r>
                  <a:rPr lang="en-US"/>
                  <a:t>Gain</a:t>
                </a:r>
                <a:r>
                  <a:rPr lang="en-US" baseline="0"/>
                  <a:t> (dB)</a:t>
                </a:r>
                <a:endParaRPr lang="en-US"/>
              </a:p>
            </c:rich>
          </c:tx>
          <c:overlay val="0"/>
        </c:title>
        <c:numFmt formatCode="General" sourceLinked="0"/>
        <c:majorTickMark val="out"/>
        <c:minorTickMark val="none"/>
        <c:tickLblPos val="nextTo"/>
        <c:crossAx val="385819776"/>
        <c:crosses val="autoZero"/>
        <c:crossBetween val="midCat"/>
        <c:majorUnit val="20"/>
        <c:minorUnit val="10"/>
      </c:valAx>
      <c:valAx>
        <c:axId val="385827968"/>
        <c:scaling>
          <c:orientation val="minMax"/>
          <c:max val="180"/>
          <c:min val="-180"/>
        </c:scaling>
        <c:delete val="0"/>
        <c:axPos val="r"/>
        <c:numFmt formatCode="General" sourceLinked="1"/>
        <c:majorTickMark val="out"/>
        <c:minorTickMark val="none"/>
        <c:tickLblPos val="nextTo"/>
        <c:crossAx val="385829504"/>
        <c:crosses val="max"/>
        <c:crossBetween val="midCat"/>
        <c:majorUnit val="90"/>
        <c:minorUnit val="45"/>
      </c:valAx>
      <c:valAx>
        <c:axId val="385829504"/>
        <c:scaling>
          <c:logBase val="10"/>
          <c:orientation val="minMax"/>
        </c:scaling>
        <c:delete val="1"/>
        <c:axPos val="b"/>
        <c:numFmt formatCode="0.00" sourceLinked="1"/>
        <c:majorTickMark val="out"/>
        <c:minorTickMark val="none"/>
        <c:tickLblPos val="nextTo"/>
        <c:crossAx val="385827968"/>
        <c:crosses val="autoZero"/>
        <c:crossBetween val="midCat"/>
      </c:valAx>
    </c:plotArea>
    <c:legend>
      <c:legendPos val="r"/>
      <c:layout>
        <c:manualLayout>
          <c:xMode val="edge"/>
          <c:yMode val="edge"/>
          <c:x val="0.79880558209512509"/>
          <c:y val="0.14321997959862004"/>
          <c:w val="0.13459449276057311"/>
          <c:h val="0.10691609861199437"/>
        </c:manualLayout>
      </c:layout>
      <c:overlay val="1"/>
      <c:spPr>
        <a:solidFill>
          <a:schemeClr val="bg1"/>
        </a:solidFill>
      </c:spPr>
    </c:legend>
    <c:plotVisOnly val="1"/>
    <c:dispBlanksAs val="gap"/>
    <c:showDLblsOverMax val="0"/>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Error</a:t>
            </a:r>
            <a:r>
              <a:rPr lang="en-US" baseline="0"/>
              <a:t> Amplifier Transfer</a:t>
            </a:r>
          </a:p>
        </c:rich>
      </c:tx>
      <c:overlay val="0"/>
    </c:title>
    <c:autoTitleDeleted val="0"/>
    <c:plotArea>
      <c:layout/>
      <c:scatterChart>
        <c:scatterStyle val="smoothMarker"/>
        <c:varyColors val="0"/>
        <c:ser>
          <c:idx val="0"/>
          <c:order val="0"/>
          <c:marker>
            <c:symbol val="none"/>
          </c:marker>
          <c:xVal>
            <c:numRef>
              <c:f>CCM_Loop_Modeling_non_isolated!$O$19:$O$560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CCM_Loop_Modeling_non_isolated!$AQ$19:$AQ$560</c:f>
              <c:numCache>
                <c:formatCode>General</c:formatCode>
                <c:ptCount val="542"/>
                <c:pt idx="0">
                  <c:v>30.8680649814108</c:v>
                </c:pt>
                <c:pt idx="1">
                  <c:v>30.668123934054073</c:v>
                </c:pt>
                <c:pt idx="2">
                  <c:v>30.468185664192049</c:v>
                </c:pt>
                <c:pt idx="3">
                  <c:v>30.26825030264142</c:v>
                </c:pt>
                <c:pt idx="4">
                  <c:v>30.068317986375913</c:v>
                </c:pt>
                <c:pt idx="5">
                  <c:v>29.86838885881598</c:v>
                </c:pt>
                <c:pt idx="6">
                  <c:v>29.668463070131615</c:v>
                </c:pt>
                <c:pt idx="7">
                  <c:v>29.468540777559596</c:v>
                </c:pt>
                <c:pt idx="8">
                  <c:v>29.268622145735677</c:v>
                </c:pt>
                <c:pt idx="9">
                  <c:v>29.068707347041681</c:v>
                </c:pt>
                <c:pt idx="10">
                  <c:v>28.868796561970086</c:v>
                </c:pt>
                <c:pt idx="11">
                  <c:v>28.668889979504222</c:v>
                </c:pt>
                <c:pt idx="12">
                  <c:v>28.468987797517364</c:v>
                </c:pt>
                <c:pt idx="13">
                  <c:v>28.26909022319008</c:v>
                </c:pt>
                <c:pt idx="14">
                  <c:v>28.069197473446955</c:v>
                </c:pt>
                <c:pt idx="15">
                  <c:v>27.869309775413932</c:v>
                </c:pt>
                <c:pt idx="16">
                  <c:v>27.669427366897168</c:v>
                </c:pt>
                <c:pt idx="17">
                  <c:v>27.469550496883631</c:v>
                </c:pt>
                <c:pt idx="18">
                  <c:v>27.269679426066066</c:v>
                </c:pt>
                <c:pt idx="19">
                  <c:v>27.069814427391272</c:v>
                </c:pt>
                <c:pt idx="20">
                  <c:v>26.869955786635234</c:v>
                </c:pt>
                <c:pt idx="21">
                  <c:v>26.67010380300356</c:v>
                </c:pt>
                <c:pt idx="22">
                  <c:v>26.470258789761591</c:v>
                </c:pt>
                <c:pt idx="23">
                  <c:v>26.27042107489244</c:v>
                </c:pt>
                <c:pt idx="24">
                  <c:v>26.070591001786326</c:v>
                </c:pt>
                <c:pt idx="25">
                  <c:v>25.870768929962015</c:v>
                </c:pt>
                <c:pt idx="26">
                  <c:v>25.670955235821388</c:v>
                </c:pt>
                <c:pt idx="27">
                  <c:v>25.471150313439527</c:v>
                </c:pt>
                <c:pt idx="28">
                  <c:v>25.271354575391012</c:v>
                </c:pt>
                <c:pt idx="29">
                  <c:v>25.071568453615129</c:v>
                </c:pt>
                <c:pt idx="30">
                  <c:v>24.871792400320551</c:v>
                </c:pt>
                <c:pt idx="31">
                  <c:v>24.672026888932251</c:v>
                </c:pt>
                <c:pt idx="32">
                  <c:v>24.47227241508233</c:v>
                </c:pt>
                <c:pt idx="33">
                  <c:v>24.272529497646701</c:v>
                </c:pt>
                <c:pt idx="34">
                  <c:v>24.072798679828765</c:v>
                </c:pt>
                <c:pt idx="35">
                  <c:v>23.873080530294708</c:v>
                </c:pt>
                <c:pt idx="36">
                  <c:v>23.673375644359709</c:v>
                </c:pt>
                <c:pt idx="37">
                  <c:v>23.473684645229483</c:v>
                </c:pt>
                <c:pt idx="38">
                  <c:v>23.274008185298793</c:v>
                </c:pt>
                <c:pt idx="39">
                  <c:v>23.074346947509461</c:v>
                </c:pt>
                <c:pt idx="40">
                  <c:v>22.874701646771186</c:v>
                </c:pt>
                <c:pt idx="41">
                  <c:v>22.675073031446761</c:v>
                </c:pt>
                <c:pt idx="42">
                  <c:v>22.475461884906011</c:v>
                </c:pt>
                <c:pt idx="43">
                  <c:v>22.2758690271502</c:v>
                </c:pt>
                <c:pt idx="44">
                  <c:v>22.076295316510812</c:v>
                </c:pt>
                <c:pt idx="45">
                  <c:v>21.876741651426034</c:v>
                </c:pt>
                <c:pt idx="46">
                  <c:v>21.677208972297294</c:v>
                </c:pt>
                <c:pt idx="47">
                  <c:v>21.477698263430952</c:v>
                </c:pt>
                <c:pt idx="48">
                  <c:v>21.278210555067581</c:v>
                </c:pt>
                <c:pt idx="49">
                  <c:v>21.078746925502859</c:v>
                </c:pt>
                <c:pt idx="50">
                  <c:v>20.879308503305253</c:v>
                </c:pt>
                <c:pt idx="51">
                  <c:v>20.67989646963213</c:v>
                </c:pt>
                <c:pt idx="52">
                  <c:v>20.480512060651321</c:v>
                </c:pt>
                <c:pt idx="53">
                  <c:v>20.281156570070817</c:v>
                </c:pt>
                <c:pt idx="54">
                  <c:v>20.081831351781531</c:v>
                </c:pt>
                <c:pt idx="55">
                  <c:v>19.882537822618257</c:v>
                </c:pt>
                <c:pt idx="56">
                  <c:v>19.683277465243762</c:v>
                </c:pt>
                <c:pt idx="57">
                  <c:v>19.484051831160368</c:v>
                </c:pt>
                <c:pt idx="58">
                  <c:v>19.284862543855414</c:v>
                </c:pt>
                <c:pt idx="59">
                  <c:v>19.085711302085258</c:v>
                </c:pt>
                <c:pt idx="60">
                  <c:v>18.886599883303685</c:v>
                </c:pt>
                <c:pt idx="61">
                  <c:v>18.687530147240576</c:v>
                </c:pt>
                <c:pt idx="62">
                  <c:v>18.488504039637302</c:v>
                </c:pt>
                <c:pt idx="63">
                  <c:v>18.289523596144022</c:v>
                </c:pt>
                <c:pt idx="64">
                  <c:v>18.090590946386126</c:v>
                </c:pt>
                <c:pt idx="65">
                  <c:v>17.891708318206369</c:v>
                </c:pt>
                <c:pt idx="66">
                  <c:v>17.692878042088786</c:v>
                </c:pt>
                <c:pt idx="67">
                  <c:v>17.494102555772013</c:v>
                </c:pt>
                <c:pt idx="68">
                  <c:v>17.295384409058869</c:v>
                </c:pt>
                <c:pt idx="69">
                  <c:v>17.096726268829176</c:v>
                </c:pt>
                <c:pt idx="70">
                  <c:v>16.898130924263842</c:v>
                </c:pt>
                <c:pt idx="71">
                  <c:v>16.69960129228722</c:v>
                </c:pt>
                <c:pt idx="72">
                  <c:v>16.501140423235828</c:v>
                </c:pt>
                <c:pt idx="73">
                  <c:v>16.302751506761421</c:v>
                </c:pt>
                <c:pt idx="74">
                  <c:v>16.104437877975052</c:v>
                </c:pt>
                <c:pt idx="75">
                  <c:v>15.906203023842911</c:v>
                </c:pt>
                <c:pt idx="76">
                  <c:v>15.708050589839059</c:v>
                </c:pt>
                <c:pt idx="77">
                  <c:v>15.509984386865472</c:v>
                </c:pt>
                <c:pt idx="78">
                  <c:v>15.312008398446162</c:v>
                </c:pt>
                <c:pt idx="79">
                  <c:v>15.114126788204743</c:v>
                </c:pt>
                <c:pt idx="80">
                  <c:v>14.91634390763296</c:v>
                </c:pt>
                <c:pt idx="81">
                  <c:v>14.718664304158505</c:v>
                </c:pt>
                <c:pt idx="82">
                  <c:v>14.5210927295198</c:v>
                </c:pt>
                <c:pt idx="83">
                  <c:v>14.323634148456874</c:v>
                </c:pt>
                <c:pt idx="84">
                  <c:v>14.126293747723812</c:v>
                </c:pt>
                <c:pt idx="85">
                  <c:v>13.929076945432556</c:v>
                </c:pt>
                <c:pt idx="86">
                  <c:v>13.731989400733314</c:v>
                </c:pt>
                <c:pt idx="87">
                  <c:v>13.535037023839338</c:v>
                </c:pt>
                <c:pt idx="88">
                  <c:v>13.338225986401218</c:v>
                </c:pt>
                <c:pt idx="89">
                  <c:v>13.141562732238183</c:v>
                </c:pt>
                <c:pt idx="90">
                  <c:v>12.945053988428848</c:v>
                </c:pt>
                <c:pt idx="91">
                  <c:v>12.748706776767758</c:v>
                </c:pt>
                <c:pt idx="92">
                  <c:v>12.552528425590438</c:v>
                </c:pt>
                <c:pt idx="93">
                  <c:v>12.356526581968414</c:v>
                </c:pt>
                <c:pt idx="94">
                  <c:v>12.160709224277531</c:v>
                </c:pt>
                <c:pt idx="95">
                  <c:v>11.96508467513701</c:v>
                </c:pt>
                <c:pt idx="96">
                  <c:v>11.769661614720155</c:v>
                </c:pt>
                <c:pt idx="97">
                  <c:v>11.574449094432545</c:v>
                </c:pt>
                <c:pt idx="98">
                  <c:v>11.379456550953167</c:v>
                </c:pt>
                <c:pt idx="99">
                  <c:v>11.184693820632001</c:v>
                </c:pt>
                <c:pt idx="100">
                  <c:v>10.990171154235185</c:v>
                </c:pt>
                <c:pt idx="101">
                  <c:v>10.79589923202697</c:v>
                </c:pt>
                <c:pt idx="102">
                  <c:v>10.601889179174</c:v>
                </c:pt>
                <c:pt idx="103">
                  <c:v>10.408152581456367</c:v>
                </c:pt>
                <c:pt idx="104">
                  <c:v>10.214701501264807</c:v>
                </c:pt>
                <c:pt idx="105">
                  <c:v>10.021548493862085</c:v>
                </c:pt>
                <c:pt idx="106">
                  <c:v>9.8287066238810397</c:v>
                </c:pt>
                <c:pt idx="107">
                  <c:v>9.6361894820292733</c:v>
                </c:pt>
                <c:pt idx="108">
                  <c:v>9.4440112019659921</c:v>
                </c:pt>
                <c:pt idx="109">
                  <c:v>9.2521864773106195</c:v>
                </c:pt>
                <c:pt idx="110">
                  <c:v>9.0607305787404755</c:v>
                </c:pt>
                <c:pt idx="111">
                  <c:v>8.8696593711265397</c:v>
                </c:pt>
                <c:pt idx="112">
                  <c:v>8.6789893306536214</c:v>
                </c:pt>
                <c:pt idx="113">
                  <c:v>8.4887375618634877</c:v>
                </c:pt>
                <c:pt idx="114">
                  <c:v>8.298921814553788</c:v>
                </c:pt>
                <c:pt idx="115">
                  <c:v>8.1095605004592404</c:v>
                </c:pt>
                <c:pt idx="116">
                  <c:v>7.9206727096347027</c:v>
                </c:pt>
                <c:pt idx="117">
                  <c:v>7.7322782264524035</c:v>
                </c:pt>
                <c:pt idx="118">
                  <c:v>7.5443975451173273</c:v>
                </c:pt>
                <c:pt idx="119">
                  <c:v>7.3570518845988442</c:v>
                </c:pt>
                <c:pt idx="120">
                  <c:v>7.1702632028668267</c:v>
                </c:pt>
                <c:pt idx="121">
                  <c:v>6.9840542103132206</c:v>
                </c:pt>
                <c:pt idx="122">
                  <c:v>6.79844838223132</c:v>
                </c:pt>
                <c:pt idx="123">
                  <c:v>6.6134699702174906</c:v>
                </c:pt>
                <c:pt idx="124">
                  <c:v>6.4291440123496546</c:v>
                </c:pt>
                <c:pt idx="125">
                  <c:v>6.2454963419911724</c:v>
                </c:pt>
                <c:pt idx="126">
                  <c:v>6.0625535950575919</c:v>
                </c:pt>
                <c:pt idx="127">
                  <c:v>5.880343215578657</c:v>
                </c:pt>
                <c:pt idx="128">
                  <c:v>5.6988934593779881</c:v>
                </c:pt>
                <c:pt idx="129">
                  <c:v>5.5182333956869112</c:v>
                </c:pt>
                <c:pt idx="130">
                  <c:v>5.3383929065030253</c:v>
                </c:pt>
                <c:pt idx="131">
                  <c:v>5.1594026834963884</c:v>
                </c:pt>
                <c:pt idx="132">
                  <c:v>4.9812942222639141</c:v>
                </c:pt>
                <c:pt idx="133">
                  <c:v>4.8040998137277082</c:v>
                </c:pt>
                <c:pt idx="134">
                  <c:v>4.6278525324704978</c:v>
                </c:pt>
                <c:pt idx="135">
                  <c:v>4.4525862218023642</c:v>
                </c:pt>
                <c:pt idx="136">
                  <c:v>4.2783354753517377</c:v>
                </c:pt>
                <c:pt idx="137">
                  <c:v>4.1051356149788178</c:v>
                </c:pt>
                <c:pt idx="138">
                  <c:v>3.9330226648130817</c:v>
                </c:pt>
                <c:pt idx="139">
                  <c:v>3.7620333212258172</c:v>
                </c:pt>
                <c:pt idx="140">
                  <c:v>3.5922049185564338</c:v>
                </c:pt>
                <c:pt idx="141">
                  <c:v>3.4235753904270583</c:v>
                </c:pt>
                <c:pt idx="142">
                  <c:v>3.2561832264936292</c:v>
                </c:pt>
                <c:pt idx="143">
                  <c:v>3.0900674245017234</c:v>
                </c:pt>
                <c:pt idx="144">
                  <c:v>2.925267437537717</c:v>
                </c:pt>
                <c:pt idx="145">
                  <c:v>2.7618231163909068</c:v>
                </c:pt>
                <c:pt idx="146">
                  <c:v>2.599774646972187</c:v>
                </c:pt>
                <c:pt idx="147">
                  <c:v>2.4391624827667799</c:v>
                </c:pt>
                <c:pt idx="148">
                  <c:v>2.2800272723345878</c:v>
                </c:pt>
                <c:pt idx="149">
                  <c:v>2.1224097819105729</c:v>
                </c:pt>
                <c:pt idx="150">
                  <c:v>1.9663508132010281</c:v>
                </c:pt>
                <c:pt idx="151">
                  <c:v>1.8118911165148863</c:v>
                </c:pt>
                <c:pt idx="152">
                  <c:v>1.6590712994191485</c:v>
                </c:pt>
                <c:pt idx="153">
                  <c:v>1.5079317311548424</c:v>
                </c:pt>
                <c:pt idx="154">
                  <c:v>1.3585124431039555</c:v>
                </c:pt>
                <c:pt idx="155">
                  <c:v>1.2108530256483137</c:v>
                </c:pt>
                <c:pt idx="156">
                  <c:v>1.0649925218159109</c:v>
                </c:pt>
                <c:pt idx="157">
                  <c:v>0.92096931816199068</c:v>
                </c:pt>
                <c:pt idx="158">
                  <c:v>0.77882103338444364</c:v>
                </c:pt>
                <c:pt idx="159">
                  <c:v>0.6385844052231836</c:v>
                </c:pt>
                <c:pt idx="160">
                  <c:v>0.50029517623974462</c:v>
                </c:pt>
                <c:pt idx="161">
                  <c:v>0.3639879791172107</c:v>
                </c:pt>
                <c:pt idx="162">
                  <c:v>0.2296962221601887</c:v>
                </c:pt>
                <c:pt idx="163">
                  <c:v>9.7451975706947538E-2</c:v>
                </c:pt>
                <c:pt idx="164">
                  <c:v>-3.2714139806457487E-2</c:v>
                </c:pt>
                <c:pt idx="165">
                  <c:v>-0.16077306336884781</c:v>
                </c:pt>
                <c:pt idx="166">
                  <c:v>-0.28669739973229197</c:v>
                </c:pt>
                <c:pt idx="167">
                  <c:v>-0.41046152178887263</c:v>
                </c:pt>
                <c:pt idx="168">
                  <c:v>-0.5320416682150777</c:v>
                </c:pt>
                <c:pt idx="169">
                  <c:v>-0.65141603562730621</c:v>
                </c:pt>
                <c:pt idx="170">
                  <c:v>-0.76856486451521677</c:v>
                </c:pt>
                <c:pt idx="171">
                  <c:v>-0.88347051825494027</c:v>
                </c:pt>
                <c:pt idx="172">
                  <c:v>-0.99611755454527873</c:v>
                </c:pt>
                <c:pt idx="173">
                  <c:v>-1.1064927886636633</c:v>
                </c:pt>
                <c:pt idx="174">
                  <c:v>-1.21458534799913</c:v>
                </c:pt>
                <c:pt idx="175">
                  <c:v>-1.3203867173876942</c:v>
                </c:pt>
                <c:pt idx="176">
                  <c:v>-1.4238907748516527</c:v>
                </c:pt>
                <c:pt idx="177">
                  <c:v>-1.5250938174261481</c:v>
                </c:pt>
                <c:pt idx="178">
                  <c:v>-1.6239945768418662</c:v>
                </c:pt>
                <c:pt idx="179">
                  <c:v>-1.7205942249244777</c:v>
                </c:pt>
                <c:pt idx="180">
                  <c:v>-1.8148963686608002</c:v>
                </c:pt>
                <c:pt idx="181">
                  <c:v>-1.9069070349777086</c:v>
                </c:pt>
                <c:pt idx="182">
                  <c:v>-1.9966346453693182</c:v>
                </c:pt>
                <c:pt idx="183">
                  <c:v>-2.0840899805999711</c:v>
                </c:pt>
                <c:pt idx="184">
                  <c:v>-2.1692861357952351</c:v>
                </c:pt>
                <c:pt idx="185">
                  <c:v>-2.2522384663176842</c:v>
                </c:pt>
                <c:pt idx="186">
                  <c:v>-2.3329645248969282</c:v>
                </c:pt>
                <c:pt idx="187">
                  <c:v>-2.4114839905553929</c:v>
                </c:pt>
                <c:pt idx="188">
                  <c:v>-2.4878185899305745</c:v>
                </c:pt>
                <c:pt idx="189">
                  <c:v>-2.5619920116471917</c:v>
                </c:pt>
                <c:pt idx="190">
                  <c:v>-2.634029814437389</c:v>
                </c:pt>
                <c:pt idx="191">
                  <c:v>-2.7039593297403997</c:v>
                </c:pt>
                <c:pt idx="192">
                  <c:v>-2.7718095595363068</c:v>
                </c:pt>
                <c:pt idx="193">
                  <c:v>-2.8376110701866555</c:v>
                </c:pt>
                <c:pt idx="194">
                  <c:v>-2.9013958830559017</c:v>
                </c:pt>
                <c:pt idx="195">
                  <c:v>-2.9631973626895114</c:v>
                </c:pt>
                <c:pt idx="196">
                  <c:v>-3.0230501033063688</c:v>
                </c:pt>
                <c:pt idx="197">
                  <c:v>-3.0809898143486332</c:v>
                </c:pt>
                <c:pt idx="198">
                  <c:v>-3.137053205803003</c:v>
                </c:pt>
                <c:pt idx="199">
                  <c:v>-3.1912778739732488</c:v>
                </c:pt>
                <c:pt idx="200">
                  <c:v>-3.2437021883468677</c:v>
                </c:pt>
                <c:pt idx="201">
                  <c:v>-3.2943651801535778</c:v>
                </c:pt>
                <c:pt idx="202">
                  <c:v>-3.3433064331686095</c:v>
                </c:pt>
                <c:pt idx="203">
                  <c:v>-3.3905659772606898</c:v>
                </c:pt>
                <c:pt idx="204">
                  <c:v>-3.4361841851365895</c:v>
                </c:pt>
                <c:pt idx="205">
                  <c:v>-3.4802016726780955</c:v>
                </c:pt>
                <c:pt idx="206">
                  <c:v>-3.5226592032165485</c:v>
                </c:pt>
                <c:pt idx="207">
                  <c:v>-3.5635975960359167</c:v>
                </c:pt>
                <c:pt idx="208">
                  <c:v>-3.6030576393443776</c:v>
                </c:pt>
                <c:pt idx="209">
                  <c:v>-3.6410800079056278</c:v>
                </c:pt>
                <c:pt idx="210">
                  <c:v>-3.677705185470264</c:v>
                </c:pt>
                <c:pt idx="211">
                  <c:v>-3.7129733921060541</c:v>
                </c:pt>
                <c:pt idx="212">
                  <c:v>-3.746924516480858</c:v>
                </c:pt>
                <c:pt idx="213">
                  <c:v>-3.7795980531132649</c:v>
                </c:pt>
                <c:pt idx="214">
                  <c:v>-3.8110330445708165</c:v>
                </c:pt>
                <c:pt idx="215">
                  <c:v>-3.8412680285624399</c:v>
                </c:pt>
                <c:pt idx="216">
                  <c:v>-3.8703409898413108</c:v>
                </c:pt>
                <c:pt idx="217">
                  <c:v>-3.8982893168111743</c:v>
                </c:pt>
                <c:pt idx="218">
                  <c:v>-3.9251497627042227</c:v>
                </c:pt>
                <c:pt idx="219">
                  <c:v>-3.9509584111811651</c:v>
                </c:pt>
                <c:pt idx="220">
                  <c:v>-3.9757506461862513</c:v>
                </c:pt>
                <c:pt idx="221">
                  <c:v>-3.9995611258789805</c:v>
                </c:pt>
                <c:pt idx="222">
                  <c:v>-4.0224237604534387</c:v>
                </c:pt>
                <c:pt idx="223">
                  <c:v>-4.0443716936460943</c:v>
                </c:pt>
                <c:pt idx="224">
                  <c:v>-4.0654372877320784</c:v>
                </c:pt>
                <c:pt idx="225">
                  <c:v>-4.0856521118024594</c:v>
                </c:pt>
                <c:pt idx="226">
                  <c:v>-4.1050469331165029</c:v>
                </c:pt>
                <c:pt idx="227">
                  <c:v>-4.1236517113231468</c:v>
                </c:pt>
                <c:pt idx="228">
                  <c:v>-4.1414955953475117</c:v>
                </c:pt>
                <c:pt idx="229">
                  <c:v>-4.1586069227407156</c:v>
                </c:pt>
                <c:pt idx="230">
                  <c:v>-4.1750132212996887</c:v>
                </c:pt>
                <c:pt idx="231">
                  <c:v>-4.1907412127640091</c:v>
                </c:pt>
                <c:pt idx="232">
                  <c:v>-4.2058168184087892</c:v>
                </c:pt>
                <c:pt idx="233">
                  <c:v>-4.2202651663537516</c:v>
                </c:pt>
                <c:pt idx="234">
                  <c:v>-4.2341106004224134</c:v>
                </c:pt>
                <c:pt idx="235">
                  <c:v>-4.2473766903883767</c:v>
                </c:pt>
                <c:pt idx="236">
                  <c:v>-4.2600862434560396</c:v>
                </c:pt>
                <c:pt idx="237">
                  <c:v>-4.2722613168321768</c:v>
                </c:pt>
                <c:pt idx="238">
                  <c:v>-4.2839232312511859</c:v>
                </c:pt>
                <c:pt idx="239">
                  <c:v>-4.2950925853264161</c:v>
                </c:pt>
                <c:pt idx="240">
                  <c:v>-4.30578927061012</c:v>
                </c:pt>
                <c:pt idx="241">
                  <c:v>-4.3160324872478419</c:v>
                </c:pt>
                <c:pt idx="242">
                  <c:v>-4.325840760127198</c:v>
                </c:pt>
                <c:pt idx="243">
                  <c:v>-4.3352319554239855</c:v>
                </c:pt>
                <c:pt idx="244">
                  <c:v>-4.344223297458945</c:v>
                </c:pt>
                <c:pt idx="245">
                  <c:v>-4.3528313857836416</c:v>
                </c:pt>
                <c:pt idx="246">
                  <c:v>-4.3610722124234176</c:v>
                </c:pt>
                <c:pt idx="247">
                  <c:v>-4.3689611792085374</c:v>
                </c:pt>
                <c:pt idx="248">
                  <c:v>-4.3765131151353254</c:v>
                </c:pt>
                <c:pt idx="249">
                  <c:v>-4.3837422936997692</c:v>
                </c:pt>
                <c:pt idx="250">
                  <c:v>-4.3906624501567562</c:v>
                </c:pt>
                <c:pt idx="251">
                  <c:v>-4.3972867986600495</c:v>
                </c:pt>
                <c:pt idx="252">
                  <c:v>-4.4036280492434363</c:v>
                </c:pt>
                <c:pt idx="253">
                  <c:v>-4.4096984246102799</c:v>
                </c:pt>
                <c:pt idx="254">
                  <c:v>-4.4155096766994282</c:v>
                </c:pt>
                <c:pt idx="255">
                  <c:v>-4.4210731030028114</c:v>
                </c:pt>
                <c:pt idx="256">
                  <c:v>-4.4263995626119392</c:v>
                </c:pt>
                <c:pt idx="257">
                  <c:v>-4.4314994919735353</c:v>
                </c:pt>
                <c:pt idx="258">
                  <c:v>-4.4363829203387457</c:v>
                </c:pt>
                <c:pt idx="259">
                  <c:v>-4.4410594848933469</c:v>
                </c:pt>
                <c:pt idx="260">
                  <c:v>-4.4455384455579932</c:v>
                </c:pt>
                <c:pt idx="261">
                  <c:v>-4.4498286994500864</c:v>
                </c:pt>
                <c:pt idx="262">
                  <c:v>-4.4539387950021156</c:v>
                </c:pt>
                <c:pt idx="263">
                  <c:v>-4.4578769457320897</c:v>
                </c:pt>
                <c:pt idx="264">
                  <c:v>-4.4616510436642001</c:v>
                </c:pt>
                <c:pt idx="265">
                  <c:v>-4.4652686723991657</c:v>
                </c:pt>
                <c:pt idx="266">
                  <c:v>-4.4687371198349783</c:v>
                </c:pt>
                <c:pt idx="267">
                  <c:v>-4.4720633905407965</c:v>
                </c:pt>
                <c:pt idx="268">
                  <c:v>-4.4752542177868984</c:v>
                </c:pt>
                <c:pt idx="269">
                  <c:v>-4.4783160752357771</c:v>
                </c:pt>
                <c:pt idx="270">
                  <c:v>-4.4812551882989133</c:v>
                </c:pt>
                <c:pt idx="271">
                  <c:v>-4.4840775451667882</c:v>
                </c:pt>
                <c:pt idx="272">
                  <c:v>-4.4867889075173792</c:v>
                </c:pt>
                <c:pt idx="273">
                  <c:v>-4.4893948209120413</c:v>
                </c:pt>
                <c:pt idx="274">
                  <c:v>-4.4919006248862479</c:v>
                </c:pt>
                <c:pt idx="275">
                  <c:v>-4.4943114627438101</c:v>
                </c:pt>
                <c:pt idx="276">
                  <c:v>-4.4966322910634728</c:v>
                </c:pt>
                <c:pt idx="277">
                  <c:v>-4.4988678889275127</c:v>
                </c:pt>
                <c:pt idx="278">
                  <c:v>-4.5010228668811632</c:v>
                </c:pt>
                <c:pt idx="279">
                  <c:v>-4.5031016756336477</c:v>
                </c:pt>
                <c:pt idx="280">
                  <c:v>-4.5051086145099646</c:v>
                </c:pt>
                <c:pt idx="281">
                  <c:v>-4.5070478396638585</c:v>
                </c:pt>
                <c:pt idx="282">
                  <c:v>-4.5089233720625419</c:v>
                </c:pt>
                <c:pt idx="283">
                  <c:v>-4.510739105252747</c:v>
                </c:pt>
                <c:pt idx="284">
                  <c:v>-4.5124988129194534</c:v>
                </c:pt>
                <c:pt idx="285">
                  <c:v>-4.514206156246658</c:v>
                </c:pt>
                <c:pt idx="286">
                  <c:v>-4.515864691092168</c:v>
                </c:pt>
                <c:pt idx="287">
                  <c:v>-4.5174778749846745</c:v>
                </c:pt>
                <c:pt idx="288">
                  <c:v>-4.5190490739562064</c:v>
                </c:pt>
                <c:pt idx="289">
                  <c:v>-4.5205815692177271</c:v>
                </c:pt>
                <c:pt idx="290">
                  <c:v>-4.5220785636905694</c:v>
                </c:pt>
                <c:pt idx="291">
                  <c:v>-4.5235431884024466</c:v>
                </c:pt>
                <c:pt idx="292">
                  <c:v>-4.5249785087595216</c:v>
                </c:pt>
                <c:pt idx="293">
                  <c:v>-4.5263875307039942</c:v>
                </c:pt>
                <c:pt idx="294">
                  <c:v>-4.5277732067675629</c:v>
                </c:pt>
                <c:pt idx="295">
                  <c:v>-4.5291384420317353</c:v>
                </c:pt>
                <c:pt idx="296">
                  <c:v>-4.5304861000039871</c:v>
                </c:pt>
                <c:pt idx="297">
                  <c:v>-4.5318190084213734</c:v>
                </c:pt>
                <c:pt idx="298">
                  <c:v>-4.533139964989334</c:v>
                </c:pt>
                <c:pt idx="299">
                  <c:v>-4.5344517430684892</c:v>
                </c:pt>
                <c:pt idx="300">
                  <c:v>-4.5357570973177612</c:v>
                </c:pt>
                <c:pt idx="301">
                  <c:v>-4.5370587693036031</c:v>
                </c:pt>
                <c:pt idx="302">
                  <c:v>-4.5383594930868378</c:v>
                </c:pt>
                <c:pt idx="303">
                  <c:v>-4.5396620007951185</c:v>
                </c:pt>
                <c:pt idx="304">
                  <c:v>-4.5409690281928459</c:v>
                </c:pt>
                <c:pt idx="305">
                  <c:v>-4.5422833202567983</c:v>
                </c:pt>
                <c:pt idx="306">
                  <c:v>-4.5436076367687557</c:v>
                </c:pt>
                <c:pt idx="307">
                  <c:v>-4.5449447579342088</c:v>
                </c:pt>
                <c:pt idx="308">
                  <c:v>-4.5462974900375723</c:v>
                </c:pt>
                <c:pt idx="309">
                  <c:v>-4.5476686711438488</c:v>
                </c:pt>
                <c:pt idx="310">
                  <c:v>-4.5490611768563296</c:v>
                </c:pt>
                <c:pt idx="311">
                  <c:v>-4.5504779261413688</c:v>
                </c:pt>
                <c:pt idx="312">
                  <c:v>-4.5519218872289295</c:v>
                </c:pt>
                <c:pt idx="313">
                  <c:v>-4.5533960836002914</c:v>
                </c:pt>
                <c:pt idx="314">
                  <c:v>-4.5549036000726515</c:v>
                </c:pt>
                <c:pt idx="315">
                  <c:v>-4.5564475889903937</c:v>
                </c:pt>
                <c:pt idx="316">
                  <c:v>-4.5580312765340008</c:v>
                </c:pt>
                <c:pt idx="317">
                  <c:v>-4.5596579691563068</c:v>
                </c:pt>
                <c:pt idx="318">
                  <c:v>-4.5613310601569381</c:v>
                </c:pt>
                <c:pt idx="319">
                  <c:v>-4.5630540364049441</c:v>
                </c:pt>
                <c:pt idx="320">
                  <c:v>-4.5648304852202166</c:v>
                </c:pt>
                <c:pt idx="321">
                  <c:v>-4.5666641014241547</c:v>
                </c:pt>
                <c:pt idx="322">
                  <c:v>-4.5685586945699503</c:v>
                </c:pt>
                <c:pt idx="323">
                  <c:v>-4.5705181963630146</c:v>
                </c:pt>
                <c:pt idx="324">
                  <c:v>-4.5725466682814604</c:v>
                </c:pt>
                <c:pt idx="325">
                  <c:v>-4.5746483094086274</c:v>
                </c:pt>
                <c:pt idx="326">
                  <c:v>-4.5768274644863238</c:v>
                </c:pt>
                <c:pt idx="327">
                  <c:v>-4.5790886321994186</c:v>
                </c:pt>
                <c:pt idx="328">
                  <c:v>-4.5814364737033682</c:v>
                </c:pt>
                <c:pt idx="329">
                  <c:v>-4.583875821402347</c:v>
                </c:pt>
                <c:pt idx="330">
                  <c:v>-4.5864116879910393</c:v>
                </c:pt>
                <c:pt idx="331">
                  <c:v>-4.5890492757663175</c:v>
                </c:pt>
                <c:pt idx="332">
                  <c:v>-4.5917939862215356</c:v>
                </c:pt>
                <c:pt idx="333">
                  <c:v>-4.594651429929975</c:v>
                </c:pt>
                <c:pt idx="334">
                  <c:v>-4.5976274367284375</c:v>
                </c:pt>
                <c:pt idx="335">
                  <c:v>-4.6007280662074814</c:v>
                </c:pt>
                <c:pt idx="336">
                  <c:v>-4.6039596185179894</c:v>
                </c:pt>
                <c:pt idx="337">
                  <c:v>-4.6073286455000488</c:v>
                </c:pt>
                <c:pt idx="338">
                  <c:v>-4.6108419621414036</c:v>
                </c:pt>
                <c:pt idx="339">
                  <c:v>-4.6145066583714751</c:v>
                </c:pt>
                <c:pt idx="340">
                  <c:v>-4.6183301111966317</c:v>
                </c:pt>
                <c:pt idx="341">
                  <c:v>-4.6223199971793782</c:v>
                </c:pt>
                <c:pt idx="342">
                  <c:v>-4.6264843052659081</c:v>
                </c:pt>
                <c:pt idx="343">
                  <c:v>-4.6308313499636808</c:v>
                </c:pt>
                <c:pt idx="344">
                  <c:v>-4.6353697848691464</c:v>
                </c:pt>
                <c:pt idx="345">
                  <c:v>-4.6401086165447101</c:v>
                </c:pt>
                <c:pt idx="346">
                  <c:v>-4.6450572187427888</c:v>
                </c:pt>
                <c:pt idx="347">
                  <c:v>-4.6502253469720847</c:v>
                </c:pt>
                <c:pt idx="348">
                  <c:v>-4.6556231533993362</c:v>
                </c:pt>
                <c:pt idx="349">
                  <c:v>-4.6612612020784159</c:v>
                </c:pt>
                <c:pt idx="350">
                  <c:v>-4.6671504844949263</c:v>
                </c:pt>
                <c:pt idx="351">
                  <c:v>-4.673302435412678</c:v>
                </c:pt>
                <c:pt idx="352">
                  <c:v>-4.6797289490050478</c:v>
                </c:pt>
                <c:pt idx="353">
                  <c:v>-4.6864423952510101</c:v>
                </c:pt>
                <c:pt idx="354">
                  <c:v>-4.6934556365727333</c:v>
                </c:pt>
                <c:pt idx="355">
                  <c:v>-4.7007820446868616</c:v>
                </c:pt>
                <c:pt idx="356">
                  <c:v>-4.7084355176382564</c:v>
                </c:pt>
                <c:pt idx="357">
                  <c:v>-4.7164304969805739</c:v>
                </c:pt>
                <c:pt idx="358">
                  <c:v>-4.7247819850634762</c:v>
                </c:pt>
                <c:pt idx="359">
                  <c:v>-4.7335055623797615</c:v>
                </c:pt>
                <c:pt idx="360">
                  <c:v>-4.7426174049236804</c:v>
                </c:pt>
                <c:pt idx="361">
                  <c:v>-4.7521343015016191</c:v>
                </c:pt>
                <c:pt idx="362">
                  <c:v>-4.7620736709347842</c:v>
                </c:pt>
                <c:pt idx="363">
                  <c:v>-4.7724535790825442</c:v>
                </c:pt>
                <c:pt idx="364">
                  <c:v>-4.7832927556137008</c:v>
                </c:pt>
                <c:pt idx="365">
                  <c:v>-4.7946106104402624</c:v>
                </c:pt>
                <c:pt idx="366">
                  <c:v>-4.8064272497254574</c:v>
                </c:pt>
                <c:pt idx="367">
                  <c:v>-4.8187634913683199</c:v>
                </c:pt>
                <c:pt idx="368">
                  <c:v>-4.8316408798580133</c:v>
                </c:pt>
                <c:pt idx="369">
                  <c:v>-4.8450817003863733</c:v>
                </c:pt>
                <c:pt idx="370">
                  <c:v>-4.8591089920950994</c:v>
                </c:pt>
                <c:pt idx="371">
                  <c:v>-4.8737465603286294</c:v>
                </c:pt>
                <c:pt idx="372">
                  <c:v>-4.8890189877529533</c:v>
                </c:pt>
                <c:pt idx="373">
                  <c:v>-4.9049516441944281</c:v>
                </c:pt>
                <c:pt idx="374">
                  <c:v>-4.9215706950420666</c:v>
                </c:pt>
                <c:pt idx="375">
                  <c:v>-4.9389031080504884</c:v>
                </c:pt>
                <c:pt idx="376">
                  <c:v>-4.9569766583717501</c:v>
                </c:pt>
                <c:pt idx="377">
                  <c:v>-4.9758199316366252</c:v>
                </c:pt>
                <c:pt idx="378">
                  <c:v>-4.995462324900811</c:v>
                </c:pt>
                <c:pt idx="379">
                  <c:v>-5.015934045262572</c:v>
                </c:pt>
                <c:pt idx="380">
                  <c:v>-5.0372661059554789</c:v>
                </c:pt>
                <c:pt idx="381">
                  <c:v>-5.0594903197135466</c:v>
                </c:pt>
                <c:pt idx="382">
                  <c:v>-5.082639289206293</c:v>
                </c:pt>
                <c:pt idx="383">
                  <c:v>-5.1067463943331717</c:v>
                </c:pt>
                <c:pt idx="384">
                  <c:v>-5.1318457761755436</c:v>
                </c:pt>
                <c:pt idx="385">
                  <c:v>-5.1579723173971592</c:v>
                </c:pt>
                <c:pt idx="386">
                  <c:v>-5.1851616188954672</c:v>
                </c:pt>
                <c:pt idx="387">
                  <c:v>-5.2134499725059245</c:v>
                </c:pt>
                <c:pt idx="388">
                  <c:v>-5.2428743295743647</c:v>
                </c:pt>
                <c:pt idx="389">
                  <c:v>-5.2734722652214794</c:v>
                </c:pt>
                <c:pt idx="390">
                  <c:v>-5.3052819381376342</c:v>
                </c:pt>
                <c:pt idx="391">
                  <c:v>-5.3383420457636364</c:v>
                </c:pt>
                <c:pt idx="392">
                  <c:v>-5.3726917747326457</c:v>
                </c:pt>
                <c:pt idx="393">
                  <c:v>-5.4083707464734188</c:v>
                </c:pt>
                <c:pt idx="394">
                  <c:v>-5.4454189578994194</c:v>
                </c:pt>
                <c:pt idx="395">
                  <c:v>-5.483876717140852</c:v>
                </c:pt>
                <c:pt idx="396">
                  <c:v>-5.5237845743096301</c:v>
                </c:pt>
                <c:pt idx="397">
                  <c:v>-5.5651832473232457</c:v>
                </c:pt>
                <c:pt idx="398">
                  <c:v>-5.6081135428562856</c:v>
                </c:pt>
                <c:pt idx="399">
                  <c:v>-5.6526162725287818</c:v>
                </c:pt>
                <c:pt idx="400">
                  <c:v>-5.69873216448919</c:v>
                </c:pt>
                <c:pt idx="401">
                  <c:v>-5.7465017705960628</c:v>
                </c:pt>
                <c:pt idx="402">
                  <c:v>-5.7959653694552546</c:v>
                </c:pt>
                <c:pt idx="403">
                  <c:v>-5.8471628656187882</c:v>
                </c:pt>
                <c:pt idx="404">
                  <c:v>-5.900133685307571</c:v>
                </c:pt>
                <c:pt idx="405">
                  <c:v>-5.9549166690693838</c:v>
                </c:pt>
                <c:pt idx="406">
                  <c:v>-6.0115499618403696</c:v>
                </c:pt>
                <c:pt idx="407">
                  <c:v>-6.0700709009249607</c:v>
                </c:pt>
                <c:pt idx="408">
                  <c:v>-6.1305159024624079</c:v>
                </c:pt>
                <c:pt idx="409">
                  <c:v>-6.1929203469917251</c:v>
                </c:pt>
                <c:pt idx="410">
                  <c:v>-6.2573184647678399</c:v>
                </c:pt>
                <c:pt idx="411">
                  <c:v>-6.3237432215236975</c:v>
                </c:pt>
                <c:pt idx="412">
                  <c:v>-6.3922262053980647</c:v>
                </c:pt>
                <c:pt idx="413">
                  <c:v>-6.4627975157790534</c:v>
                </c:pt>
                <c:pt idx="414">
                  <c:v>-6.5354856548283244</c:v>
                </c:pt>
                <c:pt idx="415">
                  <c:v>-6.6103174224601275</c:v>
                </c:pt>
                <c:pt idx="416">
                  <c:v>-6.6873178155519426</c:v>
                </c:pt>
                <c:pt idx="417">
                  <c:v>-6.7665099321526618</c:v>
                </c:pt>
                <c:pt idx="418">
                  <c:v>-6.847914881438828</c:v>
                </c:pt>
                <c:pt idx="419">
                  <c:v>-6.931551700140508</c:v>
                </c:pt>
                <c:pt idx="420">
                  <c:v>-7.0174372761213952</c:v>
                </c:pt>
                <c:pt idx="421">
                  <c:v>-7.1055862797528411</c:v>
                </c:pt>
                <c:pt idx="422">
                  <c:v>-7.1960111036645511</c:v>
                </c:pt>
                <c:pt idx="423">
                  <c:v>-7.288721811391631</c:v>
                </c:pt>
                <c:pt idx="424">
                  <c:v>-7.38372609536769</c:v>
                </c:pt>
                <c:pt idx="425">
                  <c:v>-7.4810292446331994</c:v>
                </c:pt>
                <c:pt idx="426">
                  <c:v>-7.5806341225475373</c:v>
                </c:pt>
                <c:pt idx="427">
                  <c:v>-7.6825411547042712</c:v>
                </c:pt>
                <c:pt idx="428">
                  <c:v>-7.7867483271569373</c:v>
                </c:pt>
                <c:pt idx="429">
                  <c:v>-7.8932511949727759</c:v>
                </c:pt>
                <c:pt idx="430">
                  <c:v>-8.0020429010373562</c:v>
                </c:pt>
                <c:pt idx="431">
                  <c:v>-8.1131142049411586</c:v>
                </c:pt>
                <c:pt idx="432">
                  <c:v>-8.226453521691198</c:v>
                </c:pt>
                <c:pt idx="433">
                  <c:v>-8.3420469699055566</c:v>
                </c:pt>
                <c:pt idx="434">
                  <c:v>-8.4598784290675848</c:v>
                </c:pt>
                <c:pt idx="435">
                  <c:v>-8.5799296053445708</c:v>
                </c:pt>
                <c:pt idx="436">
                  <c:v>-8.7021801054077539</c:v>
                </c:pt>
                <c:pt idx="437">
                  <c:v>-8.8266075176337768</c:v>
                </c:pt>
                <c:pt idx="438">
                  <c:v>-8.9531875000172594</c:v>
                </c:pt>
                <c:pt idx="439">
                  <c:v>-9.0818938740836828</c:v>
                </c:pt>
                <c:pt idx="440">
                  <c:v>-9.2126987240626725</c:v>
                </c:pt>
                <c:pt idx="441">
                  <c:v>-9.3455725005582888</c:v>
                </c:pt>
                <c:pt idx="442">
                  <c:v>-9.4804841279439689</c:v>
                </c:pt>
                <c:pt idx="443">
                  <c:v>-9.6174011147048759</c:v>
                </c:pt>
                <c:pt idx="444">
                  <c:v>-9.7562896659586169</c:v>
                </c:pt>
                <c:pt idx="445">
                  <c:v>-9.8971147973996878</c:v>
                </c:pt>
                <c:pt idx="446">
                  <c:v>-10.039840449935049</c:v>
                </c:pt>
                <c:pt idx="447">
                  <c:v>-10.184429604307619</c:v>
                </c:pt>
                <c:pt idx="448">
                  <c:v>-10.330844395040273</c:v>
                </c:pt>
                <c:pt idx="449">
                  <c:v>-10.479046223073071</c:v>
                </c:pt>
                <c:pt idx="450">
                  <c:v>-10.628995866510689</c:v>
                </c:pt>
                <c:pt idx="451">
                  <c:v>-10.780653588946434</c:v>
                </c:pt>
                <c:pt idx="452">
                  <c:v>-10.933979244878477</c:v>
                </c:pt>
                <c:pt idx="453">
                  <c:v>-11.088932381786874</c:v>
                </c:pt>
                <c:pt idx="454">
                  <c:v>-11.245472338492903</c:v>
                </c:pt>
                <c:pt idx="455">
                  <c:v>-11.403558339474554</c:v>
                </c:pt>
                <c:pt idx="456">
                  <c:v>-11.563149584865135</c:v>
                </c:pt>
                <c:pt idx="457">
                  <c:v>-11.724205335913014</c:v>
                </c:pt>
                <c:pt idx="458">
                  <c:v>-11.886684995728896</c:v>
                </c:pt>
                <c:pt idx="459">
                  <c:v>-12.050548185194817</c:v>
                </c:pt>
                <c:pt idx="460">
                  <c:v>-12.215754813952607</c:v>
                </c:pt>
                <c:pt idx="461">
                  <c:v>-12.382265146432491</c:v>
                </c:pt>
                <c:pt idx="462">
                  <c:v>-12.550039862918634</c:v>
                </c:pt>
                <c:pt idx="463">
                  <c:v>-12.719040115683969</c:v>
                </c:pt>
                <c:pt idx="464">
                  <c:v>-12.889227580259931</c:v>
                </c:pt>
                <c:pt idx="465">
                  <c:v>-13.060564501931641</c:v>
                </c:pt>
                <c:pt idx="466">
                  <c:v>-13.233013737576309</c:v>
                </c:pt>
                <c:pt idx="467">
                  <c:v>-13.406538792982548</c:v>
                </c:pt>
                <c:pt idx="468">
                  <c:v>-13.581103855806745</c:v>
                </c:pt>
                <c:pt idx="469">
                  <c:v>-13.756673824338087</c:v>
                </c:pt>
                <c:pt idx="470">
                  <c:v>-13.933214332254721</c:v>
                </c:pt>
                <c:pt idx="471">
                  <c:v>-14.110691769564651</c:v>
                </c:pt>
                <c:pt idx="472">
                  <c:v>-14.289073299929793</c:v>
                </c:pt>
                <c:pt idx="473">
                  <c:v>-14.468326874577489</c:v>
                </c:pt>
                <c:pt idx="474">
                  <c:v>-14.648421243006721</c:v>
                </c:pt>
                <c:pt idx="475">
                  <c:v>-14.829325960694268</c:v>
                </c:pt>
                <c:pt idx="476">
                  <c:v>-15.011011394007694</c:v>
                </c:pt>
                <c:pt idx="477">
                  <c:v>-15.193448722528046</c:v>
                </c:pt>
                <c:pt idx="478">
                  <c:v>-15.376609938981247</c:v>
                </c:pt>
                <c:pt idx="479">
                  <c:v>-15.560467846972191</c:v>
                </c:pt>
                <c:pt idx="480">
                  <c:v>-15.744996056710441</c:v>
                </c:pt>
                <c:pt idx="481">
                  <c:v>-15.930168978908279</c:v>
                </c:pt>
                <c:pt idx="482">
                  <c:v>-16.115961817026367</c:v>
                </c:pt>
                <c:pt idx="483">
                  <c:v>-16.30235055803281</c:v>
                </c:pt>
                <c:pt idx="484">
                  <c:v>-16.489311961834552</c:v>
                </c:pt>
                <c:pt idx="485">
                  <c:v>-16.676823549531072</c:v>
                </c:pt>
                <c:pt idx="486">
                  <c:v>-16.864863590633266</c:v>
                </c:pt>
                <c:pt idx="487">
                  <c:v>-17.053411089379068</c:v>
                </c:pt>
                <c:pt idx="488">
                  <c:v>-17.242445770272859</c:v>
                </c:pt>
                <c:pt idx="489">
                  <c:v>-17.431948062963663</c:v>
                </c:pt>
                <c:pt idx="490">
                  <c:v>-17.62189908657167</c:v>
                </c:pt>
                <c:pt idx="491">
                  <c:v>-17.812280633563432</c:v>
                </c:pt>
                <c:pt idx="492">
                  <c:v>-18.003075153268622</c:v>
                </c:pt>
                <c:pt idx="493">
                  <c:v>-18.194265735124226</c:v>
                </c:pt>
                <c:pt idx="494">
                  <c:v>-18.385836091723196</c:v>
                </c:pt>
                <c:pt idx="495">
                  <c:v>-18.577770541742229</c:v>
                </c:pt>
                <c:pt idx="496">
                  <c:v>-18.770053992809292</c:v>
                </c:pt>
                <c:pt idx="497">
                  <c:v>-18.962671924375183</c:v>
                </c:pt>
                <c:pt idx="498">
                  <c:v>-19.155610370637195</c:v>
                </c:pt>
                <c:pt idx="499">
                  <c:v>-19.348855903566403</c:v>
                </c:pt>
                <c:pt idx="500">
                  <c:v>-19.542395616080142</c:v>
                </c:pt>
                <c:pt idx="501">
                  <c:v>-19.736217105396513</c:v>
                </c:pt>
                <c:pt idx="502">
                  <c:v>-19.930308456605839</c:v>
                </c:pt>
                <c:pt idx="503">
                  <c:v>-20.124658226487313</c:v>
                </c:pt>
                <c:pt idx="504">
                  <c:v>-20.319255427597017</c:v>
                </c:pt>
                <c:pt idx="505">
                  <c:v>-20.514089512649068</c:v>
                </c:pt>
                <c:pt idx="506">
                  <c:v>-20.709150359207946</c:v>
                </c:pt>
                <c:pt idx="507">
                  <c:v>-20.904428254708417</c:v>
                </c:pt>
                <c:pt idx="508">
                  <c:v>-21.099913881815485</c:v>
                </c:pt>
                <c:pt idx="509">
                  <c:v>-21.295598304135048</c:v>
                </c:pt>
                <c:pt idx="510">
                  <c:v>-21.491472952283132</c:v>
                </c:pt>
                <c:pt idx="511">
                  <c:v>-21.687529610319608</c:v>
                </c:pt>
                <c:pt idx="512">
                  <c:v>-21.883760402551374</c:v>
                </c:pt>
                <c:pt idx="513">
                  <c:v>-22.080157780705719</c:v>
                </c:pt>
                <c:pt idx="514">
                  <c:v>-22.276714511477174</c:v>
                </c:pt>
                <c:pt idx="515">
                  <c:v>-22.473423664445122</c:v>
                </c:pt>
                <c:pt idx="516">
                  <c:v>-22.670278600362153</c:v>
                </c:pt>
                <c:pt idx="517">
                  <c:v>-22.867272959809721</c:v>
                </c:pt>
                <c:pt idx="518">
                  <c:v>-23.064400652217753</c:v>
                </c:pt>
                <c:pt idx="519">
                  <c:v>-23.261655845243038</c:v>
                </c:pt>
                <c:pt idx="520">
                  <c:v>-23.459032954502522</c:v>
                </c:pt>
                <c:pt idx="521">
                  <c:v>-23.656526633654789</c:v>
                </c:pt>
                <c:pt idx="522">
                  <c:v>-23.854131764822814</c:v>
                </c:pt>
                <c:pt idx="523">
                  <c:v>-24.051843449352805</c:v>
                </c:pt>
                <c:pt idx="524">
                  <c:v>-24.249656998900289</c:v>
                </c:pt>
                <c:pt idx="525">
                  <c:v>-24.447567926837358</c:v>
                </c:pt>
                <c:pt idx="526">
                  <c:v>-24.645571939972307</c:v>
                </c:pt>
                <c:pt idx="527">
                  <c:v>-24.843664930574075</c:v>
                </c:pt>
                <c:pt idx="528">
                  <c:v>-25.041842968694077</c:v>
                </c:pt>
                <c:pt idx="529">
                  <c:v>-25.240102294775451</c:v>
                </c:pt>
                <c:pt idx="530">
                  <c:v>-25.438439312544297</c:v>
                </c:pt>
                <c:pt idx="531">
                  <c:v>-25.636850582172013</c:v>
                </c:pt>
                <c:pt idx="532">
                  <c:v>-25.835332813701697</c:v>
                </c:pt>
                <c:pt idx="533">
                  <c:v>-26.03388286073098</c:v>
                </c:pt>
                <c:pt idx="534">
                  <c:v>-26.232497714341569</c:v>
                </c:pt>
                <c:pt idx="535">
                  <c:v>-26.431174497269367</c:v>
                </c:pt>
                <c:pt idx="536">
                  <c:v>-26.629910458305499</c:v>
                </c:pt>
                <c:pt idx="537">
                  <c:v>-26.828702966921476</c:v>
                </c:pt>
                <c:pt idx="538">
                  <c:v>-27.027549508110866</c:v>
                </c:pt>
                <c:pt idx="539">
                  <c:v>-27.226447677439086</c:v>
                </c:pt>
                <c:pt idx="540">
                  <c:v>-27.425395176294739</c:v>
                </c:pt>
                <c:pt idx="541">
                  <c:v>-27.624389807334918</c:v>
                </c:pt>
              </c:numCache>
            </c:numRef>
          </c:yVal>
          <c:smooth val="1"/>
          <c:extLst>
            <c:ext xmlns:c16="http://schemas.microsoft.com/office/drawing/2014/chart" uri="{C3380CC4-5D6E-409C-BE32-E72D297353CC}">
              <c16:uniqueId val="{00000000-74F9-42A4-B5DA-C05099B3B529}"/>
            </c:ext>
          </c:extLst>
        </c:ser>
        <c:dLbls>
          <c:showLegendKey val="0"/>
          <c:showVal val="0"/>
          <c:showCatName val="0"/>
          <c:showSerName val="0"/>
          <c:showPercent val="0"/>
          <c:showBubbleSize val="0"/>
        </c:dLbls>
        <c:axId val="384242816"/>
        <c:axId val="384244736"/>
      </c:scatterChart>
      <c:scatterChart>
        <c:scatterStyle val="smoothMarker"/>
        <c:varyColors val="0"/>
        <c:ser>
          <c:idx val="1"/>
          <c:order val="1"/>
          <c:marker>
            <c:symbol val="none"/>
          </c:marker>
          <c:xVal>
            <c:numRef>
              <c:f>CCM_Loop_Modeling_non_isolated!$O$19:$O$560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CCM_Loop_Modeling_non_isolated!$AR$19:$AR$560</c:f>
              <c:numCache>
                <c:formatCode>General</c:formatCode>
                <c:ptCount val="542"/>
                <c:pt idx="0">
                  <c:v>90.969271806842713</c:v>
                </c:pt>
                <c:pt idx="1">
                  <c:v>90.991844544752468</c:v>
                </c:pt>
                <c:pt idx="2">
                  <c:v>91.014942747315061</c:v>
                </c:pt>
                <c:pt idx="3">
                  <c:v>91.038578631158288</c:v>
                </c:pt>
                <c:pt idx="4">
                  <c:v>91.062764695826786</c:v>
                </c:pt>
                <c:pt idx="5">
                  <c:v>91.087513730254656</c:v>
                </c:pt>
                <c:pt idx="6">
                  <c:v>91.112838819380173</c:v>
                </c:pt>
                <c:pt idx="7">
                  <c:v>91.138753350905873</c:v>
                </c:pt>
                <c:pt idx="8">
                  <c:v>91.165271022206255</c:v>
                </c:pt>
                <c:pt idx="9">
                  <c:v>91.192405847386212</c:v>
                </c:pt>
                <c:pt idx="10">
                  <c:v>91.220172164492823</c:v>
                </c:pt>
                <c:pt idx="11">
                  <c:v>91.248584642883202</c:v>
                </c:pt>
                <c:pt idx="12">
                  <c:v>91.277658290751361</c:v>
                </c:pt>
                <c:pt idx="13">
                  <c:v>91.307408462816895</c:v>
                </c:pt>
                <c:pt idx="14">
                  <c:v>91.337850868178094</c:v>
                </c:pt>
                <c:pt idx="15">
                  <c:v>91.369001578332444</c:v>
                </c:pt>
                <c:pt idx="16">
                  <c:v>91.400877035367259</c:v>
                </c:pt>
                <c:pt idx="17">
                  <c:v>91.433494060323369</c:v>
                </c:pt>
                <c:pt idx="18">
                  <c:v>91.466869861734224</c:v>
                </c:pt>
                <c:pt idx="19">
                  <c:v>91.501022044343671</c:v>
                </c:pt>
                <c:pt idx="20">
                  <c:v>91.535968618004574</c:v>
                </c:pt>
                <c:pt idx="21">
                  <c:v>91.571728006761504</c:v>
                </c:pt>
                <c:pt idx="22">
                  <c:v>91.608319058119477</c:v>
                </c:pt>
                <c:pt idx="23">
                  <c:v>91.645761052501953</c:v>
                </c:pt>
                <c:pt idx="24">
                  <c:v>91.68407371289986</c:v>
                </c:pt>
                <c:pt idx="25">
                  <c:v>91.723277214714955</c:v>
                </c:pt>
                <c:pt idx="26">
                  <c:v>91.763392195798787</c:v>
                </c:pt>
                <c:pt idx="27">
                  <c:v>91.804439766690464</c:v>
                </c:pt>
                <c:pt idx="28">
                  <c:v>91.846441521054629</c:v>
                </c:pt>
                <c:pt idx="29">
                  <c:v>91.889419546322017</c:v>
                </c:pt>
                <c:pt idx="30">
                  <c:v>91.933396434534359</c:v>
                </c:pt>
                <c:pt idx="31">
                  <c:v>91.978395293395081</c:v>
                </c:pt>
                <c:pt idx="32">
                  <c:v>92.02443975752756</c:v>
                </c:pt>
                <c:pt idx="33">
                  <c:v>92.071553999942296</c:v>
                </c:pt>
                <c:pt idx="34">
                  <c:v>92.119762743713778</c:v>
                </c:pt>
                <c:pt idx="35">
                  <c:v>92.169091273868034</c:v>
                </c:pt>
                <c:pt idx="36">
                  <c:v>92.219565449481721</c:v>
                </c:pt>
                <c:pt idx="37">
                  <c:v>92.271211715992521</c:v>
                </c:pt>
                <c:pt idx="38">
                  <c:v>92.324057117721296</c:v>
                </c:pt>
                <c:pt idx="39">
                  <c:v>92.378129310605544</c:v>
                </c:pt>
                <c:pt idx="40">
                  <c:v>92.433456575142998</c:v>
                </c:pt>
                <c:pt idx="41">
                  <c:v>92.490067829544984</c:v>
                </c:pt>
                <c:pt idx="42">
                  <c:v>92.547992643097146</c:v>
                </c:pt>
                <c:pt idx="43">
                  <c:v>92.607261249726065</c:v>
                </c:pt>
                <c:pt idx="44">
                  <c:v>92.667904561768893</c:v>
                </c:pt>
                <c:pt idx="45">
                  <c:v>92.729954183942667</c:v>
                </c:pt>
                <c:pt idx="46">
                  <c:v>92.793442427509916</c:v>
                </c:pt>
                <c:pt idx="47">
                  <c:v>92.858402324635847</c:v>
                </c:pt>
                <c:pt idx="48">
                  <c:v>92.924867642931673</c:v>
                </c:pt>
                <c:pt idx="49">
                  <c:v>92.992872900178739</c:v>
                </c:pt>
                <c:pt idx="50">
                  <c:v>93.062453379225943</c:v>
                </c:pt>
                <c:pt idx="51">
                  <c:v>93.133645143053243</c:v>
                </c:pt>
                <c:pt idx="52">
                  <c:v>93.206485049992096</c:v>
                </c:pt>
                <c:pt idx="53">
                  <c:v>93.281010769093598</c:v>
                </c:pt>
                <c:pt idx="54">
                  <c:v>93.357260795632612</c:v>
                </c:pt>
                <c:pt idx="55">
                  <c:v>93.435274466736871</c:v>
                </c:pt>
                <c:pt idx="56">
                  <c:v>93.515091977126247</c:v>
                </c:pt>
                <c:pt idx="57">
                  <c:v>93.59675439494859</c:v>
                </c:pt>
                <c:pt idx="58">
                  <c:v>93.680303677695051</c:v>
                </c:pt>
                <c:pt idx="59">
                  <c:v>93.76578268817687</c:v>
                </c:pt>
                <c:pt idx="60">
                  <c:v>93.853235210544355</c:v>
                </c:pt>
                <c:pt idx="61">
                  <c:v>93.942705966326031</c:v>
                </c:pt>
                <c:pt idx="62">
                  <c:v>94.034240630464325</c:v>
                </c:pt>
                <c:pt idx="63">
                  <c:v>94.12788584732273</c:v>
                </c:pt>
                <c:pt idx="64">
                  <c:v>94.223689246635416</c:v>
                </c:pt>
                <c:pt idx="65">
                  <c:v>94.321699459369668</c:v>
                </c:pt>
                <c:pt idx="66">
                  <c:v>94.42196613346772</c:v>
                </c:pt>
                <c:pt idx="67">
                  <c:v>94.524539949432508</c:v>
                </c:pt>
                <c:pt idx="68">
                  <c:v>94.629472635718145</c:v>
                </c:pt>
                <c:pt idx="69">
                  <c:v>94.736816983883287</c:v>
                </c:pt>
                <c:pt idx="70">
                  <c:v>94.846626863463015</c:v>
                </c:pt>
                <c:pt idx="71">
                  <c:v>94.958957236508851</c:v>
                </c:pt>
                <c:pt idx="72">
                  <c:v>95.073864171745967</c:v>
                </c:pt>
                <c:pt idx="73">
                  <c:v>95.191404858289474</c:v>
                </c:pt>
                <c:pt idx="74">
                  <c:v>95.3116376188608</c:v>
                </c:pt>
                <c:pt idx="75">
                  <c:v>95.434621922436619</c:v>
                </c:pt>
                <c:pt idx="76">
                  <c:v>95.56041839626198</c:v>
                </c:pt>
                <c:pt idx="77">
                  <c:v>95.689088837151544</c:v>
                </c:pt>
                <c:pt idx="78">
                  <c:v>95.820696221998915</c:v>
                </c:pt>
                <c:pt idx="79">
                  <c:v>95.955304717407316</c:v>
                </c:pt>
                <c:pt idx="80">
                  <c:v>96.092979688350155</c:v>
                </c:pt>
                <c:pt idx="81">
                  <c:v>96.233787705762452</c:v>
                </c:pt>
                <c:pt idx="82">
                  <c:v>96.377796552959353</c:v>
                </c:pt>
                <c:pt idx="83">
                  <c:v>96.525075230767627</c:v>
                </c:pt>
                <c:pt idx="84">
                  <c:v>96.675693961254254</c:v>
                </c:pt>
                <c:pt idx="85">
                  <c:v>96.829724189922047</c:v>
                </c:pt>
                <c:pt idx="86">
                  <c:v>96.98723858623994</c:v>
                </c:pt>
                <c:pt idx="87">
                  <c:v>97.148311042363957</c:v>
                </c:pt>
                <c:pt idx="88">
                  <c:v>97.313016669897067</c:v>
                </c:pt>
                <c:pt idx="89">
                  <c:v>97.481431794527893</c:v>
                </c:pt>
                <c:pt idx="90">
                  <c:v>97.653633948377845</c:v>
                </c:pt>
                <c:pt idx="91">
                  <c:v>97.829701859876323</c:v>
                </c:pt>
                <c:pt idx="92">
                  <c:v>98.00971544097564</c:v>
                </c:pt>
                <c:pt idx="93">
                  <c:v>98.193755771503859</c:v>
                </c:pt>
                <c:pt idx="94">
                  <c:v>98.38190508044687</c:v>
                </c:pt>
                <c:pt idx="95">
                  <c:v>98.574246723935218</c:v>
                </c:pt>
                <c:pt idx="96">
                  <c:v>98.770865159706503</c:v>
                </c:pt>
                <c:pt idx="97">
                  <c:v>98.97184591779633</c:v>
                </c:pt>
                <c:pt idx="98">
                  <c:v>99.177275567203978</c:v>
                </c:pt>
                <c:pt idx="99">
                  <c:v>99.387241678266349</c:v>
                </c:pt>
                <c:pt idx="100">
                  <c:v>99.601832780459816</c:v>
                </c:pt>
                <c:pt idx="101">
                  <c:v>99.821138315342338</c:v>
                </c:pt>
                <c:pt idx="102">
                  <c:v>100.04524858433365</c:v>
                </c:pt>
                <c:pt idx="103">
                  <c:v>100.27425469102153</c:v>
                </c:pt>
                <c:pt idx="104">
                  <c:v>100.50824847767184</c:v>
                </c:pt>
                <c:pt idx="105">
                  <c:v>100.74732245560784</c:v>
                </c:pt>
                <c:pt idx="106">
                  <c:v>100.9915697291197</c:v>
                </c:pt>
                <c:pt idx="107">
                  <c:v>101.24108391254889</c:v>
                </c:pt>
                <c:pt idx="108">
                  <c:v>101.49595904019182</c:v>
                </c:pt>
                <c:pt idx="109">
                  <c:v>101.75628946865613</c:v>
                </c:pt>
                <c:pt idx="110">
                  <c:v>102.02216977129882</c:v>
                </c:pt>
                <c:pt idx="111">
                  <c:v>102.29369462437312</c:v>
                </c:pt>
                <c:pt idx="112">
                  <c:v>102.57095868450777</c:v>
                </c:pt>
                <c:pt idx="113">
                  <c:v>102.85405645714414</c:v>
                </c:pt>
                <c:pt idx="114">
                  <c:v>103.14308215555879</c:v>
                </c:pt>
                <c:pt idx="115">
                  <c:v>103.43812955010586</c:v>
                </c:pt>
                <c:pt idx="116">
                  <c:v>103.73929180732195</c:v>
                </c:pt>
                <c:pt idx="117">
                  <c:v>104.04666131854954</c:v>
                </c:pt>
                <c:pt idx="118">
                  <c:v>104.36032951774924</c:v>
                </c:pt>
                <c:pt idx="119">
                  <c:v>104.68038668819483</c:v>
                </c:pt>
                <c:pt idx="120">
                  <c:v>105.0069217577696</c:v>
                </c:pt>
                <c:pt idx="121">
                  <c:v>105.34002208261106</c:v>
                </c:pt>
                <c:pt idx="122">
                  <c:v>105.67977321888851</c:v>
                </c:pt>
                <c:pt idx="123">
                  <c:v>106.0262586825427</c:v>
                </c:pt>
                <c:pt idx="124">
                  <c:v>106.37955969686062</c:v>
                </c:pt>
                <c:pt idx="125">
                  <c:v>106.73975492781709</c:v>
                </c:pt>
                <c:pt idx="126">
                  <c:v>107.10692020717714</c:v>
                </c:pt>
                <c:pt idx="127">
                  <c:v>107.48112824342266</c:v>
                </c:pt>
                <c:pt idx="128">
                  <c:v>107.86244832064344</c:v>
                </c:pt>
                <c:pt idx="129">
                  <c:v>108.25094598562792</c:v>
                </c:pt>
                <c:pt idx="130">
                  <c:v>108.64668272346657</c:v>
                </c:pt>
                <c:pt idx="131">
                  <c:v>109.04971562210579</c:v>
                </c:pt>
                <c:pt idx="132">
                  <c:v>109.4600970263846</c:v>
                </c:pt>
                <c:pt idx="133">
                  <c:v>109.87787418221748</c:v>
                </c:pt>
                <c:pt idx="134">
                  <c:v>110.30308887171203</c:v>
                </c:pt>
                <c:pt idx="135">
                  <c:v>110.73577704014538</c:v>
                </c:pt>
                <c:pt idx="136">
                  <c:v>111.17596841587601</c:v>
                </c:pt>
                <c:pt idx="137">
                  <c:v>111.62368612440652</c:v>
                </c:pt>
                <c:pt idx="138">
                  <c:v>112.07894629798309</c:v>
                </c:pt>
                <c:pt idx="139">
                  <c:v>112.54175768227049</c:v>
                </c:pt>
                <c:pt idx="140">
                  <c:v>113.01212124181048</c:v>
                </c:pt>
                <c:pt idx="141">
                  <c:v>113.4900297661441</c:v>
                </c:pt>
                <c:pt idx="142">
                  <c:v>113.97546747863434</c:v>
                </c:pt>
                <c:pt idx="143">
                  <c:v>114.46840965020343</c:v>
                </c:pt>
                <c:pt idx="144">
                  <c:v>114.96882222035809</c:v>
                </c:pt>
                <c:pt idx="145">
                  <c:v>115.47666142802505</c:v>
                </c:pt>
                <c:pt idx="146">
                  <c:v>115.99187345487266</c:v>
                </c:pt>
                <c:pt idx="147">
                  <c:v>116.5143940839243</c:v>
                </c:pt>
                <c:pt idx="148">
                  <c:v>117.04414837638632</c:v>
                </c:pt>
                <c:pt idx="149">
                  <c:v>117.58105036971546</c:v>
                </c:pt>
                <c:pt idx="150">
                  <c:v>118.12500280002538</c:v>
                </c:pt>
                <c:pt idx="151">
                  <c:v>118.67589685198384</c:v>
                </c:pt>
                <c:pt idx="152">
                  <c:v>119.23361193937501</c:v>
                </c:pt>
                <c:pt idx="153">
                  <c:v>119.79801551949706</c:v>
                </c:pt>
                <c:pt idx="154">
                  <c:v>120.3689629445129</c:v>
                </c:pt>
                <c:pt idx="155">
                  <c:v>120.94629735280071</c:v>
                </c:pt>
                <c:pt idx="156">
                  <c:v>121.52984960322159</c:v>
                </c:pt>
                <c:pt idx="157">
                  <c:v>122.11943825506677</c:v>
                </c:pt>
                <c:pt idx="158">
                  <c:v>122.71486959623802</c:v>
                </c:pt>
                <c:pt idx="159">
                  <c:v>123.3159377219623</c:v>
                </c:pt>
                <c:pt idx="160">
                  <c:v>123.92242466606425</c:v>
                </c:pt>
                <c:pt idx="161">
                  <c:v>124.53410058646588</c:v>
                </c:pt>
                <c:pt idx="162">
                  <c:v>125.15072400622678</c:v>
                </c:pt>
                <c:pt idx="163">
                  <c:v>125.77204211101522</c:v>
                </c:pt>
                <c:pt idx="164">
                  <c:v>126.39779110345715</c:v>
                </c:pt>
                <c:pt idx="165">
                  <c:v>127.02769661433385</c:v>
                </c:pt>
                <c:pt idx="166">
                  <c:v>127.6614741700992</c:v>
                </c:pt>
                <c:pt idx="167">
                  <c:v>128.29882971566701</c:v>
                </c:pt>
                <c:pt idx="168">
                  <c:v>128.93946019088938</c:v>
                </c:pt>
                <c:pt idx="169">
                  <c:v>129.58305415861713</c:v>
                </c:pt>
                <c:pt idx="170">
                  <c:v>130.2292924816951</c:v>
                </c:pt>
                <c:pt idx="171">
                  <c:v>130.87784904574048</c:v>
                </c:pt>
                <c:pt idx="172">
                  <c:v>131.52839152404303</c:v>
                </c:pt>
                <c:pt idx="173">
                  <c:v>132.18058218047159</c:v>
                </c:pt>
                <c:pt idx="174">
                  <c:v>132.83407870583264</c:v>
                </c:pt>
                <c:pt idx="175">
                  <c:v>133.48853508275033</c:v>
                </c:pt>
                <c:pt idx="176">
                  <c:v>134.14360247379625</c:v>
                </c:pt>
                <c:pt idx="177">
                  <c:v>134.79893012733658</c:v>
                </c:pt>
                <c:pt idx="178">
                  <c:v>135.45416629533642</c:v>
                </c:pt>
                <c:pt idx="179">
                  <c:v>136.10895915723563</c:v>
                </c:pt>
                <c:pt idx="180">
                  <c:v>136.7629577439254</c:v>
                </c:pt>
                <c:pt idx="181">
                  <c:v>137.41581285585892</c:v>
                </c:pt>
                <c:pt idx="182">
                  <c:v>138.06717796939384</c:v>
                </c:pt>
                <c:pt idx="183">
                  <c:v>138.71671012561254</c:v>
                </c:pt>
                <c:pt idx="184">
                  <c:v>139.36407079607159</c:v>
                </c:pt>
                <c:pt idx="185">
                  <c:v>140.00892672018841</c:v>
                </c:pt>
                <c:pt idx="186">
                  <c:v>140.65095070933427</c:v>
                </c:pt>
                <c:pt idx="187">
                  <c:v>141.28982241304692</c:v>
                </c:pt>
                <c:pt idx="188">
                  <c:v>141.92522904323525</c:v>
                </c:pt>
                <c:pt idx="189">
                  <c:v>142.55686605269253</c:v>
                </c:pt>
                <c:pt idx="190">
                  <c:v>143.18443776474396</c:v>
                </c:pt>
                <c:pt idx="191">
                  <c:v>143.80765795135682</c:v>
                </c:pt>
                <c:pt idx="192">
                  <c:v>144.42625035758402</c:v>
                </c:pt>
                <c:pt idx="193">
                  <c:v>145.0399491707357</c:v>
                </c:pt>
                <c:pt idx="194">
                  <c:v>145.64849943320775</c:v>
                </c:pt>
                <c:pt idx="195">
                  <c:v>146.25165739841427</c:v>
                </c:pt>
                <c:pt idx="196">
                  <c:v>146.84919082977541</c:v>
                </c:pt>
                <c:pt idx="197">
                  <c:v>147.44087924318512</c:v>
                </c:pt>
                <c:pt idx="198">
                  <c:v>148.02651409383122</c:v>
                </c:pt>
                <c:pt idx="199">
                  <c:v>148.60589890866103</c:v>
                </c:pt>
                <c:pt idx="200">
                  <c:v>149.17884936615059</c:v>
                </c:pt>
                <c:pt idx="201">
                  <c:v>149.74519332538318</c:v>
                </c:pt>
                <c:pt idx="202">
                  <c:v>150.30477080672509</c:v>
                </c:pt>
                <c:pt idx="203">
                  <c:v>150.85743392664611</c:v>
                </c:pt>
                <c:pt idx="204">
                  <c:v>151.40304678943451</c:v>
                </c:pt>
                <c:pt idx="205">
                  <c:v>151.94148533871885</c:v>
                </c:pt>
                <c:pt idx="206">
                  <c:v>152.47263717183608</c:v>
                </c:pt>
                <c:pt idx="207">
                  <c:v>152.99640132016447</c:v>
                </c:pt>
                <c:pt idx="208">
                  <c:v>153.51268799858585</c:v>
                </c:pt>
                <c:pt idx="209">
                  <c:v>154.02141832725016</c:v>
                </c:pt>
                <c:pt idx="210">
                  <c:v>154.52252402879895</c:v>
                </c:pt>
                <c:pt idx="211">
                  <c:v>155.01594710414645</c:v>
                </c:pt>
                <c:pt idx="212">
                  <c:v>155.50163948984522</c:v>
                </c:pt>
                <c:pt idx="213">
                  <c:v>155.97956269996533</c:v>
                </c:pt>
                <c:pt idx="214">
                  <c:v>156.44968745529644</c:v>
                </c:pt>
                <c:pt idx="215">
                  <c:v>156.91199330254926</c:v>
                </c:pt>
                <c:pt idx="216">
                  <c:v>157.36646822609245</c:v>
                </c:pt>
                <c:pt idx="217">
                  <c:v>157.81310825459823</c:v>
                </c:pt>
                <c:pt idx="218">
                  <c:v>158.25191706481573</c:v>
                </c:pt>
                <c:pt idx="219">
                  <c:v>158.68290558451844</c:v>
                </c:pt>
                <c:pt idx="220">
                  <c:v>159.10609159651224</c:v>
                </c:pt>
                <c:pt idx="221">
                  <c:v>159.52149934541393</c:v>
                </c:pt>
                <c:pt idx="222">
                  <c:v>159.92915914874811</c:v>
                </c:pt>
                <c:pt idx="223">
                  <c:v>160.32910701375329</c:v>
                </c:pt>
                <c:pt idx="224">
                  <c:v>160.7213842611167</c:v>
                </c:pt>
                <c:pt idx="225">
                  <c:v>161.10603715672124</c:v>
                </c:pt>
                <c:pt idx="226">
                  <c:v>161.48311655233215</c:v>
                </c:pt>
                <c:pt idx="227">
                  <c:v>161.85267753601588</c:v>
                </c:pt>
                <c:pt idx="228">
                  <c:v>162.21477909295686</c:v>
                </c:pt>
                <c:pt idx="229">
                  <c:v>162.56948377721613</c:v>
                </c:pt>
                <c:pt idx="230">
                  <c:v>162.91685739485854</c:v>
                </c:pt>
                <c:pt idx="231">
                  <c:v>163.25696869877811</c:v>
                </c:pt>
                <c:pt idx="232">
                  <c:v>163.58988909544925</c:v>
                </c:pt>
                <c:pt idx="233">
                  <c:v>163.91569236375179</c:v>
                </c:pt>
                <c:pt idx="234">
                  <c:v>164.23445438593114</c:v>
                </c:pt>
                <c:pt idx="235">
                  <c:v>164.54625289069006</c:v>
                </c:pt>
                <c:pt idx="236">
                  <c:v>164.85116720834378</c:v>
                </c:pt>
                <c:pt idx="237">
                  <c:v>165.14927803791355</c:v>
                </c:pt>
                <c:pt idx="238">
                  <c:v>165.44066722598532</c:v>
                </c:pt>
                <c:pt idx="239">
                  <c:v>165.72541755711907</c:v>
                </c:pt>
                <c:pt idx="240">
                  <c:v>166.00361255555447</c:v>
                </c:pt>
                <c:pt idx="241">
                  <c:v>166.27533629793291</c:v>
                </c:pt>
                <c:pt idx="242">
                  <c:v>166.54067323672521</c:v>
                </c:pt>
                <c:pt idx="243">
                  <c:v>166.79970803403614</c:v>
                </c:pt>
                <c:pt idx="244">
                  <c:v>167.0525254054395</c:v>
                </c:pt>
                <c:pt idx="245">
                  <c:v>167.29920997348563</c:v>
                </c:pt>
                <c:pt idx="246">
                  <c:v>167.53984613051142</c:v>
                </c:pt>
                <c:pt idx="247">
                  <c:v>167.77451791038175</c:v>
                </c:pt>
                <c:pt idx="248">
                  <c:v>168.00330886878112</c:v>
                </c:pt>
                <c:pt idx="249">
                  <c:v>168.22630197168178</c:v>
                </c:pt>
                <c:pt idx="250">
                  <c:v>168.44357949160789</c:v>
                </c:pt>
                <c:pt idx="251">
                  <c:v>168.65522291132507</c:v>
                </c:pt>
                <c:pt idx="252">
                  <c:v>168.86131283458693</c:v>
                </c:pt>
                <c:pt idx="253">
                  <c:v>169.06192890357451</c:v>
                </c:pt>
                <c:pt idx="254">
                  <c:v>169.25714972267934</c:v>
                </c:pt>
                <c:pt idx="255">
                  <c:v>169.44705278827911</c:v>
                </c:pt>
                <c:pt idx="256">
                  <c:v>169.63171442417408</c:v>
                </c:pt>
                <c:pt idx="257">
                  <c:v>169.81120972235655</c:v>
                </c:pt>
                <c:pt idx="258">
                  <c:v>169.98561248879938</c:v>
                </c:pt>
                <c:pt idx="259">
                  <c:v>170.15499519395749</c:v>
                </c:pt>
                <c:pt idx="260">
                  <c:v>170.31942892769052</c:v>
                </c:pt>
                <c:pt idx="261">
                  <c:v>170.47898335832568</c:v>
                </c:pt>
                <c:pt idx="262">
                  <c:v>170.63372669558916</c:v>
                </c:pt>
                <c:pt idx="263">
                  <c:v>170.78372565714861</c:v>
                </c:pt>
                <c:pt idx="264">
                  <c:v>170.9290454385191</c:v>
                </c:pt>
                <c:pt idx="265">
                  <c:v>171.06974968609677</c:v>
                </c:pt>
                <c:pt idx="266">
                  <c:v>171.20590047309537</c:v>
                </c:pt>
                <c:pt idx="267">
                  <c:v>171.33755827817197</c:v>
                </c:pt>
                <c:pt idx="268">
                  <c:v>171.46478196653837</c:v>
                </c:pt>
                <c:pt idx="269">
                  <c:v>171.58762877336551</c:v>
                </c:pt>
                <c:pt idx="270">
                  <c:v>171.70615428929835</c:v>
                </c:pt>
                <c:pt idx="271">
                  <c:v>171.82041244790764</c:v>
                </c:pt>
                <c:pt idx="272">
                  <c:v>171.93045551491545</c:v>
                </c:pt>
                <c:pt idx="273">
                  <c:v>172.03633407904039</c:v>
                </c:pt>
                <c:pt idx="274">
                  <c:v>172.13809704431563</c:v>
                </c:pt>
                <c:pt idx="275">
                  <c:v>172.23579162374358</c:v>
                </c:pt>
                <c:pt idx="276">
                  <c:v>172.32946333415768</c:v>
                </c:pt>
                <c:pt idx="277">
                  <c:v>172.41915599216929</c:v>
                </c:pt>
                <c:pt idx="278">
                  <c:v>172.50491171108669</c:v>
                </c:pt>
                <c:pt idx="279">
                  <c:v>172.58677089869806</c:v>
                </c:pt>
                <c:pt idx="280">
                  <c:v>172.66477225581912</c:v>
                </c:pt>
                <c:pt idx="281">
                  <c:v>172.73895277551122</c:v>
                </c:pt>
                <c:pt idx="282">
                  <c:v>172.80934774288215</c:v>
                </c:pt>
                <c:pt idx="283">
                  <c:v>172.87599073538897</c:v>
                </c:pt>
                <c:pt idx="284">
                  <c:v>172.93891362356484</c:v>
                </c:pt>
                <c:pt idx="285">
                  <c:v>172.99814657210132</c:v>
                </c:pt>
                <c:pt idx="286">
                  <c:v>173.05371804121816</c:v>
                </c:pt>
                <c:pt idx="287">
                  <c:v>173.10565478826192</c:v>
                </c:pt>
                <c:pt idx="288">
                  <c:v>173.15398186947513</c:v>
                </c:pt>
                <c:pt idx="289">
                  <c:v>173.19872264188604</c:v>
                </c:pt>
                <c:pt idx="290">
                  <c:v>173.23989876526937</c:v>
                </c:pt>
                <c:pt idx="291">
                  <c:v>173.27753020413664</c:v>
                </c:pt>
                <c:pt idx="292">
                  <c:v>173.311635229714</c:v>
                </c:pt>
                <c:pt idx="293">
                  <c:v>173.34223042187375</c:v>
                </c:pt>
                <c:pt idx="294">
                  <c:v>173.36933067098511</c:v>
                </c:pt>
                <c:pt idx="295">
                  <c:v>173.39294917965657</c:v>
                </c:pt>
                <c:pt idx="296">
                  <c:v>173.413097464343</c:v>
                </c:pt>
                <c:pt idx="297">
                  <c:v>173.42978535679541</c:v>
                </c:pt>
                <c:pt idx="298">
                  <c:v>173.44302100533406</c:v>
                </c:pt>
                <c:pt idx="299">
                  <c:v>173.4528108759275</c:v>
                </c:pt>
                <c:pt idx="300">
                  <c:v>173.45915975306468</c:v>
                </c:pt>
                <c:pt idx="301">
                  <c:v>173.46207074040922</c:v>
                </c:pt>
                <c:pt idx="302">
                  <c:v>173.46154526122805</c:v>
                </c:pt>
                <c:pt idx="303">
                  <c:v>173.4575830585886</c:v>
                </c:pt>
                <c:pt idx="304">
                  <c:v>173.45018219532324</c:v>
                </c:pt>
                <c:pt idx="305">
                  <c:v>173.43933905376085</c:v>
                </c:pt>
                <c:pt idx="306">
                  <c:v>173.4250483352285</c:v>
                </c:pt>
                <c:pt idx="307">
                  <c:v>173.40730305932973</c:v>
                </c:pt>
                <c:pt idx="308">
                  <c:v>173.38609456300776</c:v>
                </c:pt>
                <c:pt idx="309">
                  <c:v>173.36141249940545</c:v>
                </c:pt>
                <c:pt idx="310">
                  <c:v>173.33324483653632</c:v>
                </c:pt>
                <c:pt idx="311">
                  <c:v>173.30157785578467</c:v>
                </c:pt>
                <c:pt idx="312">
                  <c:v>173.26639615025417</c:v>
                </c:pt>
                <c:pt idx="313">
                  <c:v>173.22768262298985</c:v>
                </c:pt>
                <c:pt idx="314">
                  <c:v>173.18541848509895</c:v>
                </c:pt>
                <c:pt idx="315">
                  <c:v>173.13958325380216</c:v>
                </c:pt>
                <c:pt idx="316">
                  <c:v>173.09015475044748</c:v>
                </c:pt>
                <c:pt idx="317">
                  <c:v>173.03710909852484</c:v>
                </c:pt>
                <c:pt idx="318">
                  <c:v>172.98042072172203</c:v>
                </c:pt>
                <c:pt idx="319">
                  <c:v>172.92006234206701</c:v>
                </c:pt>
                <c:pt idx="320">
                  <c:v>172.8560049782046</c:v>
                </c:pt>
                <c:pt idx="321">
                  <c:v>172.78821794386215</c:v>
                </c:pt>
                <c:pt idx="322">
                  <c:v>172.71666884656079</c:v>
                </c:pt>
                <c:pt idx="323">
                  <c:v>172.64132358663474</c:v>
                </c:pt>
                <c:pt idx="324">
                  <c:v>172.56214635662619</c:v>
                </c:pt>
                <c:pt idx="325">
                  <c:v>172.47909964112776</c:v>
                </c:pt>
                <c:pt idx="326">
                  <c:v>172.39214421715135</c:v>
                </c:pt>
                <c:pt idx="327">
                  <c:v>172.30123915510495</c:v>
                </c:pt>
                <c:pt idx="328">
                  <c:v>172.20634182046891</c:v>
                </c:pt>
                <c:pt idx="329">
                  <c:v>172.10740787626622</c:v>
                </c:pt>
                <c:pt idx="330">
                  <c:v>172.00439128642921</c:v>
                </c:pt>
                <c:pt idx="331">
                  <c:v>171.89724432017184</c:v>
                </c:pt>
                <c:pt idx="332">
                  <c:v>171.78591755748423</c:v>
                </c:pt>
                <c:pt idx="333">
                  <c:v>171.67035989587242</c:v>
                </c:pt>
                <c:pt idx="334">
                  <c:v>171.55051855847577</c:v>
                </c:pt>
                <c:pt idx="335">
                  <c:v>171.42633910370148</c:v>
                </c:pt>
                <c:pt idx="336">
                  <c:v>171.29776543652483</c:v>
                </c:pt>
                <c:pt idx="337">
                  <c:v>171.16473982161148</c:v>
                </c:pt>
                <c:pt idx="338">
                  <c:v>171.02720289842972</c:v>
                </c:pt>
                <c:pt idx="339">
                  <c:v>170.88509369852733</c:v>
                </c:pt>
                <c:pt idx="340">
                  <c:v>170.73834966515949</c:v>
                </c:pt>
                <c:pt idx="341">
                  <c:v>170.58690667546333</c:v>
                </c:pt>
                <c:pt idx="342">
                  <c:v>170.43069906538622</c:v>
                </c:pt>
                <c:pt idx="343">
                  <c:v>170.26965965758441</c:v>
                </c:pt>
                <c:pt idx="344">
                  <c:v>170.10371979251954</c:v>
                </c:pt>
                <c:pt idx="345">
                  <c:v>169.93280936299479</c:v>
                </c:pt>
                <c:pt idx="346">
                  <c:v>169.75685685237764</c:v>
                </c:pt>
                <c:pt idx="347">
                  <c:v>169.57578937677494</c:v>
                </c:pt>
                <c:pt idx="348">
                  <c:v>169.38953273143164</c:v>
                </c:pt>
                <c:pt idx="349">
                  <c:v>169.19801144163864</c:v>
                </c:pt>
                <c:pt idx="350">
                  <c:v>169.00114881844706</c:v>
                </c:pt>
                <c:pt idx="351">
                  <c:v>168.79886701949607</c:v>
                </c:pt>
                <c:pt idx="352">
                  <c:v>168.5910871152719</c:v>
                </c:pt>
                <c:pt idx="353">
                  <c:v>168.37772916112945</c:v>
                </c:pt>
                <c:pt idx="354">
                  <c:v>168.15871227541197</c:v>
                </c:pt>
                <c:pt idx="355">
                  <c:v>167.93395472402091</c:v>
                </c:pt>
                <c:pt idx="356">
                  <c:v>167.70337401178864</c:v>
                </c:pt>
                <c:pt idx="357">
                  <c:v>167.46688698102108</c:v>
                </c:pt>
                <c:pt idx="358">
                  <c:v>167.22440991757691</c:v>
                </c:pt>
                <c:pt idx="359">
                  <c:v>166.97585866486196</c:v>
                </c:pt>
                <c:pt idx="360">
                  <c:v>166.72114874611034</c:v>
                </c:pt>
                <c:pt idx="361">
                  <c:v>166.46019549533645</c:v>
                </c:pt>
                <c:pt idx="362">
                  <c:v>166.19291419732883</c:v>
                </c:pt>
                <c:pt idx="363">
                  <c:v>165.91922023706411</c:v>
                </c:pt>
                <c:pt idx="364">
                  <c:v>165.63902925890014</c:v>
                </c:pt>
                <c:pt idx="365">
                  <c:v>165.35225733591042</c:v>
                </c:pt>
                <c:pt idx="366">
                  <c:v>165.05882114969583</c:v>
                </c:pt>
                <c:pt idx="367">
                  <c:v>164.75863818100066</c:v>
                </c:pt>
                <c:pt idx="368">
                  <c:v>164.45162691143304</c:v>
                </c:pt>
                <c:pt idx="369">
                  <c:v>164.13770703656195</c:v>
                </c:pt>
                <c:pt idx="370">
                  <c:v>163.81679969063782</c:v>
                </c:pt>
                <c:pt idx="371">
                  <c:v>163.48882768313217</c:v>
                </c:pt>
                <c:pt idx="372">
                  <c:v>163.15371574726211</c:v>
                </c:pt>
                <c:pt idx="373">
                  <c:v>162.81139080060393</c:v>
                </c:pt>
                <c:pt idx="374">
                  <c:v>162.46178221784729</c:v>
                </c:pt>
                <c:pt idx="375">
                  <c:v>162.10482211567333</c:v>
                </c:pt>
                <c:pt idx="376">
                  <c:v>161.74044564966897</c:v>
                </c:pt>
                <c:pt idx="377">
                  <c:v>161.36859132310954</c:v>
                </c:pt>
                <c:pt idx="378">
                  <c:v>160.98920130734683</c:v>
                </c:pt>
                <c:pt idx="379">
                  <c:v>160.60222177344755</c:v>
                </c:pt>
                <c:pt idx="380">
                  <c:v>160.20760323462048</c:v>
                </c:pt>
                <c:pt idx="381">
                  <c:v>159.80530089884988</c:v>
                </c:pt>
                <c:pt idx="382">
                  <c:v>159.39527503103309</c:v>
                </c:pt>
                <c:pt idx="383">
                  <c:v>158.97749132379008</c:v>
                </c:pt>
                <c:pt idx="384">
                  <c:v>158.55192127596814</c:v>
                </c:pt>
                <c:pt idx="385">
                  <c:v>158.11854257772004</c:v>
                </c:pt>
                <c:pt idx="386">
                  <c:v>157.67733950088223</c:v>
                </c:pt>
                <c:pt idx="387">
                  <c:v>157.2283032932144</c:v>
                </c:pt>
                <c:pt idx="388">
                  <c:v>156.77143257490766</c:v>
                </c:pt>
                <c:pt idx="389">
                  <c:v>156.30673373559029</c:v>
                </c:pt>
                <c:pt idx="390">
                  <c:v>155.83422132990208</c:v>
                </c:pt>
                <c:pt idx="391">
                  <c:v>155.35391846953357</c:v>
                </c:pt>
                <c:pt idx="392">
                  <c:v>154.86585720946695</c:v>
                </c:pt>
                <c:pt idx="393">
                  <c:v>154.37007892599107</c:v>
                </c:pt>
                <c:pt idx="394">
                  <c:v>153.86663468391308</c:v>
                </c:pt>
                <c:pt idx="395">
                  <c:v>153.35558559024656</c:v>
                </c:pt>
                <c:pt idx="396">
                  <c:v>152.83700313152997</c:v>
                </c:pt>
                <c:pt idx="397">
                  <c:v>152.31096949181256</c:v>
                </c:pt>
                <c:pt idx="398">
                  <c:v>151.77757784825778</c:v>
                </c:pt>
                <c:pt idx="399">
                  <c:v>151.23693264124307</c:v>
                </c:pt>
                <c:pt idx="400">
                  <c:v>150.6891498157938</c:v>
                </c:pt>
                <c:pt idx="401">
                  <c:v>150.13435703117597</c:v>
                </c:pt>
                <c:pt idx="402">
                  <c:v>149.57269383549252</c:v>
                </c:pt>
                <c:pt idx="403">
                  <c:v>149.00431180218675</c:v>
                </c:pt>
                <c:pt idx="404">
                  <c:v>148.42937462544617</c:v>
                </c:pt>
                <c:pt idx="405">
                  <c:v>147.84805817164147</c:v>
                </c:pt>
                <c:pt idx="406">
                  <c:v>147.26055048410549</c:v>
                </c:pt>
                <c:pt idx="407">
                  <c:v>146.66705173878333</c:v>
                </c:pt>
                <c:pt idx="408">
                  <c:v>146.06777414854389</c:v>
                </c:pt>
                <c:pt idx="409">
                  <c:v>145.46294181424989</c:v>
                </c:pt>
                <c:pt idx="410">
                  <c:v>144.85279052103681</c:v>
                </c:pt>
                <c:pt idx="411">
                  <c:v>144.23756747863274</c:v>
                </c:pt>
                <c:pt idx="412">
                  <c:v>143.61753100497759</c:v>
                </c:pt>
                <c:pt idx="413">
                  <c:v>142.99295015286179</c:v>
                </c:pt>
                <c:pt idx="414">
                  <c:v>142.36410427978234</c:v>
                </c:pt>
                <c:pt idx="415">
                  <c:v>141.7312825617305</c:v>
                </c:pt>
                <c:pt idx="416">
                  <c:v>141.0947834521389</c:v>
                </c:pt>
                <c:pt idx="417">
                  <c:v>140.45491408775788</c:v>
                </c:pt>
                <c:pt idx="418">
                  <c:v>139.81198964375679</c:v>
                </c:pt>
                <c:pt idx="419">
                  <c:v>139.16633264087474</c:v>
                </c:pt>
                <c:pt idx="420">
                  <c:v>138.51827220795607</c:v>
                </c:pt>
                <c:pt idx="421">
                  <c:v>137.86814330369162</c:v>
                </c:pt>
                <c:pt idx="422">
                  <c:v>137.21628590184164</c:v>
                </c:pt>
                <c:pt idx="423">
                  <c:v>136.56304414462997</c:v>
                </c:pt>
                <c:pt idx="424">
                  <c:v>135.90876546936738</c:v>
                </c:pt>
                <c:pt idx="425">
                  <c:v>135.25379971367116</c:v>
                </c:pt>
                <c:pt idx="426">
                  <c:v>134.59849820490317</c:v>
                </c:pt>
                <c:pt idx="427">
                  <c:v>133.94321283963524</c:v>
                </c:pt>
                <c:pt idx="428">
                  <c:v>133.28829515906986</c:v>
                </c:pt>
                <c:pt idx="429">
                  <c:v>132.634095426388</c:v>
                </c:pt>
                <c:pt idx="430">
                  <c:v>131.98096171198208</c:v>
                </c:pt>
                <c:pt idx="431">
                  <c:v>131.32923899242508</c:v>
                </c:pt>
                <c:pt idx="432">
                  <c:v>130.67926826887629</c:v>
                </c:pt>
                <c:pt idx="433">
                  <c:v>130.03138571037709</c:v>
                </c:pt>
                <c:pt idx="434">
                  <c:v>129.38592182721908</c:v>
                </c:pt>
                <c:pt idx="435">
                  <c:v>128.74320067919496</c:v>
                </c:pt>
                <c:pt idx="436">
                  <c:v>128.10353912316538</c:v>
                </c:pt>
                <c:pt idx="437">
                  <c:v>127.46724610391873</c:v>
                </c:pt>
                <c:pt idx="438">
                  <c:v>126.8346219918275</c:v>
                </c:pt>
                <c:pt idx="439">
                  <c:v>126.20595797030974</c:v>
                </c:pt>
                <c:pt idx="440">
                  <c:v>125.58153547557158</c:v>
                </c:pt>
                <c:pt idx="441">
                  <c:v>124.96162569058012</c:v>
                </c:pt>
                <c:pt idx="442">
                  <c:v>124.34648909468436</c:v>
                </c:pt>
                <c:pt idx="443">
                  <c:v>123.73637506977191</c:v>
                </c:pt>
                <c:pt idx="444">
                  <c:v>123.13152156333342</c:v>
                </c:pt>
                <c:pt idx="445">
                  <c:v>122.53215480832108</c:v>
                </c:pt>
                <c:pt idx="446">
                  <c:v>121.93848909920801</c:v>
                </c:pt>
                <c:pt idx="447">
                  <c:v>121.35072662322969</c:v>
                </c:pt>
                <c:pt idx="448">
                  <c:v>120.76905734538282</c:v>
                </c:pt>
                <c:pt idx="449">
                  <c:v>120.19365894539087</c:v>
                </c:pt>
                <c:pt idx="450">
                  <c:v>119.62469680453498</c:v>
                </c:pt>
                <c:pt idx="451">
                  <c:v>119.06232403995746</c:v>
                </c:pt>
                <c:pt idx="452">
                  <c:v>118.50668158382204</c:v>
                </c:pt>
                <c:pt idx="453">
                  <c:v>117.95789830451199</c:v>
                </c:pt>
                <c:pt idx="454">
                  <c:v>117.41609116691014</c:v>
                </c:pt>
                <c:pt idx="455">
                  <c:v>116.88136542868202</c:v>
                </c:pt>
                <c:pt idx="456">
                  <c:v>116.353814869432</c:v>
                </c:pt>
                <c:pt idx="457">
                  <c:v>115.83352204954721</c:v>
                </c:pt>
                <c:pt idx="458">
                  <c:v>115.32055859556932</c:v>
                </c:pt>
                <c:pt idx="459">
                  <c:v>114.81498550894901</c:v>
                </c:pt>
                <c:pt idx="460">
                  <c:v>114.31685349510548</c:v>
                </c:pt>
                <c:pt idx="461">
                  <c:v>113.82620330979495</c:v>
                </c:pt>
                <c:pt idx="462">
                  <c:v>113.34306611989931</c:v>
                </c:pt>
                <c:pt idx="463">
                  <c:v>112.86746387586886</c:v>
                </c:pt>
                <c:pt idx="464">
                  <c:v>112.39940969318724</c:v>
                </c:pt>
                <c:pt idx="465">
                  <c:v>111.93890824038192</c:v>
                </c:pt>
                <c:pt idx="466">
                  <c:v>111.48595613125214</c:v>
                </c:pt>
                <c:pt idx="467">
                  <c:v>111.04054231916214</c:v>
                </c:pt>
                <c:pt idx="468">
                  <c:v>110.60264849140002</c:v>
                </c:pt>
                <c:pt idx="469">
                  <c:v>110.17224946178231</c:v>
                </c:pt>
                <c:pt idx="470">
                  <c:v>109.74931355984546</c:v>
                </c:pt>
                <c:pt idx="471">
                  <c:v>109.33380301513351</c:v>
                </c:pt>
                <c:pt idx="472">
                  <c:v>108.92567433524867</c:v>
                </c:pt>
                <c:pt idx="473">
                  <c:v>108.52487867649066</c:v>
                </c:pt>
                <c:pt idx="474">
                  <c:v>108.13136220605968</c:v>
                </c:pt>
                <c:pt idx="475">
                  <c:v>107.74506645493659</c:v>
                </c:pt>
                <c:pt idx="476">
                  <c:v>107.36592866069498</c:v>
                </c:pt>
                <c:pt idx="477">
                  <c:v>106.9938820996185</c:v>
                </c:pt>
                <c:pt idx="478">
                  <c:v>106.6288564076258</c:v>
                </c:pt>
                <c:pt idx="479">
                  <c:v>106.27077788959966</c:v>
                </c:pt>
                <c:pt idx="480">
                  <c:v>105.91956981683565</c:v>
                </c:pt>
                <c:pt idx="481">
                  <c:v>105.57515271240275</c:v>
                </c:pt>
                <c:pt idx="482">
                  <c:v>105.23744462430113</c:v>
                </c:pt>
                <c:pt idx="483">
                  <c:v>104.90636138637521</c:v>
                </c:pt>
                <c:pt idx="484">
                  <c:v>104.58181686700892</c:v>
                </c:pt>
                <c:pt idx="485">
                  <c:v>104.26372320568838</c:v>
                </c:pt>
                <c:pt idx="486">
                  <c:v>103.95199103757443</c:v>
                </c:pt>
                <c:pt idx="487">
                  <c:v>103.64652970626922</c:v>
                </c:pt>
                <c:pt idx="488">
                  <c:v>103.34724746500689</c:v>
                </c:pt>
                <c:pt idx="489">
                  <c:v>103.05405166652581</c:v>
                </c:pt>
                <c:pt idx="490">
                  <c:v>102.76684894191708</c:v>
                </c:pt>
                <c:pt idx="491">
                  <c:v>102.48554536875926</c:v>
                </c:pt>
                <c:pt idx="492">
                  <c:v>102.21004662887582</c:v>
                </c:pt>
                <c:pt idx="493">
                  <c:v>101.94025815606396</c:v>
                </c:pt>
                <c:pt idx="494">
                  <c:v>101.67608527415234</c:v>
                </c:pt>
                <c:pt idx="495">
                  <c:v>101.41743332575987</c:v>
                </c:pt>
                <c:pt idx="496">
                  <c:v>101.16420779212469</c:v>
                </c:pt>
                <c:pt idx="497">
                  <c:v>100.91631440438267</c:v>
                </c:pt>
                <c:pt idx="498">
                  <c:v>100.67365924666746</c:v>
                </c:pt>
                <c:pt idx="499">
                  <c:v>100.43614885140646</c:v>
                </c:pt>
                <c:pt idx="500">
                  <c:v>100.20369028718343</c:v>
                </c:pt>
                <c:pt idx="501">
                  <c:v>99.976191239527992</c:v>
                </c:pt>
                <c:pt idx="502">
                  <c:v>99.753560084991477</c:v>
                </c:pt>
                <c:pt idx="503">
                  <c:v>99.535705958855601</c:v>
                </c:pt>
                <c:pt idx="504">
                  <c:v>99.322538816815694</c:v>
                </c:pt>
                <c:pt idx="505">
                  <c:v>99.113969490966099</c:v>
                </c:pt>
                <c:pt idx="506">
                  <c:v>98.909909740408708</c:v>
                </c:pt>
                <c:pt idx="507">
                  <c:v>98.710272296793093</c:v>
                </c:pt>
                <c:pt idx="508">
                  <c:v>98.514970905086216</c:v>
                </c:pt>
                <c:pt idx="509">
                  <c:v>98.323920359856686</c:v>
                </c:pt>
                <c:pt idx="510">
                  <c:v>98.137036537350212</c:v>
                </c:pt>
                <c:pt idx="511">
                  <c:v>97.954236423618767</c:v>
                </c:pt>
                <c:pt idx="512">
                  <c:v>97.775438138954982</c:v>
                </c:pt>
                <c:pt idx="513">
                  <c:v>97.600560958872961</c:v>
                </c:pt>
                <c:pt idx="514">
                  <c:v>97.429525331864255</c:v>
                </c:pt>
                <c:pt idx="515">
                  <c:v>97.262252894147778</c:v>
                </c:pt>
                <c:pt idx="516">
                  <c:v>97.098666481620654</c:v>
                </c:pt>
                <c:pt idx="517">
                  <c:v>96.938690139206983</c:v>
                </c:pt>
                <c:pt idx="518">
                  <c:v>96.782249127791616</c:v>
                </c:pt>
                <c:pt idx="519">
                  <c:v>96.629269928914752</c:v>
                </c:pt>
                <c:pt idx="520">
                  <c:v>96.479680247395919</c:v>
                </c:pt>
                <c:pt idx="521">
                  <c:v>96.333409012043802</c:v>
                </c:pt>
                <c:pt idx="522">
                  <c:v>96.190386374601928</c:v>
                </c:pt>
                <c:pt idx="523">
                  <c:v>96.050543707070204</c:v>
                </c:pt>
                <c:pt idx="524">
                  <c:v>95.913813597534343</c:v>
                </c:pt>
                <c:pt idx="525">
                  <c:v>95.780129844627993</c:v>
                </c:pt>
                <c:pt idx="526">
                  <c:v>95.64942745074454</c:v>
                </c:pt>
                <c:pt idx="527">
                  <c:v>95.521642614107449</c:v>
                </c:pt>
                <c:pt idx="528">
                  <c:v>95.396712719803176</c:v>
                </c:pt>
                <c:pt idx="529">
                  <c:v>95.274576329871849</c:v>
                </c:pt>
                <c:pt idx="530">
                  <c:v>95.155173172547222</c:v>
                </c:pt>
                <c:pt idx="531">
                  <c:v>95.038444130729218</c:v>
                </c:pt>
                <c:pt idx="532">
                  <c:v>94.924331229768924</c:v>
                </c:pt>
                <c:pt idx="533">
                  <c:v>94.812777624638258</c:v>
                </c:pt>
                <c:pt idx="534">
                  <c:v>94.703727586554777</c:v>
                </c:pt>
                <c:pt idx="535">
                  <c:v>94.597126489123525</c:v>
                </c:pt>
                <c:pt idx="536">
                  <c:v>94.492920794057511</c:v>
                </c:pt>
                <c:pt idx="537">
                  <c:v>94.391058036530467</c:v>
                </c:pt>
                <c:pt idx="538">
                  <c:v>94.291486810213996</c:v>
                </c:pt>
                <c:pt idx="539">
                  <c:v>94.194156752046993</c:v>
                </c:pt>
                <c:pt idx="540">
                  <c:v>94.099018526781137</c:v>
                </c:pt>
                <c:pt idx="541">
                  <c:v>94.006023811343482</c:v>
                </c:pt>
              </c:numCache>
            </c:numRef>
          </c:yVal>
          <c:smooth val="1"/>
          <c:extLst>
            <c:ext xmlns:c16="http://schemas.microsoft.com/office/drawing/2014/chart" uri="{C3380CC4-5D6E-409C-BE32-E72D297353CC}">
              <c16:uniqueId val="{00000001-74F9-42A4-B5DA-C05099B3B529}"/>
            </c:ext>
          </c:extLst>
        </c:ser>
        <c:dLbls>
          <c:showLegendKey val="0"/>
          <c:showVal val="0"/>
          <c:showCatName val="0"/>
          <c:showSerName val="0"/>
          <c:showPercent val="0"/>
          <c:showBubbleSize val="0"/>
        </c:dLbls>
        <c:axId val="384260736"/>
        <c:axId val="384259200"/>
      </c:scatterChart>
      <c:valAx>
        <c:axId val="384242816"/>
        <c:scaling>
          <c:logBase val="10"/>
          <c:orientation val="minMax"/>
          <c:max val="2200000"/>
          <c:min val="10"/>
        </c:scaling>
        <c:delete val="0"/>
        <c:axPos val="b"/>
        <c:minorGridlines/>
        <c:title>
          <c:tx>
            <c:rich>
              <a:bodyPr/>
              <a:lstStyle/>
              <a:p>
                <a:pPr>
                  <a:defRPr/>
                </a:pPr>
                <a:r>
                  <a:rPr lang="en-US"/>
                  <a:t>Frequency</a:t>
                </a:r>
                <a:r>
                  <a:rPr lang="en-US" baseline="0"/>
                  <a:t> (Hz)</a:t>
                </a:r>
                <a:endParaRPr lang="en-US"/>
              </a:p>
            </c:rich>
          </c:tx>
          <c:overlay val="0"/>
        </c:title>
        <c:numFmt formatCode="0" sourceLinked="0"/>
        <c:majorTickMark val="out"/>
        <c:minorTickMark val="none"/>
        <c:tickLblPos val="low"/>
        <c:crossAx val="384244736"/>
        <c:crosses val="autoZero"/>
        <c:crossBetween val="midCat"/>
      </c:valAx>
      <c:valAx>
        <c:axId val="384244736"/>
        <c:scaling>
          <c:orientation val="minMax"/>
          <c:max val="40"/>
          <c:min val="-40"/>
        </c:scaling>
        <c:delete val="0"/>
        <c:axPos val="l"/>
        <c:majorGridlines/>
        <c:minorGridlines/>
        <c:title>
          <c:tx>
            <c:rich>
              <a:bodyPr rot="-5400000" vert="horz"/>
              <a:lstStyle/>
              <a:p>
                <a:pPr>
                  <a:defRPr/>
                </a:pPr>
                <a:r>
                  <a:rPr lang="en-US"/>
                  <a:t>Gain</a:t>
                </a:r>
                <a:r>
                  <a:rPr lang="en-US" baseline="0"/>
                  <a:t> (dB)</a:t>
                </a:r>
                <a:endParaRPr lang="en-US"/>
              </a:p>
            </c:rich>
          </c:tx>
          <c:overlay val="0"/>
        </c:title>
        <c:numFmt formatCode="General" sourceLinked="0"/>
        <c:majorTickMark val="out"/>
        <c:minorTickMark val="none"/>
        <c:tickLblPos val="nextTo"/>
        <c:crossAx val="384242816"/>
        <c:crosses val="autoZero"/>
        <c:crossBetween val="midCat"/>
        <c:majorUnit val="20"/>
        <c:minorUnit val="10"/>
      </c:valAx>
      <c:valAx>
        <c:axId val="384259200"/>
        <c:scaling>
          <c:orientation val="minMax"/>
          <c:max val="180"/>
          <c:min val="-180"/>
        </c:scaling>
        <c:delete val="0"/>
        <c:axPos val="r"/>
        <c:numFmt formatCode="General" sourceLinked="1"/>
        <c:majorTickMark val="out"/>
        <c:minorTickMark val="none"/>
        <c:tickLblPos val="nextTo"/>
        <c:crossAx val="384260736"/>
        <c:crosses val="max"/>
        <c:crossBetween val="midCat"/>
        <c:majorUnit val="90"/>
        <c:minorUnit val="45"/>
      </c:valAx>
      <c:valAx>
        <c:axId val="384260736"/>
        <c:scaling>
          <c:logBase val="10"/>
          <c:orientation val="minMax"/>
        </c:scaling>
        <c:delete val="1"/>
        <c:axPos val="b"/>
        <c:numFmt formatCode="0.00" sourceLinked="1"/>
        <c:majorTickMark val="out"/>
        <c:minorTickMark val="none"/>
        <c:tickLblPos val="nextTo"/>
        <c:crossAx val="384259200"/>
        <c:crosses val="autoZero"/>
        <c:crossBetween val="midCat"/>
      </c:valAx>
    </c:plotArea>
    <c:legend>
      <c:legendPos val="r"/>
      <c:layout>
        <c:manualLayout>
          <c:xMode val="edge"/>
          <c:yMode val="edge"/>
          <c:x val="0.79880558209512509"/>
          <c:y val="0.14321997959862004"/>
          <c:w val="0.13485048155591431"/>
          <c:h val="0.10528624969913696"/>
        </c:manualLayout>
      </c:layout>
      <c:overlay val="1"/>
      <c:spPr>
        <a:solidFill>
          <a:schemeClr val="bg1"/>
        </a:solidFill>
      </c:spPr>
    </c:legend>
    <c:plotVisOnly val="1"/>
    <c:dispBlanksAs val="gap"/>
    <c:showDLblsOverMax val="0"/>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baseline="0"/>
              <a:t>Control Loop Transfer Function</a:t>
            </a:r>
          </a:p>
        </c:rich>
      </c:tx>
      <c:overlay val="0"/>
    </c:title>
    <c:autoTitleDeleted val="0"/>
    <c:plotArea>
      <c:layout/>
      <c:scatterChart>
        <c:scatterStyle val="smoothMarker"/>
        <c:varyColors val="0"/>
        <c:ser>
          <c:idx val="0"/>
          <c:order val="0"/>
          <c:tx>
            <c:v>Gain (dB)</c:v>
          </c:tx>
          <c:spPr>
            <a:ln w="38100">
              <a:solidFill>
                <a:srgbClr val="FF0000"/>
              </a:solidFill>
            </a:ln>
          </c:spPr>
          <c:marker>
            <c:symbol val="none"/>
          </c:marker>
          <c:xVal>
            <c:numRef>
              <c:f>CCM_Loop_Modeling_non_isolated!$O$19:$O$560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CCM_Loop_Modeling_non_isolated!$AT$19:$AT$560</c:f>
              <c:numCache>
                <c:formatCode>0.000</c:formatCode>
                <c:ptCount val="542"/>
                <c:pt idx="0">
                  <c:v>69.666954479967146</c:v>
                </c:pt>
                <c:pt idx="1">
                  <c:v>69.283052442358439</c:v>
                </c:pt>
                <c:pt idx="2">
                  <c:v>68.898486738985895</c:v>
                </c:pt>
                <c:pt idx="3">
                  <c:v>68.513282968870314</c:v>
                </c:pt>
                <c:pt idx="4">
                  <c:v>68.127465945646634</c:v>
                </c:pt>
                <c:pt idx="5">
                  <c:v>67.74105970730146</c:v>
                </c:pt>
                <c:pt idx="6">
                  <c:v>67.354087527228074</c:v>
                </c:pt>
                <c:pt idx="7">
                  <c:v>66.966571926450825</c:v>
                </c:pt>
                <c:pt idx="8">
                  <c:v>66.578534686879891</c:v>
                </c:pt>
                <c:pt idx="9">
                  <c:v>66.189996865462803</c:v>
                </c:pt>
                <c:pt idx="10">
                  <c:v>65.800978809113133</c:v>
                </c:pt>
                <c:pt idx="11">
                  <c:v>65.411500170297714</c:v>
                </c:pt>
                <c:pt idx="12">
                  <c:v>65.021579923178734</c:v>
                </c:pt>
                <c:pt idx="13">
                  <c:v>64.631236380211092</c:v>
                </c:pt>
                <c:pt idx="14">
                  <c:v>64.240487209103605</c:v>
                </c:pt>
                <c:pt idx="15">
                  <c:v>63.849349450061254</c:v>
                </c:pt>
                <c:pt idx="16">
                  <c:v>63.457839533232026</c:v>
                </c:pt>
                <c:pt idx="17">
                  <c:v>63.065973296287538</c:v>
                </c:pt>
                <c:pt idx="18">
                  <c:v>62.673766002076626</c:v>
                </c:pt>
                <c:pt idx="19">
                  <c:v>62.28123235629176</c:v>
                </c:pt>
                <c:pt idx="20">
                  <c:v>61.888386525100152</c:v>
                </c:pt>
                <c:pt idx="21">
                  <c:v>61.495242152690778</c:v>
                </c:pt>
                <c:pt idx="22">
                  <c:v>61.101812378699719</c:v>
                </c:pt>
                <c:pt idx="23">
                  <c:v>60.708109855474305</c:v>
                </c:pt>
                <c:pt idx="24">
                  <c:v>60.314146765148337</c:v>
                </c:pt>
                <c:pt idx="25">
                  <c:v>59.919934836497973</c:v>
                </c:pt>
                <c:pt idx="26">
                  <c:v>59.525485361556605</c:v>
                </c:pt>
                <c:pt idx="27">
                  <c:v>59.130809211968504</c:v>
                </c:pt>
                <c:pt idx="28">
                  <c:v>58.735916855063849</c:v>
                </c:pt>
                <c:pt idx="29">
                  <c:v>58.340818369643195</c:v>
                </c:pt>
                <c:pt idx="30">
                  <c:v>57.945523461458556</c:v>
                </c:pt>
                <c:pt idx="31">
                  <c:v>57.550041478384358</c:v>
                </c:pt>
                <c:pt idx="32">
                  <c:v>57.154381425272547</c:v>
                </c:pt>
                <c:pt idx="33">
                  <c:v>56.758551978486487</c:v>
                </c:pt>
                <c:pt idx="34">
                  <c:v>56.362561500113124</c:v>
                </c:pt>
                <c:pt idx="35">
                  <c:v>55.966418051853644</c:v>
                </c:pt>
                <c:pt idx="36">
                  <c:v>55.570129408592607</c:v>
                </c:pt>
                <c:pt idx="37">
                  <c:v>55.173703071650017</c:v>
                </c:pt>
                <c:pt idx="38">
                  <c:v>54.777146281719396</c:v>
                </c:pt>
                <c:pt idx="39">
                  <c:v>54.380466031498429</c:v>
                </c:pt>
                <c:pt idx="40">
                  <c:v>53.983669078017378</c:v>
                </c:pt>
                <c:pt idx="41">
                  <c:v>53.58676195467325</c:v>
                </c:pt>
                <c:pt idx="42">
                  <c:v>53.189750982977941</c:v>
                </c:pt>
                <c:pt idx="43">
                  <c:v>52.792642284028837</c:v>
                </c:pt>
                <c:pt idx="44">
                  <c:v>52.395441789711647</c:v>
                </c:pt>
                <c:pt idx="45">
                  <c:v>51.998155253645884</c:v>
                </c:pt>
                <c:pt idx="46">
                  <c:v>51.600788261882222</c:v>
                </c:pt>
                <c:pt idx="47">
                  <c:v>51.203346243364855</c:v>
                </c:pt>
                <c:pt idx="48">
                  <c:v>50.80583448016823</c:v>
                </c:pt>
                <c:pt idx="49">
                  <c:v>50.408258117521108</c:v>
                </c:pt>
                <c:pt idx="50">
                  <c:v>50.010622173629535</c:v>
                </c:pt>
                <c:pt idx="51">
                  <c:v>49.612931549310765</c:v>
                </c:pt>
                <c:pt idx="52">
                  <c:v>49.215191037450651</c:v>
                </c:pt>
                <c:pt idx="53">
                  <c:v>48.817405332297874</c:v>
                </c:pt>
                <c:pt idx="54">
                  <c:v>48.419579038606628</c:v>
                </c:pt>
                <c:pt idx="55">
                  <c:v>48.021716680640509</c:v>
                </c:pt>
                <c:pt idx="56">
                  <c:v>47.623822711052753</c:v>
                </c:pt>
                <c:pt idx="57">
                  <c:v>47.225901519652552</c:v>
                </c:pt>
                <c:pt idx="58">
                  <c:v>46.827957442073483</c:v>
                </c:pt>
                <c:pt idx="59">
                  <c:v>46.429994768356067</c:v>
                </c:pt>
                <c:pt idx="60">
                  <c:v>46.032017751456664</c:v>
                </c:pt>
                <c:pt idx="61">
                  <c:v>45.634030615698016</c:v>
                </c:pt>
                <c:pt idx="62">
                  <c:v>45.236037565173575</c:v>
                </c:pt>
                <c:pt idx="63">
                  <c:v>44.838042792118216</c:v>
                </c:pt>
                <c:pt idx="64">
                  <c:v>44.44005048526008</c:v>
                </c:pt>
                <c:pt idx="65">
                  <c:v>44.04206483816634</c:v>
                </c:pt>
                <c:pt idx="66">
                  <c:v>43.644090057595264</c:v>
                </c:pt>
                <c:pt idx="67">
                  <c:v>43.24613037186927</c:v>
                </c:pt>
                <c:pt idx="68">
                  <c:v>42.848190039281519</c:v>
                </c:pt>
                <c:pt idx="69">
                  <c:v>42.450273356549033</c:v>
                </c:pt>
                <c:pt idx="70">
                  <c:v>42.052384667326088</c:v>
                </c:pt>
                <c:pt idx="71">
                  <c:v>41.654528370791013</c:v>
                </c:pt>
                <c:pt idx="72">
                  <c:v>41.256708930319526</c:v>
                </c:pt>
                <c:pt idx="73">
                  <c:v>40.858930882256601</c:v>
                </c:pt>
                <c:pt idx="74">
                  <c:v>40.461198844801778</c:v>
                </c:pt>
                <c:pt idx="75">
                  <c:v>40.063517527019734</c:v>
                </c:pt>
                <c:pt idx="76">
                  <c:v>39.665891737988538</c:v>
                </c:pt>
                <c:pt idx="77">
                  <c:v>39.268326396099219</c:v>
                </c:pt>
                <c:pt idx="78">
                  <c:v>38.8708265385185</c:v>
                </c:pt>
                <c:pt idx="79">
                  <c:v>38.473397330827581</c:v>
                </c:pt>
                <c:pt idx="80">
                  <c:v>38.076044076848937</c:v>
                </c:pt>
                <c:pt idx="81">
                  <c:v>37.678772228672443</c:v>
                </c:pt>
                <c:pt idx="82">
                  <c:v>37.281587396893727</c:v>
                </c:pt>
                <c:pt idx="83">
                  <c:v>36.884495361075516</c:v>
                </c:pt>
                <c:pt idx="84">
                  <c:v>36.487502080441878</c:v>
                </c:pt>
                <c:pt idx="85">
                  <c:v>36.090613704818779</c:v>
                </c:pt>
                <c:pt idx="86">
                  <c:v>35.69383658582715</c:v>
                </c:pt>
                <c:pt idx="87">
                  <c:v>35.297177288342077</c:v>
                </c:pt>
                <c:pt idx="88">
                  <c:v>34.900642602223179</c:v>
                </c:pt>
                <c:pt idx="89">
                  <c:v>34.504239554328365</c:v>
                </c:pt>
                <c:pt idx="90">
                  <c:v>34.107975420814761</c:v>
                </c:pt>
                <c:pt idx="91">
                  <c:v>33.711857739735571</c:v>
                </c:pt>
                <c:pt idx="92">
                  <c:v>33.315894323938821</c:v>
                </c:pt>
                <c:pt idx="93">
                  <c:v>32.920093274269433</c:v>
                </c:pt>
                <c:pt idx="94">
                  <c:v>32.524462993082793</c:v>
                </c:pt>
                <c:pt idx="95">
                  <c:v>32.129012198066263</c:v>
                </c:pt>
                <c:pt idx="96">
                  <c:v>31.733749936373425</c:v>
                </c:pt>
                <c:pt idx="97">
                  <c:v>31.338685599067425</c:v>
                </c:pt>
                <c:pt idx="98">
                  <c:v>30.943828935870087</c:v>
                </c:pt>
                <c:pt idx="99">
                  <c:v>30.549190070213328</c:v>
                </c:pt>
                <c:pt idx="100">
                  <c:v>30.154779514583232</c:v>
                </c:pt>
                <c:pt idx="101">
                  <c:v>29.760608186148758</c:v>
                </c:pt>
                <c:pt idx="102">
                  <c:v>29.36668742266091</c:v>
                </c:pt>
                <c:pt idx="103">
                  <c:v>28.973028998608022</c:v>
                </c:pt>
                <c:pt idx="104">
                  <c:v>28.579645141607386</c:v>
                </c:pt>
                <c:pt idx="105">
                  <c:v>28.18654854901218</c:v>
                </c:pt>
                <c:pt idx="106">
                  <c:v>27.793752404706659</c:v>
                </c:pt>
                <c:pt idx="107">
                  <c:v>27.401270396060198</c:v>
                </c:pt>
                <c:pt idx="108">
                  <c:v>27.009116731006671</c:v>
                </c:pt>
                <c:pt idx="109">
                  <c:v>26.61730615520808</c:v>
                </c:pt>
                <c:pt idx="110">
                  <c:v>26.225853969261586</c:v>
                </c:pt>
                <c:pt idx="111">
                  <c:v>25.834776045897829</c:v>
                </c:pt>
                <c:pt idx="112">
                  <c:v>25.444088847117573</c:v>
                </c:pt>
                <c:pt idx="113">
                  <c:v>25.053809441205299</c:v>
                </c:pt>
                <c:pt idx="114">
                  <c:v>24.663955519552406</c:v>
                </c:pt>
                <c:pt idx="115">
                  <c:v>24.27454541321632</c:v>
                </c:pt>
                <c:pt idx="116">
                  <c:v>23.885598109135138</c:v>
                </c:pt>
                <c:pt idx="117">
                  <c:v>23.497133265908762</c:v>
                </c:pt>
                <c:pt idx="118">
                  <c:v>23.109171229052173</c:v>
                </c:pt>
                <c:pt idx="119">
                  <c:v>22.721733045615782</c:v>
                </c:pt>
                <c:pt idx="120">
                  <c:v>22.334840478062748</c:v>
                </c:pt>
                <c:pt idx="121">
                  <c:v>21.948516017281676</c:v>
                </c:pt>
                <c:pt idx="122">
                  <c:v>21.562782894608308</c:v>
                </c:pt>
                <c:pt idx="123">
                  <c:v>21.17766509271685</c:v>
                </c:pt>
                <c:pt idx="124">
                  <c:v>20.793187355238395</c:v>
                </c:pt>
                <c:pt idx="125">
                  <c:v>20.409375194949895</c:v>
                </c:pt>
                <c:pt idx="126">
                  <c:v>20.026254900372045</c:v>
                </c:pt>
                <c:pt idx="127">
                  <c:v>19.643853540608102</c:v>
                </c:pt>
                <c:pt idx="128">
                  <c:v>19.262198968241972</c:v>
                </c:pt>
                <c:pt idx="129">
                  <c:v>18.881319820112129</c:v>
                </c:pt>
                <c:pt idx="130">
                  <c:v>18.501245515770947</c:v>
                </c:pt>
                <c:pt idx="131">
                  <c:v>18.122006253428516</c:v>
                </c:pt>
                <c:pt idx="132">
                  <c:v>17.743633003181909</c:v>
                </c:pt>
                <c:pt idx="133">
                  <c:v>17.366157497321641</c:v>
                </c:pt>
                <c:pt idx="134">
                  <c:v>16.989612217507876</c:v>
                </c:pt>
                <c:pt idx="135">
                  <c:v>16.614030378607641</c:v>
                </c:pt>
                <c:pt idx="136">
                  <c:v>16.239445908983466</c:v>
                </c:pt>
                <c:pt idx="137">
                  <c:v>15.865893427029405</c:v>
                </c:pt>
                <c:pt idx="138">
                  <c:v>15.49340821375395</c:v>
                </c:pt>
                <c:pt idx="139">
                  <c:v>15.122026181216793</c:v>
                </c:pt>
                <c:pt idx="140">
                  <c:v>14.751783836636399</c:v>
                </c:pt>
                <c:pt idx="141">
                  <c:v>14.382718241999168</c:v>
                </c:pt>
                <c:pt idx="142">
                  <c:v>14.014866969015522</c:v>
                </c:pt>
                <c:pt idx="143">
                  <c:v>13.648268049287761</c:v>
                </c:pt>
                <c:pt idx="144">
                  <c:v>13.282959919576614</c:v>
                </c:pt>
                <c:pt idx="145">
                  <c:v>12.918981362078547</c:v>
                </c:pt>
                <c:pt idx="146">
                  <c:v>12.55637143965555</c:v>
                </c:pt>
                <c:pt idx="147">
                  <c:v>12.195169425990944</c:v>
                </c:pt>
                <c:pt idx="148">
                  <c:v>11.835414730680881</c:v>
                </c:pt>
                <c:pt idx="149">
                  <c:v>11.477146819308723</c:v>
                </c:pt>
                <c:pt idx="150">
                  <c:v>11.120405128594978</c:v>
                </c:pt>
                <c:pt idx="151">
                  <c:v>10.765228976756145</c:v>
                </c:pt>
                <c:pt idx="152">
                  <c:v>10.411657469256619</c:v>
                </c:pt>
                <c:pt idx="153">
                  <c:v>10.059729400187027</c:v>
                </c:pt>
                <c:pt idx="154">
                  <c:v>9.7094831495504632</c:v>
                </c:pt>
                <c:pt idx="155">
                  <c:v>9.3609565767965908</c:v>
                </c:pt>
                <c:pt idx="156">
                  <c:v>9.0141869109895492</c:v>
                </c:pt>
                <c:pt idx="157">
                  <c:v>8.6692106380542491</c:v>
                </c:pt>
                <c:pt idx="158">
                  <c:v>8.3260633855921835</c:v>
                </c:pt>
                <c:pt idx="159">
                  <c:v>7.984779805812642</c:v>
                </c:pt>
                <c:pt idx="160">
                  <c:v>7.6453934571671684</c:v>
                </c:pt>
                <c:pt idx="161">
                  <c:v>7.3079366853218204</c:v>
                </c:pt>
                <c:pt idx="162">
                  <c:v>6.9724405041405522</c:v>
                </c:pt>
                <c:pt idx="163">
                  <c:v>6.6389344773841508</c:v>
                </c:pt>
                <c:pt idx="164">
                  <c:v>6.307446601858099</c:v>
                </c:pt>
                <c:pt idx="165">
                  <c:v>5.9780031927633539</c:v>
                </c:pt>
                <c:pt idx="166">
                  <c:v>5.6506287720131816</c:v>
                </c:pt>
                <c:pt idx="167">
                  <c:v>5.3253459602875033</c:v>
                </c:pt>
                <c:pt idx="168">
                  <c:v>5.0021753735850929</c:v>
                </c:pt>
                <c:pt idx="169">
                  <c:v>4.6811355250262068</c:v>
                </c:pt>
                <c:pt idx="170">
                  <c:v>4.3622427326271538</c:v>
                </c:pt>
                <c:pt idx="171">
                  <c:v>4.045511033740036</c:v>
                </c:pt>
                <c:pt idx="172">
                  <c:v>3.7309521068055718</c:v>
                </c:pt>
                <c:pt idx="173">
                  <c:v>3.4185752010129238</c:v>
                </c:pt>
                <c:pt idx="174">
                  <c:v>3.1083870744039603</c:v>
                </c:pt>
                <c:pt idx="175">
                  <c:v>2.8003919408868971</c:v>
                </c:pt>
                <c:pt idx="176">
                  <c:v>2.4945914265503424</c:v>
                </c:pt>
                <c:pt idx="177">
                  <c:v>2.1909845355867805</c:v>
                </c:pt>
                <c:pt idx="178">
                  <c:v>1.889567626049572</c:v>
                </c:pt>
                <c:pt idx="179">
                  <c:v>1.5903343955752569</c:v>
                </c:pt>
                <c:pt idx="180">
                  <c:v>1.2932758771139239</c:v>
                </c:pt>
                <c:pt idx="181">
                  <c:v>0.99838044461570252</c:v>
                </c:pt>
                <c:pt idx="182">
                  <c:v>0.70563382853065626</c:v>
                </c:pt>
                <c:pt idx="183">
                  <c:v>0.41501914089009029</c:v>
                </c:pt>
                <c:pt idx="184">
                  <c:v>0.12651690965114049</c:v>
                </c:pt>
                <c:pt idx="185">
                  <c:v>-0.15989487809646274</c:v>
                </c:pt>
                <c:pt idx="186">
                  <c:v>-0.44424072453508623</c:v>
                </c:pt>
                <c:pt idx="187">
                  <c:v>-0.72654756167758738</c:v>
                </c:pt>
                <c:pt idx="188">
                  <c:v>-1.0068446846847343</c:v>
                </c:pt>
                <c:pt idx="189">
                  <c:v>-1.2851636785929841</c:v>
                </c:pt>
                <c:pt idx="190">
                  <c:v>-1.5615383391520541</c:v>
                </c:pt>
                <c:pt idx="191">
                  <c:v>-1.8360045885006737</c:v>
                </c:pt>
                <c:pt idx="192">
                  <c:v>-2.1086003864305032</c:v>
                </c:pt>
                <c:pt idx="193">
                  <c:v>-2.379365638007394</c:v>
                </c:pt>
                <c:pt idx="194">
                  <c:v>-2.6483420983147843</c:v>
                </c:pt>
                <c:pt idx="195">
                  <c:v>-2.9155732750853551</c:v>
                </c:pt>
                <c:pt idx="196">
                  <c:v>-3.1811043299674098</c:v>
                </c:pt>
                <c:pt idx="197">
                  <c:v>-3.4449819791535679</c:v>
                </c:pt>
                <c:pt idx="198">
                  <c:v>-3.7072543940676135</c:v>
                </c:pt>
                <c:pt idx="199">
                  <c:v>-3.9679711027696589</c:v>
                </c:pt>
                <c:pt idx="200">
                  <c:v>-4.227182892697023</c:v>
                </c:pt>
                <c:pt idx="201">
                  <c:v>-4.4849417153108968</c:v>
                </c:pt>
                <c:pt idx="202">
                  <c:v>-4.7413005931701955</c:v>
                </c:pt>
                <c:pt idx="203">
                  <c:v>-4.9963135298953976</c:v>
                </c:pt>
                <c:pt idx="204">
                  <c:v>-5.2500354234337001</c:v>
                </c:pt>
                <c:pt idx="205">
                  <c:v>-5.5025219829750691</c:v>
                </c:pt>
                <c:pt idx="206">
                  <c:v>-5.7538296498137331</c:v>
                </c:pt>
                <c:pt idx="207">
                  <c:v>-6.004015522388034</c:v>
                </c:pt>
                <c:pt idx="208">
                  <c:v>-6.2531372856767167</c:v>
                </c:pt>
                <c:pt idx="209">
                  <c:v>-6.5012531450732993</c:v>
                </c:pt>
                <c:pt idx="210">
                  <c:v>-6.7484217648026403</c:v>
                </c:pt>
                <c:pt idx="211">
                  <c:v>-6.9947022108959098</c:v>
                </c:pt>
                <c:pt idx="212">
                  <c:v>-7.2401538986876428</c:v>
                </c:pt>
                <c:pt idx="213">
                  <c:v>-7.4848365447516949</c:v>
                </c:pt>
                <c:pt idx="214">
                  <c:v>-7.7288101231506188</c:v>
                </c:pt>
                <c:pt idx="215">
                  <c:v>-7.9721348258310343</c:v>
                </c:pt>
                <c:pt idx="216">
                  <c:v>-8.2148710269593082</c:v>
                </c:pt>
                <c:pt idx="217">
                  <c:v>-8.4570792509601631</c:v>
                </c:pt>
                <c:pt idx="218">
                  <c:v>-8.6988201439867971</c:v>
                </c:pt>
                <c:pt idx="219">
                  <c:v>-8.9401544485261084</c:v>
                </c:pt>
                <c:pt idx="220">
                  <c:v>-9.1811429808155616</c:v>
                </c:pt>
                <c:pt idx="221">
                  <c:v>-9.4218466107291903</c:v>
                </c:pt>
                <c:pt idx="222">
                  <c:v>-9.6623262437712558</c:v>
                </c:pt>
                <c:pt idx="223">
                  <c:v>-9.9026428047986936</c:v>
                </c:pt>
                <c:pt idx="224">
                  <c:v>-10.142857223085088</c:v>
                </c:pt>
                <c:pt idx="225">
                  <c:v>-10.383030418325212</c:v>
                </c:pt>
                <c:pt idx="226">
                  <c:v>-10.623223287175891</c:v>
                </c:pt>
                <c:pt idx="227">
                  <c:v>-10.863496689921284</c:v>
                </c:pt>
                <c:pt idx="228">
                  <c:v>-11.103911436854233</c:v>
                </c:pt>
                <c:pt idx="229">
                  <c:v>-11.344528273960625</c:v>
                </c:pt>
                <c:pt idx="230">
                  <c:v>-11.585407867503637</c:v>
                </c:pt>
                <c:pt idx="231">
                  <c:v>-11.826610787107168</c:v>
                </c:pt>
                <c:pt idx="232">
                  <c:v>-12.068197486950719</c:v>
                </c:pt>
                <c:pt idx="233">
                  <c:v>-12.310228284697256</c:v>
                </c:pt>
                <c:pt idx="234">
                  <c:v>-12.5527633377942</c:v>
                </c:pt>
                <c:pt idx="235">
                  <c:v>-12.795862616803252</c:v>
                </c:pt>
                <c:pt idx="236">
                  <c:v>-13.039585875437963</c:v>
                </c:pt>
                <c:pt idx="237">
                  <c:v>-13.283992617012583</c:v>
                </c:pt>
                <c:pt idx="238">
                  <c:v>-13.529142057031775</c:v>
                </c:pt>
                <c:pt idx="239">
                  <c:v>-13.775093081683597</c:v>
                </c:pt>
                <c:pt idx="240">
                  <c:v>-14.021904202032902</c:v>
                </c:pt>
                <c:pt idx="241">
                  <c:v>-14.269633503746856</c:v>
                </c:pt>
                <c:pt idx="242">
                  <c:v>-14.518338592229384</c:v>
                </c:pt>
                <c:pt idx="243">
                  <c:v>-14.768076533081704</c:v>
                </c:pt>
                <c:pt idx="244">
                  <c:v>-15.018903787855296</c:v>
                </c:pt>
                <c:pt idx="245">
                  <c:v>-15.270876145112195</c:v>
                </c:pt>
                <c:pt idx="246">
                  <c:v>-15.524048646861345</c:v>
                </c:pt>
                <c:pt idx="247">
                  <c:v>-15.778475510490736</c:v>
                </c:pt>
                <c:pt idx="248">
                  <c:v>-16.034210046376785</c:v>
                </c:pt>
                <c:pt idx="249">
                  <c:v>-16.291304571403657</c:v>
                </c:pt>
                <c:pt idx="250">
                  <c:v>-16.549810318687904</c:v>
                </c:pt>
                <c:pt idx="251">
                  <c:v>-16.809777343860123</c:v>
                </c:pt>
                <c:pt idx="252">
                  <c:v>-17.071254428311896</c:v>
                </c:pt>
                <c:pt idx="253">
                  <c:v>-17.334288979874618</c:v>
                </c:pt>
                <c:pt idx="254">
                  <c:v>-17.598926931447181</c:v>
                </c:pt>
                <c:pt idx="255">
                  <c:v>-17.865212638144104</c:v>
                </c:pt>
                <c:pt idx="256">
                  <c:v>-18.133188773577523</c:v>
                </c:pt>
                <c:pt idx="257">
                  <c:v>-18.402896225931727</c:v>
                </c:pt>
                <c:pt idx="258">
                  <c:v>-18.674373994522135</c:v>
                </c:pt>
                <c:pt idx="259">
                  <c:v>-18.947659087560364</c:v>
                </c:pt>
                <c:pt idx="260">
                  <c:v>-19.222786421870335</c:v>
                </c:pt>
                <c:pt idx="261">
                  <c:v>-19.499788725309031</c:v>
                </c:pt>
                <c:pt idx="262">
                  <c:v>-19.778696442655676</c:v>
                </c:pt>
                <c:pt idx="263">
                  <c:v>-20.059537645724525</c:v>
                </c:pt>
                <c:pt idx="264">
                  <c:v>-20.342337948443706</c:v>
                </c:pt>
                <c:pt idx="265">
                  <c:v>-20.627120427618827</c:v>
                </c:pt>
                <c:pt idx="266">
                  <c:v>-20.913905550065689</c:v>
                </c:pt>
                <c:pt idx="267">
                  <c:v>-21.20271110675343</c:v>
                </c:pt>
                <c:pt idx="268">
                  <c:v>-21.493552154547473</c:v>
                </c:pt>
                <c:pt idx="269">
                  <c:v>-21.786440966080196</c:v>
                </c:pt>
                <c:pt idx="270">
                  <c:v>-22.081386988208362</c:v>
                </c:pt>
                <c:pt idx="271">
                  <c:v>-22.378396809442176</c:v>
                </c:pt>
                <c:pt idx="272">
                  <c:v>-22.677474136644562</c:v>
                </c:pt>
                <c:pt idx="273">
                  <c:v>-22.978619781220576</c:v>
                </c:pt>
                <c:pt idx="274">
                  <c:v>-23.281831654919557</c:v>
                </c:pt>
                <c:pt idx="275">
                  <c:v>-23.587104775285212</c:v>
                </c:pt>
                <c:pt idx="276">
                  <c:v>-23.894431280696811</c:v>
                </c:pt>
                <c:pt idx="277">
                  <c:v>-24.203800454850565</c:v>
                </c:pt>
                <c:pt idx="278">
                  <c:v>-24.515198760444203</c:v>
                </c:pt>
                <c:pt idx="279">
                  <c:v>-24.82860988174118</c:v>
                </c:pt>
                <c:pt idx="280">
                  <c:v>-25.14401477561039</c:v>
                </c:pt>
                <c:pt idx="281">
                  <c:v>-25.461391730564031</c:v>
                </c:pt>
                <c:pt idx="282">
                  <c:v>-25.780716433248152</c:v>
                </c:pt>
                <c:pt idx="283">
                  <c:v>-26.101962041782688</c:v>
                </c:pt>
                <c:pt idx="284">
                  <c:v>-26.425099265296677</c:v>
                </c:pt>
                <c:pt idx="285">
                  <c:v>-26.750096448963923</c:v>
                </c:pt>
                <c:pt idx="286">
                  <c:v>-27.076919663813289</c:v>
                </c:pt>
                <c:pt idx="287">
                  <c:v>-27.405532800564867</c:v>
                </c:pt>
                <c:pt idx="288">
                  <c:v>-27.735897666734392</c:v>
                </c:pt>
                <c:pt idx="289">
                  <c:v>-28.067974086241495</c:v>
                </c:pt>
                <c:pt idx="290">
                  <c:v>-28.401720000769561</c:v>
                </c:pt>
                <c:pt idx="291">
                  <c:v>-28.737091572135359</c:v>
                </c:pt>
                <c:pt idx="292">
                  <c:v>-29.074043284953696</c:v>
                </c:pt>
                <c:pt idx="293">
                  <c:v>-29.41252804891111</c:v>
                </c:pt>
                <c:pt idx="294">
                  <c:v>-29.752497299999771</c:v>
                </c:pt>
                <c:pt idx="295">
                  <c:v>-30.093901100108035</c:v>
                </c:pt>
                <c:pt idx="296">
                  <c:v>-30.436688234407679</c:v>
                </c:pt>
                <c:pt idx="297">
                  <c:v>-30.780806306033341</c:v>
                </c:pt>
                <c:pt idx="298">
                  <c:v>-31.126201827599921</c:v>
                </c:pt>
                <c:pt idx="299">
                  <c:v>-31.47282030916482</c:v>
                </c:pt>
                <c:pt idx="300">
                  <c:v>-31.820606342295498</c:v>
                </c:pt>
                <c:pt idx="301">
                  <c:v>-32.169503679963</c:v>
                </c:pt>
                <c:pt idx="302">
                  <c:v>-32.519455312041465</c:v>
                </c:pt>
                <c:pt idx="303">
                  <c:v>-32.870403536246535</c:v>
                </c:pt>
                <c:pt idx="304">
                  <c:v>-33.222290024408309</c:v>
                </c:pt>
                <c:pt idx="305">
                  <c:v>-33.575055884020465</c:v>
                </c:pt>
                <c:pt idx="306">
                  <c:v>-33.928641715066867</c:v>
                </c:pt>
                <c:pt idx="307">
                  <c:v>-34.282987662170143</c:v>
                </c:pt>
                <c:pt idx="308">
                  <c:v>-34.638033462156521</c:v>
                </c:pt>
                <c:pt idx="309">
                  <c:v>-34.993718487173446</c:v>
                </c:pt>
                <c:pt idx="310">
                  <c:v>-35.349981783535995</c:v>
                </c:pt>
                <c:pt idx="311">
                  <c:v>-35.706762106517793</c:v>
                </c:pt>
                <c:pt idx="312">
                  <c:v>-36.063997951331011</c:v>
                </c:pt>
                <c:pt idx="313">
                  <c:v>-36.421627580576313</c:v>
                </c:pt>
                <c:pt idx="314">
                  <c:v>-36.77958904846443</c:v>
                </c:pt>
                <c:pt idx="315">
                  <c:v>-37.137820222141343</c:v>
                </c:pt>
                <c:pt idx="316">
                  <c:v>-37.496258800463778</c:v>
                </c:pt>
                <c:pt idx="317">
                  <c:v>-37.854842330593385</c:v>
                </c:pt>
                <c:pt idx="318">
                  <c:v>-38.213508222791738</c:v>
                </c:pt>
                <c:pt idx="319">
                  <c:v>-38.572193763808741</c:v>
                </c:pt>
                <c:pt idx="320">
                  <c:v>-38.930836129267526</c:v>
                </c:pt>
                <c:pt idx="321">
                  <c:v>-39.289372395453825</c:v>
                </c:pt>
                <c:pt idx="322">
                  <c:v>-39.647739550921969</c:v>
                </c:pt>
                <c:pt idx="323">
                  <c:v>-40.005874508328972</c:v>
                </c:pt>
                <c:pt idx="324">
                  <c:v>-40.363714116908859</c:v>
                </c:pt>
                <c:pt idx="325">
                  <c:v>-40.721195175989386</c:v>
                </c:pt>
                <c:pt idx="326">
                  <c:v>-41.078254449951224</c:v>
                </c:pt>
                <c:pt idx="327">
                  <c:v>-41.434828685014729</c:v>
                </c:pt>
                <c:pt idx="328">
                  <c:v>-41.790854628229127</c:v>
                </c:pt>
                <c:pt idx="329">
                  <c:v>-42.146269049020198</c:v>
                </c:pt>
                <c:pt idx="330">
                  <c:v>-42.50100876363441</c:v>
                </c:pt>
                <c:pt idx="331">
                  <c:v>-42.855010662794783</c:v>
                </c:pt>
                <c:pt idx="332">
                  <c:v>-43.208211742858083</c:v>
                </c:pt>
                <c:pt idx="333">
                  <c:v>-43.560549140734054</c:v>
                </c:pt>
                <c:pt idx="334">
                  <c:v>-43.911960172795389</c:v>
                </c:pt>
                <c:pt idx="335">
                  <c:v>-44.262382377972109</c:v>
                </c:pt>
                <c:pt idx="336">
                  <c:v>-44.611753565184607</c:v>
                </c:pt>
                <c:pt idx="337">
                  <c:v>-44.960011865230726</c:v>
                </c:pt>
                <c:pt idx="338">
                  <c:v>-45.30709578719329</c:v>
                </c:pt>
                <c:pt idx="339">
                  <c:v>-45.652944279391548</c:v>
                </c:pt>
                <c:pt idx="340">
                  <c:v>-45.997496794848388</c:v>
                </c:pt>
                <c:pt idx="341">
                  <c:v>-46.340693361191938</c:v>
                </c:pt>
                <c:pt idx="342">
                  <c:v>-46.682474654858041</c:v>
                </c:pt>
                <c:pt idx="343">
                  <c:v>-47.022782079404237</c:v>
                </c:pt>
                <c:pt idx="344">
                  <c:v>-47.361557847689738</c:v>
                </c:pt>
                <c:pt idx="345">
                  <c:v>-47.698745067618553</c:v>
                </c:pt>
                <c:pt idx="346">
                  <c:v>-48.034287831090374</c:v>
                </c:pt>
                <c:pt idx="347">
                  <c:v>-48.368131305743248</c:v>
                </c:pt>
                <c:pt idx="348">
                  <c:v>-48.70022182902715</c:v>
                </c:pt>
                <c:pt idx="349">
                  <c:v>-49.03050700409117</c:v>
                </c:pt>
                <c:pt idx="350">
                  <c:v>-49.35893579692474</c:v>
                </c:pt>
                <c:pt idx="351">
                  <c:v>-49.685458634150763</c:v>
                </c:pt>
                <c:pt idx="352">
                  <c:v>-50.010027500833552</c:v>
                </c:pt>
                <c:pt idx="353">
                  <c:v>-50.332596037633614</c:v>
                </c:pt>
                <c:pt idx="354">
                  <c:v>-50.653119636621604</c:v>
                </c:pt>
                <c:pt idx="355">
                  <c:v>-50.97155553504556</c:v>
                </c:pt>
                <c:pt idx="356">
                  <c:v>-51.287862906343648</c:v>
                </c:pt>
                <c:pt idx="357">
                  <c:v>-51.602002947695766</c:v>
                </c:pt>
                <c:pt idx="358">
                  <c:v>-51.91393896342003</c:v>
                </c:pt>
                <c:pt idx="359">
                  <c:v>-52.223636443541409</c:v>
                </c:pt>
                <c:pt idx="360">
                  <c:v>-52.531063136895696</c:v>
                </c:pt>
                <c:pt idx="361">
                  <c:v>-52.836189118166679</c:v>
                </c:pt>
                <c:pt idx="362">
                  <c:v>-53.138986848311099</c:v>
                </c:pt>
                <c:pt idx="363">
                  <c:v>-53.439431227880632</c:v>
                </c:pt>
                <c:pt idx="364">
                  <c:v>-53.737499642819202</c:v>
                </c:pt>
                <c:pt idx="365">
                  <c:v>-54.033172002387019</c:v>
                </c:pt>
                <c:pt idx="366">
                  <c:v>-54.326430768942053</c:v>
                </c:pt>
                <c:pt idx="367">
                  <c:v>-54.617260979394729</c:v>
                </c:pt>
                <c:pt idx="368">
                  <c:v>-54.905650258238197</c:v>
                </c:pt>
                <c:pt idx="369">
                  <c:v>-55.191588822147224</c:v>
                </c:pt>
                <c:pt idx="370">
                  <c:v>-55.475069476225855</c:v>
                </c:pt>
                <c:pt idx="371">
                  <c:v>-55.756087602075866</c:v>
                </c:pt>
                <c:pt idx="372">
                  <c:v>-56.034641137940923</c:v>
                </c:pt>
                <c:pt idx="373">
                  <c:v>-56.310730551262921</c:v>
                </c:pt>
                <c:pt idx="374">
                  <c:v>-56.584358804063648</c:v>
                </c:pt>
                <c:pt idx="375">
                  <c:v>-56.855531311632305</c:v>
                </c:pt>
                <c:pt idx="376">
                  <c:v>-57.124255895060244</c:v>
                </c:pt>
                <c:pt idx="377">
                  <c:v>-57.39054272821371</c:v>
                </c:pt>
                <c:pt idx="378">
                  <c:v>-57.654404279777147</c:v>
                </c:pt>
                <c:pt idx="379">
                  <c:v>-57.915855251031289</c:v>
                </c:pt>
                <c:pt idx="380">
                  <c:v>-58.174912510042141</c:v>
                </c:pt>
                <c:pt idx="381">
                  <c:v>-58.431595022952408</c:v>
                </c:pt>
                <c:pt idx="382">
                  <c:v>-58.685923783057802</c:v>
                </c:pt>
                <c:pt idx="383">
                  <c:v>-58.937921738332371</c:v>
                </c:pt>
                <c:pt idx="384">
                  <c:v>-59.187613718047714</c:v>
                </c:pt>
                <c:pt idx="385">
                  <c:v>-59.435026359085668</c:v>
                </c:pt>
                <c:pt idx="386">
                  <c:v>-59.680188032504461</c:v>
                </c:pt>
                <c:pt idx="387">
                  <c:v>-59.923128770857915</c:v>
                </c:pt>
                <c:pt idx="388">
                  <c:v>-60.163880196708696</c:v>
                </c:pt>
                <c:pt idx="389">
                  <c:v>-60.402475452706781</c:v>
                </c:pt>
                <c:pt idx="390">
                  <c:v>-60.638949133529223</c:v>
                </c:pt>
                <c:pt idx="391">
                  <c:v>-60.873337219904769</c:v>
                </c:pt>
                <c:pt idx="392">
                  <c:v>-61.105677014860888</c:v>
                </c:pt>
                <c:pt idx="393">
                  <c:v>-61.336007082262334</c:v>
                </c:pt>
                <c:pt idx="394">
                  <c:v>-61.564367187619226</c:v>
                </c:pt>
                <c:pt idx="395">
                  <c:v>-61.790798241078974</c:v>
                </c:pt>
                <c:pt idx="396">
                  <c:v>-62.015342242436695</c:v>
                </c:pt>
                <c:pt idx="397">
                  <c:v>-62.238042227936049</c:v>
                </c:pt>
                <c:pt idx="398">
                  <c:v>-62.458942218572872</c:v>
                </c:pt>
                <c:pt idx="399">
                  <c:v>-62.678087169561408</c:v>
                </c:pt>
                <c:pt idx="400">
                  <c:v>-62.895522920580895</c:v>
                </c:pt>
                <c:pt idx="401">
                  <c:v>-63.111296146387062</c:v>
                </c:pt>
                <c:pt idx="402">
                  <c:v>-63.325454307352665</c:v>
                </c:pt>
                <c:pt idx="403">
                  <c:v>-63.538045599486125</c:v>
                </c:pt>
                <c:pt idx="404">
                  <c:v>-63.749118903483904</c:v>
                </c:pt>
                <c:pt idx="405">
                  <c:v>-63.958723732377834</c:v>
                </c:pt>
                <c:pt idx="406">
                  <c:v>-64.166910177368706</c:v>
                </c:pt>
                <c:pt idx="407">
                  <c:v>-64.373728851464563</c:v>
                </c:pt>
                <c:pt idx="408">
                  <c:v>-64.579230830595918</c:v>
                </c:pt>
                <c:pt idx="409">
                  <c:v>-64.783467591928627</c:v>
                </c:pt>
                <c:pt idx="410">
                  <c:v>-64.9864909491601</c:v>
                </c:pt>
                <c:pt idx="411">
                  <c:v>-65.188352984659275</c:v>
                </c:pt>
                <c:pt idx="412">
                  <c:v>-65.389105978382659</c:v>
                </c:pt>
                <c:pt idx="413">
                  <c:v>-65.588802333582322</c:v>
                </c:pt>
                <c:pt idx="414">
                  <c:v>-65.787494499407842</c:v>
                </c:pt>
                <c:pt idx="415">
                  <c:v>-65.985234890584024</c:v>
                </c:pt>
                <c:pt idx="416">
                  <c:v>-66.182075804435357</c:v>
                </c:pt>
                <c:pt idx="417">
                  <c:v>-66.378069335602689</c:v>
                </c:pt>
                <c:pt idx="418">
                  <c:v>-66.573267288881098</c:v>
                </c:pt>
                <c:pt idx="419">
                  <c:v>-66.767721090670349</c:v>
                </c:pt>
                <c:pt idx="420">
                  <c:v>-66.961481699593833</c:v>
                </c:pt>
                <c:pt idx="421">
                  <c:v>-67.154599516896013</c:v>
                </c:pt>
                <c:pt idx="422">
                  <c:v>-67.347124297264685</c:v>
                </c:pt>
                <c:pt idx="423">
                  <c:v>-67.539105060759624</c:v>
                </c:pt>
                <c:pt idx="424">
                  <c:v>-67.730590006542542</c:v>
                </c:pt>
                <c:pt idx="425">
                  <c:v>-67.921626429111498</c:v>
                </c:pt>
                <c:pt idx="426">
                  <c:v>-68.112260637734636</c:v>
                </c:pt>
                <c:pt idx="427">
                  <c:v>-68.30253787975812</c:v>
                </c:pt>
                <c:pt idx="428">
                  <c:v>-68.492502268432261</c:v>
                </c:pt>
                <c:pt idx="429">
                  <c:v>-68.682196715858737</c:v>
                </c:pt>
                <c:pt idx="430">
                  <c:v>-68.871662871608009</c:v>
                </c:pt>
                <c:pt idx="431">
                  <c:v>-69.060941067497325</c:v>
                </c:pt>
                <c:pt idx="432">
                  <c:v>-69.250070268949216</c:v>
                </c:pt>
                <c:pt idx="433">
                  <c:v>-69.439088033281877</c:v>
                </c:pt>
                <c:pt idx="434">
                  <c:v>-69.628030475199154</c:v>
                </c:pt>
                <c:pt idx="435">
                  <c:v>-69.816932239673321</c:v>
                </c:pt>
                <c:pt idx="436">
                  <c:v>-70.005826482330122</c:v>
                </c:pt>
                <c:pt idx="437">
                  <c:v>-70.194744857367425</c:v>
                </c:pt>
                <c:pt idx="438">
                  <c:v>-70.383717512960004</c:v>
                </c:pt>
                <c:pt idx="439">
                  <c:v>-70.572773094029046</c:v>
                </c:pt>
                <c:pt idx="440">
                  <c:v>-70.761938752187703</c:v>
                </c:pt>
                <c:pt idx="441">
                  <c:v>-70.951240162606638</c:v>
                </c:pt>
                <c:pt idx="442">
                  <c:v>-71.140701547490835</c:v>
                </c:pt>
                <c:pt idx="443">
                  <c:v>-71.33034570580584</c:v>
                </c:pt>
                <c:pt idx="444">
                  <c:v>-71.520194048850698</c:v>
                </c:pt>
                <c:pt idx="445">
                  <c:v>-71.71026664124075</c:v>
                </c:pt>
                <c:pt idx="446">
                  <c:v>-71.900582246836876</c:v>
                </c:pt>
                <c:pt idx="447">
                  <c:v>-72.091158379137553</c:v>
                </c:pt>
                <c:pt idx="448">
                  <c:v>-72.282011355640762</c:v>
                </c:pt>
                <c:pt idx="449">
                  <c:v>-72.473156355678341</c:v>
                </c:pt>
                <c:pt idx="450">
                  <c:v>-72.664607481225815</c:v>
                </c:pt>
                <c:pt idx="451">
                  <c:v>-72.856377820201374</c:v>
                </c:pt>
                <c:pt idx="452">
                  <c:v>-73.048479511780812</c:v>
                </c:pt>
                <c:pt idx="453">
                  <c:v>-73.240923813272346</c:v>
                </c:pt>
                <c:pt idx="454">
                  <c:v>-73.433721168119789</c:v>
                </c:pt>
                <c:pt idx="455">
                  <c:v>-73.626881274626356</c:v>
                </c:pt>
                <c:pt idx="456">
                  <c:v>-73.820413155019224</c:v>
                </c:pt>
                <c:pt idx="457">
                  <c:v>-74.014325224507346</c:v>
                </c:pt>
                <c:pt idx="458">
                  <c:v>-74.208625360013741</c:v>
                </c:pt>
                <c:pt idx="459">
                  <c:v>-74.403320968294906</c:v>
                </c:pt>
                <c:pt idx="460">
                  <c:v>-74.598419053195045</c:v>
                </c:pt>
                <c:pt idx="461">
                  <c:v>-74.793926281810229</c:v>
                </c:pt>
                <c:pt idx="462">
                  <c:v>-74.989849049372609</c:v>
                </c:pt>
                <c:pt idx="463">
                  <c:v>-75.186193542688017</c:v>
                </c:pt>
                <c:pt idx="464">
                  <c:v>-75.382965801995539</c:v>
                </c:pt>
                <c:pt idx="465">
                  <c:v>-75.580171781139356</c:v>
                </c:pt>
                <c:pt idx="466">
                  <c:v>-75.777817405967312</c:v>
                </c:pt>
                <c:pt idx="467">
                  <c:v>-75.975908630894878</c:v>
                </c:pt>
                <c:pt idx="468">
                  <c:v>-76.174451493593665</c:v>
                </c:pt>
                <c:pt idx="469">
                  <c:v>-76.373452167777259</c:v>
                </c:pt>
                <c:pt idx="470">
                  <c:v>-76.572917014079593</c:v>
                </c:pt>
                <c:pt idx="471">
                  <c:v>-76.772852629028506</c:v>
                </c:pt>
                <c:pt idx="472">
                  <c:v>-76.973265892130073</c:v>
                </c:pt>
                <c:pt idx="473">
                  <c:v>-77.174164011091847</c:v>
                </c:pt>
                <c:pt idx="474">
                  <c:v>-77.375554565215467</c:v>
                </c:pt>
                <c:pt idx="475">
                  <c:v>-77.577445546996131</c:v>
                </c:pt>
                <c:pt idx="476">
                  <c:v>-77.779845401971684</c:v>
                </c:pt>
                <c:pt idx="477">
                  <c:v>-77.982763066862162</c:v>
                </c:pt>
                <c:pt idx="478">
                  <c:v>-78.186208006043245</c:v>
                </c:pt>
                <c:pt idx="479">
                  <c:v>-78.390190246393601</c:v>
                </c:pt>
                <c:pt idx="480">
                  <c:v>-78.594720410556008</c:v>
                </c:pt>
                <c:pt idx="481">
                  <c:v>-78.799809748644009</c:v>
                </c:pt>
                <c:pt idx="482">
                  <c:v>-79.005470168422448</c:v>
                </c:pt>
                <c:pt idx="483">
                  <c:v>-79.211714263984675</c:v>
                </c:pt>
                <c:pt idx="484">
                  <c:v>-79.41855534293974</c:v>
                </c:pt>
                <c:pt idx="485">
                  <c:v>-79.626007452114777</c:v>
                </c:pt>
                <c:pt idx="486">
                  <c:v>-79.83408540177021</c:v>
                </c:pt>
                <c:pt idx="487">
                  <c:v>-80.042804788313603</c:v>
                </c:pt>
                <c:pt idx="488">
                  <c:v>-80.252182015489069</c:v>
                </c:pt>
                <c:pt idx="489">
                  <c:v>-80.462234314006565</c:v>
                </c:pt>
                <c:pt idx="490">
                  <c:v>-80.672979759565663</c:v>
                </c:pt>
                <c:pt idx="491">
                  <c:v>-80.884437289217388</c:v>
                </c:pt>
                <c:pt idx="492">
                  <c:v>-81.096626715991746</c:v>
                </c:pt>
                <c:pt idx="493">
                  <c:v>-81.309568741714003</c:v>
                </c:pt>
                <c:pt idx="494">
                  <c:v>-81.523284967911962</c:v>
                </c:pt>
                <c:pt idx="495">
                  <c:v>-81.737797904715009</c:v>
                </c:pt>
                <c:pt idx="496">
                  <c:v>-81.953130977623005</c:v>
                </c:pt>
                <c:pt idx="497">
                  <c:v>-82.169308532023848</c:v>
                </c:pt>
                <c:pt idx="498">
                  <c:v>-82.386355835317687</c:v>
                </c:pt>
                <c:pt idx="499">
                  <c:v>-82.604299076503068</c:v>
                </c:pt>
                <c:pt idx="500">
                  <c:v>-82.82316536306908</c:v>
                </c:pt>
                <c:pt idx="501">
                  <c:v>-83.042982715028586</c:v>
                </c:pt>
                <c:pt idx="502">
                  <c:v>-83.263780055922908</c:v>
                </c:pt>
                <c:pt idx="503">
                  <c:v>-83.485587200621666</c:v>
                </c:pt>
                <c:pt idx="504">
                  <c:v>-83.708434839740022</c:v>
                </c:pt>
                <c:pt idx="505">
                  <c:v>-83.932354520490719</c:v>
                </c:pt>
                <c:pt idx="506">
                  <c:v>-84.157378623790692</c:v>
                </c:pt>
                <c:pt idx="507">
                  <c:v>-84.383540337444956</c:v>
                </c:pt>
                <c:pt idx="508">
                  <c:v>-84.610873625232642</c:v>
                </c:pt>
                <c:pt idx="509">
                  <c:v>-84.839413191730983</c:v>
                </c:pt>
                <c:pt idx="510">
                  <c:v>-85.06919444272107</c:v>
                </c:pt>
                <c:pt idx="511">
                  <c:v>-85.30025344103359</c:v>
                </c:pt>
                <c:pt idx="512">
                  <c:v>-85.532626857708863</c:v>
                </c:pt>
                <c:pt idx="513">
                  <c:v>-85.766351918366794</c:v>
                </c:pt>
                <c:pt idx="514">
                  <c:v>-86.001466344703687</c:v>
                </c:pt>
                <c:pt idx="515">
                  <c:v>-86.238008291061092</c:v>
                </c:pt>
                <c:pt idx="516">
                  <c:v>-86.47601627604287</c:v>
                </c:pt>
                <c:pt idx="517">
                  <c:v>-86.715529109187941</c:v>
                </c:pt>
                <c:pt idx="518">
                  <c:v>-86.956585812747775</c:v>
                </c:pt>
                <c:pt idx="519">
                  <c:v>-87.199225538652001</c:v>
                </c:pt>
                <c:pt idx="520">
                  <c:v>-87.443487480796932</c:v>
                </c:pt>
                <c:pt idx="521">
                  <c:v>-87.689410782831416</c:v>
                </c:pt>
                <c:pt idx="522">
                  <c:v>-87.937034441664736</c:v>
                </c:pt>
                <c:pt idx="523">
                  <c:v>-88.186397206975343</c:v>
                </c:pt>
                <c:pt idx="524">
                  <c:v>-88.437537477045666</c:v>
                </c:pt>
                <c:pt idx="525">
                  <c:v>-88.69049319130518</c:v>
                </c:pt>
                <c:pt idx="526">
                  <c:v>-88.94530172001285</c:v>
                </c:pt>
                <c:pt idx="527">
                  <c:v>-89.201999751565623</c:v>
                </c:pt>
                <c:pt idx="528">
                  <c:v>-89.460623177966397</c:v>
                </c:pt>
                <c:pt idx="529">
                  <c:v>-89.721206979034775</c:v>
                </c:pt>
                <c:pt idx="530">
                  <c:v>-89.983785105988758</c:v>
                </c:pt>
                <c:pt idx="531">
                  <c:v>-90.248390365063997</c:v>
                </c:pt>
                <c:pt idx="532">
                  <c:v>-90.515054301872794</c:v>
                </c:pt>
                <c:pt idx="533">
                  <c:v>-90.783807087238003</c:v>
                </c:pt>
                <c:pt idx="534">
                  <c:v>-91.054677405250928</c:v>
                </c:pt>
                <c:pt idx="535">
                  <c:v>-91.327692344327417</c:v>
                </c:pt>
                <c:pt idx="536">
                  <c:v>-91.602877292033753</c:v>
                </c:pt>
                <c:pt idx="537">
                  <c:v>-91.88025583445679</c:v>
                </c:pt>
                <c:pt idx="538">
                  <c:v>-92.159849660880383</c:v>
                </c:pt>
                <c:pt idx="539">
                  <c:v>-92.441678474506261</c:v>
                </c:pt>
                <c:pt idx="540">
                  <c:v>-92.725759909930588</c:v>
                </c:pt>
                <c:pt idx="541">
                  <c:v>-93.01210945804479</c:v>
                </c:pt>
              </c:numCache>
            </c:numRef>
          </c:yVal>
          <c:smooth val="1"/>
          <c:extLst>
            <c:ext xmlns:c16="http://schemas.microsoft.com/office/drawing/2014/chart" uri="{C3380CC4-5D6E-409C-BE32-E72D297353CC}">
              <c16:uniqueId val="{00000000-F558-460B-9BCA-B72D2A1A8C6F}"/>
            </c:ext>
          </c:extLst>
        </c:ser>
        <c:dLbls>
          <c:showLegendKey val="0"/>
          <c:showVal val="0"/>
          <c:showCatName val="0"/>
          <c:showSerName val="0"/>
          <c:showPercent val="0"/>
          <c:showBubbleSize val="0"/>
        </c:dLbls>
        <c:axId val="377549184"/>
        <c:axId val="377551104"/>
      </c:scatterChart>
      <c:scatterChart>
        <c:scatterStyle val="smoothMarker"/>
        <c:varyColors val="0"/>
        <c:ser>
          <c:idx val="1"/>
          <c:order val="1"/>
          <c:tx>
            <c:v>Phase (deg)</c:v>
          </c:tx>
          <c:spPr>
            <a:ln w="38100">
              <a:solidFill>
                <a:schemeClr val="tx1">
                  <a:lumMod val="95000"/>
                  <a:lumOff val="5000"/>
                </a:schemeClr>
              </a:solidFill>
              <a:prstDash val="sysDash"/>
            </a:ln>
          </c:spPr>
          <c:marker>
            <c:symbol val="none"/>
          </c:marker>
          <c:xVal>
            <c:numRef>
              <c:f>CCM_Loop_Modeling_non_isolated!$O$19:$O$560</c:f>
              <c:numCache>
                <c:formatCode>0.00</c:formatCode>
                <c:ptCount val="542"/>
                <c:pt idx="0">
                  <c:v>10.232929922807543</c:v>
                </c:pt>
                <c:pt idx="1">
                  <c:v>10.471285480509</c:v>
                </c:pt>
                <c:pt idx="2">
                  <c:v>10.715193052376069</c:v>
                </c:pt>
                <c:pt idx="3">
                  <c:v>10.964781961431854</c:v>
                </c:pt>
                <c:pt idx="4">
                  <c:v>11.220184543019636</c:v>
                </c:pt>
                <c:pt idx="5">
                  <c:v>11.481536214968834</c:v>
                </c:pt>
                <c:pt idx="6">
                  <c:v>11.748975549395301</c:v>
                </c:pt>
                <c:pt idx="7">
                  <c:v>12.022644346174133</c:v>
                </c:pt>
                <c:pt idx="8">
                  <c:v>12.302687708123818</c:v>
                </c:pt>
                <c:pt idx="9">
                  <c:v>12.58925411794168</c:v>
                </c:pt>
                <c:pt idx="10">
                  <c:v>12.882495516931346</c:v>
                </c:pt>
                <c:pt idx="11">
                  <c:v>13.182567385564075</c:v>
                </c:pt>
                <c:pt idx="12">
                  <c:v>13.489628825916535</c:v>
                </c:pt>
                <c:pt idx="13">
                  <c:v>13.803842646028857</c:v>
                </c:pt>
                <c:pt idx="14">
                  <c:v>14.125375446227544</c:v>
                </c:pt>
                <c:pt idx="15">
                  <c:v>14.454397707459275</c:v>
                </c:pt>
                <c:pt idx="16">
                  <c:v>14.791083881682074</c:v>
                </c:pt>
                <c:pt idx="17">
                  <c:v>15.135612484362087</c:v>
                </c:pt>
                <c:pt idx="18">
                  <c:v>15.488166189124817</c:v>
                </c:pt>
                <c:pt idx="19">
                  <c:v>15.848931924611136</c:v>
                </c:pt>
                <c:pt idx="20">
                  <c:v>16.218100973589298</c:v>
                </c:pt>
                <c:pt idx="21">
                  <c:v>16.595869074375614</c:v>
                </c:pt>
                <c:pt idx="22">
                  <c:v>16.982436524617448</c:v>
                </c:pt>
                <c:pt idx="23">
                  <c:v>17.378008287493756</c:v>
                </c:pt>
                <c:pt idx="24">
                  <c:v>17.782794100389236</c:v>
                </c:pt>
                <c:pt idx="25">
                  <c:v>18.197008586099841</c:v>
                </c:pt>
                <c:pt idx="26">
                  <c:v>18.62087136662868</c:v>
                </c:pt>
                <c:pt idx="27">
                  <c:v>19.054607179632477</c:v>
                </c:pt>
                <c:pt idx="28">
                  <c:v>19.498445997580465</c:v>
                </c:pt>
                <c:pt idx="29">
                  <c:v>19.952623149688804</c:v>
                </c:pt>
                <c:pt idx="30">
                  <c:v>20.4173794466953</c:v>
                </c:pt>
                <c:pt idx="31">
                  <c:v>20.8929613085404</c:v>
                </c:pt>
                <c:pt idx="32">
                  <c:v>21.379620895022335</c:v>
                </c:pt>
                <c:pt idx="33">
                  <c:v>21.877616239495538</c:v>
                </c:pt>
                <c:pt idx="34">
                  <c:v>22.387211385683404</c:v>
                </c:pt>
                <c:pt idx="35">
                  <c:v>22.908676527677727</c:v>
                </c:pt>
                <c:pt idx="36">
                  <c:v>23.442288153199236</c:v>
                </c:pt>
                <c:pt idx="37">
                  <c:v>23.988329190194907</c:v>
                </c:pt>
                <c:pt idx="38">
                  <c:v>24.547089156850316</c:v>
                </c:pt>
                <c:pt idx="39">
                  <c:v>25.118864315095799</c:v>
                </c:pt>
                <c:pt idx="40">
                  <c:v>25.703957827688647</c:v>
                </c:pt>
                <c:pt idx="41">
                  <c:v>26.302679918953825</c:v>
                </c:pt>
                <c:pt idx="42">
                  <c:v>26.915348039269158</c:v>
                </c:pt>
                <c:pt idx="43">
                  <c:v>27.542287033381665</c:v>
                </c:pt>
                <c:pt idx="44">
                  <c:v>28.183829312644548</c:v>
                </c:pt>
                <c:pt idx="45">
                  <c:v>28.840315031266066</c:v>
                </c:pt>
                <c:pt idx="46">
                  <c:v>29.512092266663863</c:v>
                </c:pt>
                <c:pt idx="47">
                  <c:v>30.199517204020164</c:v>
                </c:pt>
                <c:pt idx="48">
                  <c:v>30.902954325135919</c:v>
                </c:pt>
                <c:pt idx="49">
                  <c:v>31.622776601683803</c:v>
                </c:pt>
                <c:pt idx="50">
                  <c:v>32.359365692962832</c:v>
                </c:pt>
                <c:pt idx="51">
                  <c:v>33.113112148259127</c:v>
                </c:pt>
                <c:pt idx="52">
                  <c:v>33.884415613920268</c:v>
                </c:pt>
                <c:pt idx="53">
                  <c:v>34.67368504525318</c:v>
                </c:pt>
                <c:pt idx="54">
                  <c:v>35.481338923357555</c:v>
                </c:pt>
                <c:pt idx="55">
                  <c:v>36.307805477010156</c:v>
                </c:pt>
                <c:pt idx="56">
                  <c:v>37.15352290971726</c:v>
                </c:pt>
                <c:pt idx="57">
                  <c:v>38.018939632056139</c:v>
                </c:pt>
                <c:pt idx="58">
                  <c:v>38.904514499428053</c:v>
                </c:pt>
                <c:pt idx="59">
                  <c:v>39.810717055349755</c:v>
                </c:pt>
                <c:pt idx="60">
                  <c:v>40.738027780411279</c:v>
                </c:pt>
                <c:pt idx="61">
                  <c:v>41.686938347033561</c:v>
                </c:pt>
                <c:pt idx="62">
                  <c:v>42.657951880159267</c:v>
                </c:pt>
                <c:pt idx="63">
                  <c:v>43.651583224016633</c:v>
                </c:pt>
                <c:pt idx="64">
                  <c:v>44.668359215096324</c:v>
                </c:pt>
                <c:pt idx="65">
                  <c:v>45.70881896148753</c:v>
                </c:pt>
                <c:pt idx="66">
                  <c:v>46.773514128719818</c:v>
                </c:pt>
                <c:pt idx="67">
                  <c:v>47.863009232263877</c:v>
                </c:pt>
                <c:pt idx="68">
                  <c:v>48.977881936844632</c:v>
                </c:pt>
                <c:pt idx="69">
                  <c:v>50.118723362727238</c:v>
                </c:pt>
                <c:pt idx="70">
                  <c:v>51.28613839913649</c:v>
                </c:pt>
                <c:pt idx="71">
                  <c:v>52.480746024977286</c:v>
                </c:pt>
                <c:pt idx="72">
                  <c:v>53.703179637025293</c:v>
                </c:pt>
                <c:pt idx="73">
                  <c:v>54.95408738576247</c:v>
                </c:pt>
                <c:pt idx="74">
                  <c:v>56.234132519034915</c:v>
                </c:pt>
                <c:pt idx="75">
                  <c:v>57.543993733715695</c:v>
                </c:pt>
                <c:pt idx="76">
                  <c:v>58.884365535558949</c:v>
                </c:pt>
                <c:pt idx="77">
                  <c:v>60.255958607435822</c:v>
                </c:pt>
                <c:pt idx="78">
                  <c:v>61.659500186148257</c:v>
                </c:pt>
                <c:pt idx="79">
                  <c:v>63.095734448019364</c:v>
                </c:pt>
                <c:pt idx="80">
                  <c:v>64.565422903465588</c:v>
                </c:pt>
                <c:pt idx="81">
                  <c:v>66.069344800759623</c:v>
                </c:pt>
                <c:pt idx="82">
                  <c:v>67.60829753919819</c:v>
                </c:pt>
                <c:pt idx="83">
                  <c:v>69.183097091893657</c:v>
                </c:pt>
                <c:pt idx="84">
                  <c:v>70.794578438413865</c:v>
                </c:pt>
                <c:pt idx="85">
                  <c:v>72.443596007499011</c:v>
                </c:pt>
                <c:pt idx="86">
                  <c:v>74.131024130091816</c:v>
                </c:pt>
                <c:pt idx="87">
                  <c:v>75.857757502918361</c:v>
                </c:pt>
                <c:pt idx="88">
                  <c:v>77.624711662869217</c:v>
                </c:pt>
                <c:pt idx="89">
                  <c:v>79.432823472428197</c:v>
                </c:pt>
                <c:pt idx="90">
                  <c:v>81.283051616409963</c:v>
                </c:pt>
                <c:pt idx="91">
                  <c:v>83.176377110267126</c:v>
                </c:pt>
                <c:pt idx="92">
                  <c:v>85.113803820237734</c:v>
                </c:pt>
                <c:pt idx="93">
                  <c:v>87.096358995608071</c:v>
                </c:pt>
                <c:pt idx="94">
                  <c:v>89.125093813374562</c:v>
                </c:pt>
                <c:pt idx="95">
                  <c:v>91.201083935590972</c:v>
                </c:pt>
                <c:pt idx="96">
                  <c:v>93.325430079699174</c:v>
                </c:pt>
                <c:pt idx="97">
                  <c:v>95.499258602143655</c:v>
                </c:pt>
                <c:pt idx="98">
                  <c:v>97.723722095581124</c:v>
                </c:pt>
                <c:pt idx="99">
                  <c:v>100</c:v>
                </c:pt>
                <c:pt idx="100">
                  <c:v>102.32929922807544</c:v>
                </c:pt>
                <c:pt idx="101">
                  <c:v>104.71285480508998</c:v>
                </c:pt>
                <c:pt idx="102">
                  <c:v>107.15193052376065</c:v>
                </c:pt>
                <c:pt idx="103">
                  <c:v>109.64781961431861</c:v>
                </c:pt>
                <c:pt idx="104">
                  <c:v>112.20184543019634</c:v>
                </c:pt>
                <c:pt idx="105">
                  <c:v>114.81536214968835</c:v>
                </c:pt>
                <c:pt idx="106">
                  <c:v>117.48975549395293</c:v>
                </c:pt>
                <c:pt idx="107">
                  <c:v>120.22644346174135</c:v>
                </c:pt>
                <c:pt idx="108">
                  <c:v>123.02687708123821</c:v>
                </c:pt>
                <c:pt idx="109">
                  <c:v>125.89254117941677</c:v>
                </c:pt>
                <c:pt idx="110">
                  <c:v>128.82495516931343</c:v>
                </c:pt>
                <c:pt idx="111">
                  <c:v>131.82567385564084</c:v>
                </c:pt>
                <c:pt idx="112">
                  <c:v>134.89628825916537</c:v>
                </c:pt>
                <c:pt idx="113">
                  <c:v>138.0384264602886</c:v>
                </c:pt>
                <c:pt idx="114">
                  <c:v>141.25375446227542</c:v>
                </c:pt>
                <c:pt idx="115">
                  <c:v>144.54397707459285</c:v>
                </c:pt>
                <c:pt idx="116">
                  <c:v>147.91083881682084</c:v>
                </c:pt>
                <c:pt idx="117">
                  <c:v>151.3561248436209</c:v>
                </c:pt>
                <c:pt idx="118">
                  <c:v>154.8816618912482</c:v>
                </c:pt>
                <c:pt idx="119">
                  <c:v>158.48931924611153</c:v>
                </c:pt>
                <c:pt idx="120">
                  <c:v>162.18100973589304</c:v>
                </c:pt>
                <c:pt idx="121">
                  <c:v>165.95869074375622</c:v>
                </c:pt>
                <c:pt idx="122">
                  <c:v>169.82436524617444</c:v>
                </c:pt>
                <c:pt idx="123">
                  <c:v>173.78008287493768</c:v>
                </c:pt>
                <c:pt idx="124">
                  <c:v>177.82794100389242</c:v>
                </c:pt>
                <c:pt idx="125">
                  <c:v>181.9700858609983</c:v>
                </c:pt>
                <c:pt idx="126">
                  <c:v>186.20871366628685</c:v>
                </c:pt>
                <c:pt idx="127">
                  <c:v>190.54607179632498</c:v>
                </c:pt>
                <c:pt idx="128">
                  <c:v>194.98445997580458</c:v>
                </c:pt>
                <c:pt idx="129">
                  <c:v>199.52623149688802</c:v>
                </c:pt>
                <c:pt idx="130">
                  <c:v>204.17379446695315</c:v>
                </c:pt>
                <c:pt idx="131">
                  <c:v>208.92961308540396</c:v>
                </c:pt>
                <c:pt idx="132">
                  <c:v>213.79620895022339</c:v>
                </c:pt>
                <c:pt idx="133">
                  <c:v>218.77616239495524</c:v>
                </c:pt>
                <c:pt idx="134">
                  <c:v>223.87211385683412</c:v>
                </c:pt>
                <c:pt idx="135">
                  <c:v>229.08676527677744</c:v>
                </c:pt>
                <c:pt idx="136">
                  <c:v>234.42288153199232</c:v>
                </c:pt>
                <c:pt idx="137">
                  <c:v>239.88329190194912</c:v>
                </c:pt>
                <c:pt idx="138">
                  <c:v>245.4708915685033</c:v>
                </c:pt>
                <c:pt idx="139">
                  <c:v>251.18864315095806</c:v>
                </c:pt>
                <c:pt idx="140">
                  <c:v>257.03957827688663</c:v>
                </c:pt>
                <c:pt idx="141">
                  <c:v>263.02679918953817</c:v>
                </c:pt>
                <c:pt idx="142">
                  <c:v>269.15348039269179</c:v>
                </c:pt>
                <c:pt idx="143">
                  <c:v>275.42287033381683</c:v>
                </c:pt>
                <c:pt idx="144">
                  <c:v>281.83829312644554</c:v>
                </c:pt>
                <c:pt idx="145">
                  <c:v>288.40315031266073</c:v>
                </c:pt>
                <c:pt idx="146">
                  <c:v>295.12092266663871</c:v>
                </c:pt>
                <c:pt idx="147">
                  <c:v>301.99517204020168</c:v>
                </c:pt>
                <c:pt idx="148">
                  <c:v>309.02954325135937</c:v>
                </c:pt>
                <c:pt idx="149">
                  <c:v>316.22776601683825</c:v>
                </c:pt>
                <c:pt idx="150">
                  <c:v>323.59365692962825</c:v>
                </c:pt>
                <c:pt idx="151">
                  <c:v>331.13112148259137</c:v>
                </c:pt>
                <c:pt idx="152">
                  <c:v>338.84415613920277</c:v>
                </c:pt>
                <c:pt idx="153">
                  <c:v>346.73685045253183</c:v>
                </c:pt>
                <c:pt idx="154">
                  <c:v>354.81338923357566</c:v>
                </c:pt>
                <c:pt idx="155">
                  <c:v>363.07805477010152</c:v>
                </c:pt>
                <c:pt idx="156">
                  <c:v>371.53522909717265</c:v>
                </c:pt>
                <c:pt idx="157">
                  <c:v>380.18939632056163</c:v>
                </c:pt>
                <c:pt idx="158">
                  <c:v>389.04514499428063</c:v>
                </c:pt>
                <c:pt idx="159">
                  <c:v>398.10717055349761</c:v>
                </c:pt>
                <c:pt idx="160">
                  <c:v>407.38027780411272</c:v>
                </c:pt>
                <c:pt idx="161">
                  <c:v>416.86938347033572</c:v>
                </c:pt>
                <c:pt idx="162">
                  <c:v>426.57951880159294</c:v>
                </c:pt>
                <c:pt idx="163">
                  <c:v>436.51583224016622</c:v>
                </c:pt>
                <c:pt idx="164">
                  <c:v>446.68359215096331</c:v>
                </c:pt>
                <c:pt idx="165">
                  <c:v>457.0881896148756</c:v>
                </c:pt>
                <c:pt idx="166">
                  <c:v>467.7351412871983</c:v>
                </c:pt>
                <c:pt idx="167">
                  <c:v>478.63009232263886</c:v>
                </c:pt>
                <c:pt idx="168">
                  <c:v>489.77881936844625</c:v>
                </c:pt>
                <c:pt idx="169">
                  <c:v>501.18723362727269</c:v>
                </c:pt>
                <c:pt idx="170">
                  <c:v>512.86138399136519</c:v>
                </c:pt>
                <c:pt idx="171">
                  <c:v>524.80746024977248</c:v>
                </c:pt>
                <c:pt idx="172">
                  <c:v>537.03179637025301</c:v>
                </c:pt>
                <c:pt idx="173">
                  <c:v>549.54087385762534</c:v>
                </c:pt>
                <c:pt idx="174">
                  <c:v>562.34132519034927</c:v>
                </c:pt>
                <c:pt idx="175">
                  <c:v>575.43993733715706</c:v>
                </c:pt>
                <c:pt idx="176">
                  <c:v>588.84365535558959</c:v>
                </c:pt>
                <c:pt idx="177">
                  <c:v>602.55958607435832</c:v>
                </c:pt>
                <c:pt idx="178">
                  <c:v>616.59500186148273</c:v>
                </c:pt>
                <c:pt idx="179">
                  <c:v>630.95734448019323</c:v>
                </c:pt>
                <c:pt idx="180">
                  <c:v>645.65422903465594</c:v>
                </c:pt>
                <c:pt idx="181">
                  <c:v>660.69344800759643</c:v>
                </c:pt>
                <c:pt idx="182">
                  <c:v>676.08297539198213</c:v>
                </c:pt>
                <c:pt idx="183">
                  <c:v>691.83097091893671</c:v>
                </c:pt>
                <c:pt idx="184">
                  <c:v>707.94578438413873</c:v>
                </c:pt>
                <c:pt idx="185">
                  <c:v>724.43596007499025</c:v>
                </c:pt>
                <c:pt idx="186">
                  <c:v>741.31024130091828</c:v>
                </c:pt>
                <c:pt idx="187">
                  <c:v>758.57757502918378</c:v>
                </c:pt>
                <c:pt idx="188">
                  <c:v>776.24711662869231</c:v>
                </c:pt>
                <c:pt idx="189">
                  <c:v>794.32823472428208</c:v>
                </c:pt>
                <c:pt idx="190">
                  <c:v>812.83051616409978</c:v>
                </c:pt>
                <c:pt idx="191">
                  <c:v>831.7637711026714</c:v>
                </c:pt>
                <c:pt idx="192">
                  <c:v>851.13803820237763</c:v>
                </c:pt>
                <c:pt idx="193">
                  <c:v>870.96358995608091</c:v>
                </c:pt>
                <c:pt idx="194">
                  <c:v>891.25093813374656</c:v>
                </c:pt>
                <c:pt idx="195">
                  <c:v>912.01083935590987</c:v>
                </c:pt>
                <c:pt idx="196">
                  <c:v>933.25430079699106</c:v>
                </c:pt>
                <c:pt idx="197">
                  <c:v>954.99258602143675</c:v>
                </c:pt>
                <c:pt idx="198">
                  <c:v>977.23722095581138</c:v>
                </c:pt>
                <c:pt idx="199">
                  <c:v>1000</c:v>
                </c:pt>
                <c:pt idx="200">
                  <c:v>1023.2929922807547</c:v>
                </c:pt>
                <c:pt idx="201">
                  <c:v>1047.1285480509</c:v>
                </c:pt>
                <c:pt idx="202">
                  <c:v>1071.5193052376069</c:v>
                </c:pt>
                <c:pt idx="203">
                  <c:v>1096.4781961431863</c:v>
                </c:pt>
                <c:pt idx="204">
                  <c:v>1122.0184543019636</c:v>
                </c:pt>
                <c:pt idx="205">
                  <c:v>1148.1536214968839</c:v>
                </c:pt>
                <c:pt idx="206">
                  <c:v>1174.8975549395295</c:v>
                </c:pt>
                <c:pt idx="207">
                  <c:v>1202.2644346174138</c:v>
                </c:pt>
                <c:pt idx="208">
                  <c:v>1230.2687708123824</c:v>
                </c:pt>
                <c:pt idx="209">
                  <c:v>1258.925411794168</c:v>
                </c:pt>
                <c:pt idx="210">
                  <c:v>1288.2495516931347</c:v>
                </c:pt>
                <c:pt idx="211">
                  <c:v>1318.2567385564089</c:v>
                </c:pt>
                <c:pt idx="212">
                  <c:v>1348.9628825916541</c:v>
                </c:pt>
                <c:pt idx="213">
                  <c:v>1380.3842646028863</c:v>
                </c:pt>
                <c:pt idx="214">
                  <c:v>1412.5375446227545</c:v>
                </c:pt>
                <c:pt idx="215">
                  <c:v>1445.4397707459289</c:v>
                </c:pt>
                <c:pt idx="216">
                  <c:v>1479.1083881682086</c:v>
                </c:pt>
                <c:pt idx="217">
                  <c:v>1513.5612484362093</c:v>
                </c:pt>
                <c:pt idx="218">
                  <c:v>1548.8166189124822</c:v>
                </c:pt>
                <c:pt idx="219">
                  <c:v>1584.8931924611156</c:v>
                </c:pt>
                <c:pt idx="220">
                  <c:v>1621.8100973589308</c:v>
                </c:pt>
                <c:pt idx="221">
                  <c:v>1659.5869074375626</c:v>
                </c:pt>
                <c:pt idx="222">
                  <c:v>1698.2436524617447</c:v>
                </c:pt>
                <c:pt idx="223">
                  <c:v>1737.8008287493772</c:v>
                </c:pt>
                <c:pt idx="224">
                  <c:v>1778.2794100389244</c:v>
                </c:pt>
                <c:pt idx="225">
                  <c:v>1819.7008586099832</c:v>
                </c:pt>
                <c:pt idx="226">
                  <c:v>1862.0871366628687</c:v>
                </c:pt>
                <c:pt idx="227">
                  <c:v>1905.4607179632501</c:v>
                </c:pt>
                <c:pt idx="228">
                  <c:v>1949.8445997580463</c:v>
                </c:pt>
                <c:pt idx="229">
                  <c:v>1995.2623149688804</c:v>
                </c:pt>
                <c:pt idx="230">
                  <c:v>2041.7379446695318</c:v>
                </c:pt>
                <c:pt idx="231">
                  <c:v>2089.2961308540398</c:v>
                </c:pt>
                <c:pt idx="232">
                  <c:v>2137.9620895022344</c:v>
                </c:pt>
                <c:pt idx="233">
                  <c:v>2187.7616239495528</c:v>
                </c:pt>
                <c:pt idx="234">
                  <c:v>2238.7211385683418</c:v>
                </c:pt>
                <c:pt idx="235">
                  <c:v>2290.8676527677749</c:v>
                </c:pt>
                <c:pt idx="236">
                  <c:v>2344.2288153199238</c:v>
                </c:pt>
                <c:pt idx="237">
                  <c:v>2398.8329190194918</c:v>
                </c:pt>
                <c:pt idx="238">
                  <c:v>2454.7089156850338</c:v>
                </c:pt>
                <c:pt idx="239">
                  <c:v>2511.8864315095811</c:v>
                </c:pt>
                <c:pt idx="240">
                  <c:v>2570.3957827688669</c:v>
                </c:pt>
                <c:pt idx="241">
                  <c:v>2630.2679918953822</c:v>
                </c:pt>
                <c:pt idx="242">
                  <c:v>2691.5348039269184</c:v>
                </c:pt>
                <c:pt idx="243">
                  <c:v>2754.228703338169</c:v>
                </c:pt>
                <c:pt idx="244">
                  <c:v>2818.3829312644561</c:v>
                </c:pt>
                <c:pt idx="245">
                  <c:v>2884.0315031266077</c:v>
                </c:pt>
                <c:pt idx="246">
                  <c:v>2951.2092266663876</c:v>
                </c:pt>
                <c:pt idx="247">
                  <c:v>3019.9517204020176</c:v>
                </c:pt>
                <c:pt idx="248">
                  <c:v>3090.295432513592</c:v>
                </c:pt>
                <c:pt idx="249">
                  <c:v>3162.2776601683804</c:v>
                </c:pt>
                <c:pt idx="250">
                  <c:v>3235.9365692962833</c:v>
                </c:pt>
                <c:pt idx="251">
                  <c:v>3311.3112148259115</c:v>
                </c:pt>
                <c:pt idx="252">
                  <c:v>3388.4415613920314</c:v>
                </c:pt>
                <c:pt idx="253">
                  <c:v>3467.3685045253224</c:v>
                </c:pt>
                <c:pt idx="254">
                  <c:v>3548.1338923357539</c:v>
                </c:pt>
                <c:pt idx="255">
                  <c:v>3630.7805477010188</c:v>
                </c:pt>
                <c:pt idx="256">
                  <c:v>3715.352290971724</c:v>
                </c:pt>
                <c:pt idx="257">
                  <c:v>3801.8939632056172</c:v>
                </c:pt>
                <c:pt idx="258">
                  <c:v>3890.451449942811</c:v>
                </c:pt>
                <c:pt idx="259">
                  <c:v>3981.0717055349769</c:v>
                </c:pt>
                <c:pt idx="260">
                  <c:v>4073.8027780411317</c:v>
                </c:pt>
                <c:pt idx="261">
                  <c:v>4168.6938347033583</c:v>
                </c:pt>
                <c:pt idx="262">
                  <c:v>4265.7951880159299</c:v>
                </c:pt>
                <c:pt idx="263">
                  <c:v>4365.1583224016631</c:v>
                </c:pt>
                <c:pt idx="264">
                  <c:v>4466.8359215096343</c:v>
                </c:pt>
                <c:pt idx="265">
                  <c:v>4570.8818961487532</c:v>
                </c:pt>
                <c:pt idx="266">
                  <c:v>4677.3514128719844</c:v>
                </c:pt>
                <c:pt idx="267">
                  <c:v>4786.3009232263848</c:v>
                </c:pt>
                <c:pt idx="268">
                  <c:v>4897.7881936844633</c:v>
                </c:pt>
                <c:pt idx="269">
                  <c:v>5011.8723362727324</c:v>
                </c:pt>
                <c:pt idx="270">
                  <c:v>5128.6138399136489</c:v>
                </c:pt>
                <c:pt idx="271">
                  <c:v>5248.0746024977261</c:v>
                </c:pt>
                <c:pt idx="272">
                  <c:v>5370.3179637025269</c:v>
                </c:pt>
                <c:pt idx="273">
                  <c:v>5495.4087385762541</c:v>
                </c:pt>
                <c:pt idx="274">
                  <c:v>5623.4132519034993</c:v>
                </c:pt>
                <c:pt idx="275">
                  <c:v>5754.399373371567</c:v>
                </c:pt>
                <c:pt idx="276">
                  <c:v>5888.4365535558973</c:v>
                </c:pt>
                <c:pt idx="277">
                  <c:v>6025.595860743585</c:v>
                </c:pt>
                <c:pt idx="278">
                  <c:v>6165.9500186148289</c:v>
                </c:pt>
                <c:pt idx="279">
                  <c:v>6309.5734448019384</c:v>
                </c:pt>
                <c:pt idx="280">
                  <c:v>6456.5422903465615</c:v>
                </c:pt>
                <c:pt idx="281">
                  <c:v>6606.9344800759654</c:v>
                </c:pt>
                <c:pt idx="282">
                  <c:v>6760.8297539198229</c:v>
                </c:pt>
                <c:pt idx="283">
                  <c:v>6918.3097091893687</c:v>
                </c:pt>
                <c:pt idx="284">
                  <c:v>7079.4578438413828</c:v>
                </c:pt>
                <c:pt idx="285">
                  <c:v>7244.3596007499036</c:v>
                </c:pt>
                <c:pt idx="286">
                  <c:v>7413.1024130091773</c:v>
                </c:pt>
                <c:pt idx="287">
                  <c:v>7585.7757502918394</c:v>
                </c:pt>
                <c:pt idx="288">
                  <c:v>7762.4711662869322</c:v>
                </c:pt>
                <c:pt idx="289">
                  <c:v>7943.2823472428154</c:v>
                </c:pt>
                <c:pt idx="290">
                  <c:v>8128.3051616410066</c:v>
                </c:pt>
                <c:pt idx="291">
                  <c:v>8317.6377110267094</c:v>
                </c:pt>
                <c:pt idx="292">
                  <c:v>8511.3803820237772</c:v>
                </c:pt>
                <c:pt idx="293">
                  <c:v>8709.6358995608189</c:v>
                </c:pt>
                <c:pt idx="294">
                  <c:v>8912.5093813374679</c:v>
                </c:pt>
                <c:pt idx="295">
                  <c:v>9120.1083935591087</c:v>
                </c:pt>
                <c:pt idx="296">
                  <c:v>9332.5430079699217</c:v>
                </c:pt>
                <c:pt idx="297">
                  <c:v>9549.9258602143691</c:v>
                </c:pt>
                <c:pt idx="298">
                  <c:v>9772.3722095581161</c:v>
                </c:pt>
                <c:pt idx="299">
                  <c:v>10000</c:v>
                </c:pt>
                <c:pt idx="300">
                  <c:v>10232.929922807549</c:v>
                </c:pt>
                <c:pt idx="301">
                  <c:v>10471.285480509003</c:v>
                </c:pt>
                <c:pt idx="302">
                  <c:v>10715.193052376071</c:v>
                </c:pt>
                <c:pt idx="303">
                  <c:v>10964.781961431856</c:v>
                </c:pt>
                <c:pt idx="304">
                  <c:v>11220.184543019639</c:v>
                </c:pt>
                <c:pt idx="305">
                  <c:v>11481.536214968832</c:v>
                </c:pt>
                <c:pt idx="306">
                  <c:v>11748.975549395318</c:v>
                </c:pt>
                <c:pt idx="307">
                  <c:v>12022.644346174151</c:v>
                </c:pt>
                <c:pt idx="308">
                  <c:v>12302.687708123816</c:v>
                </c:pt>
                <c:pt idx="309">
                  <c:v>12589.254117941671</c:v>
                </c:pt>
                <c:pt idx="310">
                  <c:v>12882.49551693136</c:v>
                </c:pt>
                <c:pt idx="311">
                  <c:v>13182.567385564091</c:v>
                </c:pt>
                <c:pt idx="312">
                  <c:v>13489.628825916556</c:v>
                </c:pt>
                <c:pt idx="313">
                  <c:v>13803.842646028841</c:v>
                </c:pt>
                <c:pt idx="314">
                  <c:v>14125.375446227561</c:v>
                </c:pt>
                <c:pt idx="315">
                  <c:v>14454.397707459291</c:v>
                </c:pt>
                <c:pt idx="316">
                  <c:v>14791.083881682089</c:v>
                </c:pt>
                <c:pt idx="317">
                  <c:v>15135.612484362096</c:v>
                </c:pt>
                <c:pt idx="318">
                  <c:v>15488.166189124853</c:v>
                </c:pt>
                <c:pt idx="319">
                  <c:v>15848.931924611146</c:v>
                </c:pt>
                <c:pt idx="320">
                  <c:v>16218.100973589309</c:v>
                </c:pt>
                <c:pt idx="321">
                  <c:v>16595.869074375616</c:v>
                </c:pt>
                <c:pt idx="322">
                  <c:v>16982.436524617482</c:v>
                </c:pt>
                <c:pt idx="323">
                  <c:v>17378.008287493791</c:v>
                </c:pt>
                <c:pt idx="324">
                  <c:v>17782.794100389234</c:v>
                </c:pt>
                <c:pt idx="325">
                  <c:v>18197.008586099837</c:v>
                </c:pt>
                <c:pt idx="326">
                  <c:v>18620.871366628675</c:v>
                </c:pt>
                <c:pt idx="327">
                  <c:v>19054.607179632505</c:v>
                </c:pt>
                <c:pt idx="328">
                  <c:v>19498.445997580486</c:v>
                </c:pt>
                <c:pt idx="329">
                  <c:v>19952.623149688792</c:v>
                </c:pt>
                <c:pt idx="330">
                  <c:v>20417.379446695286</c:v>
                </c:pt>
                <c:pt idx="331">
                  <c:v>20892.961308540423</c:v>
                </c:pt>
                <c:pt idx="332">
                  <c:v>21379.620895022348</c:v>
                </c:pt>
                <c:pt idx="333">
                  <c:v>21877.61623949555</c:v>
                </c:pt>
                <c:pt idx="334">
                  <c:v>22387.211385683382</c:v>
                </c:pt>
                <c:pt idx="335">
                  <c:v>22908.676527677751</c:v>
                </c:pt>
                <c:pt idx="336">
                  <c:v>23442.288153199243</c:v>
                </c:pt>
                <c:pt idx="337">
                  <c:v>23988.329190194923</c:v>
                </c:pt>
                <c:pt idx="338">
                  <c:v>24547.089156850321</c:v>
                </c:pt>
                <c:pt idx="339">
                  <c:v>25118.86431509586</c:v>
                </c:pt>
                <c:pt idx="340">
                  <c:v>25703.95782768865</c:v>
                </c:pt>
                <c:pt idx="341">
                  <c:v>26302.679918953829</c:v>
                </c:pt>
                <c:pt idx="342">
                  <c:v>26915.348039269167</c:v>
                </c:pt>
                <c:pt idx="343">
                  <c:v>27542.287033381719</c:v>
                </c:pt>
                <c:pt idx="344">
                  <c:v>28183.829312644593</c:v>
                </c:pt>
                <c:pt idx="345">
                  <c:v>28840.315031266062</c:v>
                </c:pt>
                <c:pt idx="346">
                  <c:v>29512.092266663854</c:v>
                </c:pt>
                <c:pt idx="347">
                  <c:v>30199.517204020212</c:v>
                </c:pt>
                <c:pt idx="348">
                  <c:v>30902.954325135954</c:v>
                </c:pt>
                <c:pt idx="349">
                  <c:v>31622.77660168384</c:v>
                </c:pt>
                <c:pt idx="350">
                  <c:v>32359.365692962871</c:v>
                </c:pt>
                <c:pt idx="351">
                  <c:v>33113.11214825909</c:v>
                </c:pt>
                <c:pt idx="352">
                  <c:v>33884.41561392029</c:v>
                </c:pt>
                <c:pt idx="353">
                  <c:v>34673.685045253202</c:v>
                </c:pt>
                <c:pt idx="354">
                  <c:v>35481.33892335758</c:v>
                </c:pt>
                <c:pt idx="355">
                  <c:v>36307.805477010232</c:v>
                </c:pt>
                <c:pt idx="356">
                  <c:v>37153.522909717351</c:v>
                </c:pt>
                <c:pt idx="357">
                  <c:v>38018.939632056143</c:v>
                </c:pt>
                <c:pt idx="358">
                  <c:v>38904.514499428085</c:v>
                </c:pt>
                <c:pt idx="359">
                  <c:v>39810.717055349742</c:v>
                </c:pt>
                <c:pt idx="360">
                  <c:v>40738.027780411358</c:v>
                </c:pt>
                <c:pt idx="361">
                  <c:v>41686.938347033625</c:v>
                </c:pt>
                <c:pt idx="362">
                  <c:v>42657.951880159271</c:v>
                </c:pt>
                <c:pt idx="363">
                  <c:v>43651.583224016598</c:v>
                </c:pt>
                <c:pt idx="364">
                  <c:v>44668.359215096389</c:v>
                </c:pt>
                <c:pt idx="365">
                  <c:v>45708.818961487581</c:v>
                </c:pt>
                <c:pt idx="366">
                  <c:v>46773.514128719893</c:v>
                </c:pt>
                <c:pt idx="367">
                  <c:v>47863.009232263823</c:v>
                </c:pt>
                <c:pt idx="368">
                  <c:v>48977.881936844598</c:v>
                </c:pt>
                <c:pt idx="369">
                  <c:v>50118.723362727294</c:v>
                </c:pt>
                <c:pt idx="370">
                  <c:v>51286.138399136544</c:v>
                </c:pt>
                <c:pt idx="371">
                  <c:v>52480.746024977314</c:v>
                </c:pt>
                <c:pt idx="372">
                  <c:v>53703.179637025423</c:v>
                </c:pt>
                <c:pt idx="373">
                  <c:v>54954.087385762505</c:v>
                </c:pt>
                <c:pt idx="374">
                  <c:v>56234.132519034953</c:v>
                </c:pt>
                <c:pt idx="375">
                  <c:v>57543.993733715732</c:v>
                </c:pt>
                <c:pt idx="376">
                  <c:v>58884.365535558936</c:v>
                </c:pt>
                <c:pt idx="377">
                  <c:v>60255.95860743591</c:v>
                </c:pt>
                <c:pt idx="378">
                  <c:v>61659.500186148245</c:v>
                </c:pt>
                <c:pt idx="379">
                  <c:v>63095.734448019342</c:v>
                </c:pt>
                <c:pt idx="380">
                  <c:v>64565.422903465682</c:v>
                </c:pt>
                <c:pt idx="381">
                  <c:v>66069.344800759733</c:v>
                </c:pt>
                <c:pt idx="382">
                  <c:v>67608.297539198305</c:v>
                </c:pt>
                <c:pt idx="383">
                  <c:v>69183.097091893651</c:v>
                </c:pt>
                <c:pt idx="384">
                  <c:v>70794.578438413781</c:v>
                </c:pt>
                <c:pt idx="385">
                  <c:v>72443.596007499116</c:v>
                </c:pt>
                <c:pt idx="386">
                  <c:v>74131.024130091857</c:v>
                </c:pt>
                <c:pt idx="387">
                  <c:v>75857.757502918481</c:v>
                </c:pt>
                <c:pt idx="388">
                  <c:v>77624.711662869129</c:v>
                </c:pt>
                <c:pt idx="389">
                  <c:v>79432.823472428237</c:v>
                </c:pt>
                <c:pt idx="390">
                  <c:v>81283.051616410012</c:v>
                </c:pt>
                <c:pt idx="391">
                  <c:v>83176.377110267174</c:v>
                </c:pt>
                <c:pt idx="392">
                  <c:v>85113.803820237721</c:v>
                </c:pt>
                <c:pt idx="393">
                  <c:v>87096.358995608127</c:v>
                </c:pt>
                <c:pt idx="394">
                  <c:v>89125.093813374609</c:v>
                </c:pt>
                <c:pt idx="395">
                  <c:v>91201.083935591028</c:v>
                </c:pt>
                <c:pt idx="396">
                  <c:v>93325.430079699145</c:v>
                </c:pt>
                <c:pt idx="397">
                  <c:v>95499.258602143804</c:v>
                </c:pt>
                <c:pt idx="398">
                  <c:v>97723.722095581266</c:v>
                </c:pt>
                <c:pt idx="399">
                  <c:v>100000</c:v>
                </c:pt>
                <c:pt idx="400">
                  <c:v>102329.29922807543</c:v>
                </c:pt>
                <c:pt idx="401">
                  <c:v>104712.85480508996</c:v>
                </c:pt>
                <c:pt idx="402">
                  <c:v>107151.93052376082</c:v>
                </c:pt>
                <c:pt idx="403">
                  <c:v>109647.81961431868</c:v>
                </c:pt>
                <c:pt idx="404">
                  <c:v>112201.84543019651</c:v>
                </c:pt>
                <c:pt idx="405">
                  <c:v>114815.36214968823</c:v>
                </c:pt>
                <c:pt idx="406">
                  <c:v>117489.75549395311</c:v>
                </c:pt>
                <c:pt idx="407">
                  <c:v>120226.44346174144</c:v>
                </c:pt>
                <c:pt idx="408">
                  <c:v>123026.87708123829</c:v>
                </c:pt>
                <c:pt idx="409">
                  <c:v>125892.54117941685</c:v>
                </c:pt>
                <c:pt idx="410">
                  <c:v>128824.95516931375</c:v>
                </c:pt>
                <c:pt idx="411">
                  <c:v>131825.67385564081</c:v>
                </c:pt>
                <c:pt idx="412">
                  <c:v>134896.28825916545</c:v>
                </c:pt>
                <c:pt idx="413">
                  <c:v>138038.42646028858</c:v>
                </c:pt>
                <c:pt idx="414">
                  <c:v>141253.75446227577</c:v>
                </c:pt>
                <c:pt idx="415">
                  <c:v>144543.97707459307</c:v>
                </c:pt>
                <c:pt idx="416">
                  <c:v>147910.83881682079</c:v>
                </c:pt>
                <c:pt idx="417">
                  <c:v>151356.12484362084</c:v>
                </c:pt>
                <c:pt idx="418">
                  <c:v>154881.66189124843</c:v>
                </c:pt>
                <c:pt idx="419">
                  <c:v>158489.31924611164</c:v>
                </c:pt>
                <c:pt idx="420">
                  <c:v>162181.00973589328</c:v>
                </c:pt>
                <c:pt idx="421">
                  <c:v>165958.69074375604</c:v>
                </c:pt>
                <c:pt idx="422">
                  <c:v>169824.36524617471</c:v>
                </c:pt>
                <c:pt idx="423">
                  <c:v>173780.0828749378</c:v>
                </c:pt>
                <c:pt idx="424">
                  <c:v>177827.94100389251</c:v>
                </c:pt>
                <c:pt idx="425">
                  <c:v>181970.08586099857</c:v>
                </c:pt>
                <c:pt idx="426">
                  <c:v>186208.71366628664</c:v>
                </c:pt>
                <c:pt idx="427">
                  <c:v>190546.07179632492</c:v>
                </c:pt>
                <c:pt idx="428">
                  <c:v>194984.45997580473</c:v>
                </c:pt>
                <c:pt idx="429">
                  <c:v>199526.23149688813</c:v>
                </c:pt>
                <c:pt idx="430">
                  <c:v>204173.79446695308</c:v>
                </c:pt>
                <c:pt idx="431">
                  <c:v>208929.61308540447</c:v>
                </c:pt>
                <c:pt idx="432">
                  <c:v>213796.20895022334</c:v>
                </c:pt>
                <c:pt idx="433">
                  <c:v>218776.16239495538</c:v>
                </c:pt>
                <c:pt idx="434">
                  <c:v>223872.11385683404</c:v>
                </c:pt>
                <c:pt idx="435">
                  <c:v>229086.76527677779</c:v>
                </c:pt>
                <c:pt idx="436">
                  <c:v>234422.88153199267</c:v>
                </c:pt>
                <c:pt idx="437">
                  <c:v>239883.29190194907</c:v>
                </c:pt>
                <c:pt idx="438">
                  <c:v>245470.89156850305</c:v>
                </c:pt>
                <c:pt idx="439">
                  <c:v>251188.64315095844</c:v>
                </c:pt>
                <c:pt idx="440">
                  <c:v>257039.57827688678</c:v>
                </c:pt>
                <c:pt idx="441">
                  <c:v>263026.79918953858</c:v>
                </c:pt>
                <c:pt idx="442">
                  <c:v>269153.48039269145</c:v>
                </c:pt>
                <c:pt idx="443">
                  <c:v>275422.87033381703</c:v>
                </c:pt>
                <c:pt idx="444">
                  <c:v>281838.29312644573</c:v>
                </c:pt>
                <c:pt idx="445">
                  <c:v>288403.1503126609</c:v>
                </c:pt>
                <c:pt idx="446">
                  <c:v>295120.92266663886</c:v>
                </c:pt>
                <c:pt idx="447">
                  <c:v>301995.17204020242</c:v>
                </c:pt>
                <c:pt idx="448">
                  <c:v>309029.54325135931</c:v>
                </c:pt>
                <c:pt idx="449">
                  <c:v>316227.7660168382</c:v>
                </c:pt>
                <c:pt idx="450">
                  <c:v>323593.65692962846</c:v>
                </c:pt>
                <c:pt idx="451">
                  <c:v>331131.12148259126</c:v>
                </c:pt>
                <c:pt idx="452">
                  <c:v>338844.15613920329</c:v>
                </c:pt>
                <c:pt idx="453">
                  <c:v>346736.85045253241</c:v>
                </c:pt>
                <c:pt idx="454">
                  <c:v>354813.38923357555</c:v>
                </c:pt>
                <c:pt idx="455">
                  <c:v>363078.05477010203</c:v>
                </c:pt>
                <c:pt idx="456">
                  <c:v>371535.2290971732</c:v>
                </c:pt>
                <c:pt idx="457">
                  <c:v>380189.39632056188</c:v>
                </c:pt>
                <c:pt idx="458">
                  <c:v>389045.14499428123</c:v>
                </c:pt>
                <c:pt idx="459">
                  <c:v>398107.17055349716</c:v>
                </c:pt>
                <c:pt idx="460">
                  <c:v>407380.27780411334</c:v>
                </c:pt>
                <c:pt idx="461">
                  <c:v>416869.38347033598</c:v>
                </c:pt>
                <c:pt idx="462">
                  <c:v>426579.51880159322</c:v>
                </c:pt>
                <c:pt idx="463">
                  <c:v>436515.83224016649</c:v>
                </c:pt>
                <c:pt idx="464">
                  <c:v>446683.59215096442</c:v>
                </c:pt>
                <c:pt idx="465">
                  <c:v>457088.18961487547</c:v>
                </c:pt>
                <c:pt idx="466">
                  <c:v>467735.14128719864</c:v>
                </c:pt>
                <c:pt idx="467">
                  <c:v>478630.09232263872</c:v>
                </c:pt>
                <c:pt idx="468">
                  <c:v>489778.81936844654</c:v>
                </c:pt>
                <c:pt idx="469">
                  <c:v>501187.23362727347</c:v>
                </c:pt>
                <c:pt idx="470">
                  <c:v>512861.38399136515</c:v>
                </c:pt>
                <c:pt idx="471">
                  <c:v>524807.46024977288</c:v>
                </c:pt>
                <c:pt idx="472">
                  <c:v>537031.7963702539</c:v>
                </c:pt>
                <c:pt idx="473">
                  <c:v>549540.87385762564</c:v>
                </c:pt>
                <c:pt idx="474">
                  <c:v>562341.32519035018</c:v>
                </c:pt>
                <c:pt idx="475">
                  <c:v>575439.93733715697</c:v>
                </c:pt>
                <c:pt idx="476">
                  <c:v>588843.65535558888</c:v>
                </c:pt>
                <c:pt idx="477">
                  <c:v>602559.58607435878</c:v>
                </c:pt>
                <c:pt idx="478">
                  <c:v>616595.00186148309</c:v>
                </c:pt>
                <c:pt idx="479">
                  <c:v>630957.34448019415</c:v>
                </c:pt>
                <c:pt idx="480">
                  <c:v>645654.22903465747</c:v>
                </c:pt>
                <c:pt idx="481">
                  <c:v>660693.44800759677</c:v>
                </c:pt>
                <c:pt idx="482">
                  <c:v>676082.97539198259</c:v>
                </c:pt>
                <c:pt idx="483">
                  <c:v>691830.97091893724</c:v>
                </c:pt>
                <c:pt idx="484">
                  <c:v>707945.78438413853</c:v>
                </c:pt>
                <c:pt idx="485">
                  <c:v>724435.96007499192</c:v>
                </c:pt>
                <c:pt idx="486">
                  <c:v>741310.24130091805</c:v>
                </c:pt>
                <c:pt idx="487">
                  <c:v>758577.57502918423</c:v>
                </c:pt>
                <c:pt idx="488">
                  <c:v>776247.11662869214</c:v>
                </c:pt>
                <c:pt idx="489">
                  <c:v>794328.23472428333</c:v>
                </c:pt>
                <c:pt idx="490">
                  <c:v>812830.51616410096</c:v>
                </c:pt>
                <c:pt idx="491">
                  <c:v>831763.77110267128</c:v>
                </c:pt>
                <c:pt idx="492">
                  <c:v>851138.03820237669</c:v>
                </c:pt>
                <c:pt idx="493">
                  <c:v>870963.58995608077</c:v>
                </c:pt>
                <c:pt idx="494">
                  <c:v>891250.93813374708</c:v>
                </c:pt>
                <c:pt idx="495">
                  <c:v>912010.83935591124</c:v>
                </c:pt>
                <c:pt idx="496">
                  <c:v>933254.30079699249</c:v>
                </c:pt>
                <c:pt idx="497">
                  <c:v>954992.58602143743</c:v>
                </c:pt>
                <c:pt idx="498">
                  <c:v>977237.22095581202</c:v>
                </c:pt>
                <c:pt idx="499">
                  <c:v>1000000</c:v>
                </c:pt>
                <c:pt idx="500">
                  <c:v>1023292.9922807553</c:v>
                </c:pt>
                <c:pt idx="501">
                  <c:v>1047128.5480509007</c:v>
                </c:pt>
                <c:pt idx="502">
                  <c:v>1071519.3052376076</c:v>
                </c:pt>
                <c:pt idx="503">
                  <c:v>1096478.196143186</c:v>
                </c:pt>
                <c:pt idx="504">
                  <c:v>1122018.4543019643</c:v>
                </c:pt>
                <c:pt idx="505">
                  <c:v>1148153.6214968837</c:v>
                </c:pt>
                <c:pt idx="506">
                  <c:v>1174897.5549395324</c:v>
                </c:pt>
                <c:pt idx="507">
                  <c:v>1202264.4346174158</c:v>
                </c:pt>
                <c:pt idx="508">
                  <c:v>1230268.770812382</c:v>
                </c:pt>
                <c:pt idx="509">
                  <c:v>1258925.4117941677</c:v>
                </c:pt>
                <c:pt idx="510">
                  <c:v>1288249.5516931366</c:v>
                </c:pt>
                <c:pt idx="511">
                  <c:v>1318256.7385564097</c:v>
                </c:pt>
                <c:pt idx="512">
                  <c:v>1348962.8825916562</c:v>
                </c:pt>
                <c:pt idx="513">
                  <c:v>1380384.2646028849</c:v>
                </c:pt>
                <c:pt idx="514">
                  <c:v>1412537.5446227565</c:v>
                </c:pt>
                <c:pt idx="515">
                  <c:v>1445439.7707459298</c:v>
                </c:pt>
                <c:pt idx="516">
                  <c:v>1479108.3881682095</c:v>
                </c:pt>
                <c:pt idx="517">
                  <c:v>1513561.2484362102</c:v>
                </c:pt>
                <c:pt idx="518">
                  <c:v>1548816.6189124861</c:v>
                </c:pt>
                <c:pt idx="519">
                  <c:v>1584893.1924611153</c:v>
                </c:pt>
                <c:pt idx="520">
                  <c:v>1621810.0973589318</c:v>
                </c:pt>
                <c:pt idx="521">
                  <c:v>1659586.9074375622</c:v>
                </c:pt>
                <c:pt idx="522">
                  <c:v>1698243.6524617488</c:v>
                </c:pt>
                <c:pt idx="523">
                  <c:v>1737800.8287493798</c:v>
                </c:pt>
                <c:pt idx="524">
                  <c:v>1778279.4100389241</c:v>
                </c:pt>
                <c:pt idx="525">
                  <c:v>1819700.8586099846</c:v>
                </c:pt>
                <c:pt idx="526">
                  <c:v>1862087.1366628683</c:v>
                </c:pt>
                <c:pt idx="527">
                  <c:v>1905460.7179632513</c:v>
                </c:pt>
                <c:pt idx="528">
                  <c:v>1949844.5997580495</c:v>
                </c:pt>
                <c:pt idx="529">
                  <c:v>1995262.31496888</c:v>
                </c:pt>
                <c:pt idx="530">
                  <c:v>2041737.9446695296</c:v>
                </c:pt>
                <c:pt idx="531">
                  <c:v>2089296.1308540432</c:v>
                </c:pt>
                <c:pt idx="532">
                  <c:v>2137962.0895022359</c:v>
                </c:pt>
                <c:pt idx="533">
                  <c:v>2187761.6239495561</c:v>
                </c:pt>
                <c:pt idx="534">
                  <c:v>2238721.1385683389</c:v>
                </c:pt>
                <c:pt idx="535">
                  <c:v>2290867.6527677765</c:v>
                </c:pt>
                <c:pt idx="536">
                  <c:v>2344228.8153199251</c:v>
                </c:pt>
                <c:pt idx="537">
                  <c:v>2398832.9190194933</c:v>
                </c:pt>
                <c:pt idx="538">
                  <c:v>2454708.915685033</c:v>
                </c:pt>
                <c:pt idx="539">
                  <c:v>2511886.431509587</c:v>
                </c:pt>
                <c:pt idx="540">
                  <c:v>2570395.782768866</c:v>
                </c:pt>
                <c:pt idx="541">
                  <c:v>2630267.9918953842</c:v>
                </c:pt>
              </c:numCache>
            </c:numRef>
          </c:xVal>
          <c:yVal>
            <c:numRef>
              <c:f>CCM_Loop_Modeling_non_isolated!$AU$19:$AU$560</c:f>
              <c:numCache>
                <c:formatCode>General</c:formatCode>
                <c:ptCount val="542"/>
                <c:pt idx="0">
                  <c:v>17.481498107777952</c:v>
                </c:pt>
                <c:pt idx="1">
                  <c:v>17.143008761584458</c:v>
                </c:pt>
                <c:pt idx="2">
                  <c:v>16.81186836723916</c:v>
                </c:pt>
                <c:pt idx="3">
                  <c:v>16.488007123526813</c:v>
                </c:pt>
                <c:pt idx="4">
                  <c:v>16.171353057339868</c:v>
                </c:pt>
                <c:pt idx="5">
                  <c:v>15.861832288071515</c:v>
                </c:pt>
                <c:pt idx="6">
                  <c:v>15.559369279930669</c:v>
                </c:pt>
                <c:pt idx="7">
                  <c:v>15.263887082277721</c:v>
                </c:pt>
                <c:pt idx="8">
                  <c:v>14.975307558127895</c:v>
                </c:pt>
                <c:pt idx="9">
                  <c:v>14.693551601021108</c:v>
                </c:pt>
                <c:pt idx="10">
                  <c:v>14.418539340490693</c:v>
                </c:pt>
                <c:pt idx="11">
                  <c:v>14.150190336398794</c:v>
                </c:pt>
                <c:pt idx="12">
                  <c:v>13.888423762437451</c:v>
                </c:pt>
                <c:pt idx="13">
                  <c:v>13.633158579111415</c:v>
                </c:pt>
                <c:pt idx="14">
                  <c:v>13.384313696544204</c:v>
                </c:pt>
                <c:pt idx="15">
                  <c:v>13.141808127457452</c:v>
                </c:pt>
                <c:pt idx="16">
                  <c:v>12.905561130690055</c:v>
                </c:pt>
                <c:pt idx="17">
                  <c:v>12.675492345625772</c:v>
                </c:pt>
                <c:pt idx="18">
                  <c:v>12.451521917906645</c:v>
                </c:pt>
                <c:pt idx="19">
                  <c:v>12.233570616808946</c:v>
                </c:pt>
                <c:pt idx="20">
                  <c:v>12.021559944659758</c:v>
                </c:pt>
                <c:pt idx="21">
                  <c:v>11.815412238667012</c:v>
                </c:pt>
                <c:pt idx="22">
                  <c:v>11.615050765535901</c:v>
                </c:pt>
                <c:pt idx="23">
                  <c:v>11.420399809232295</c:v>
                </c:pt>
                <c:pt idx="24">
                  <c:v>11.231384752254307</c:v>
                </c:pt>
                <c:pt idx="25">
                  <c:v>11.047932150757548</c:v>
                </c:pt>
                <c:pt idx="26">
                  <c:v>10.869969803876508</c:v>
                </c:pt>
                <c:pt idx="27">
                  <c:v>10.697426817569566</c:v>
                </c:pt>
                <c:pt idx="28">
                  <c:v>10.530233663308129</c:v>
                </c:pt>
                <c:pt idx="29">
                  <c:v>10.368322231918194</c:v>
                </c:pt>
                <c:pt idx="30">
                  <c:v>10.211625882870704</c:v>
                </c:pt>
                <c:pt idx="31">
                  <c:v>10.060079489306711</c:v>
                </c:pt>
                <c:pt idx="32">
                  <c:v>9.9136194790701158</c:v>
                </c:pt>
                <c:pt idx="33">
                  <c:v>9.7721838720115759</c:v>
                </c:pt>
                <c:pt idx="34">
                  <c:v>9.6357123138127747</c:v>
                </c:pt>
                <c:pt idx="35">
                  <c:v>9.5041461065696158</c:v>
                </c:pt>
                <c:pt idx="36">
                  <c:v>9.3774282363627286</c:v>
                </c:pt>
                <c:pt idx="37">
                  <c:v>9.2555033980299868</c:v>
                </c:pt>
                <c:pt idx="38">
                  <c:v>9.1383180173468759</c:v>
                </c:pt>
                <c:pt idx="39">
                  <c:v>9.0258202708081363</c:v>
                </c:pt>
                <c:pt idx="40">
                  <c:v>8.9179601031941136</c:v>
                </c:pt>
                <c:pt idx="41">
                  <c:v>8.8146892430952501</c:v>
                </c:pt>
                <c:pt idx="42">
                  <c:v>8.715961216557611</c:v>
                </c:pt>
                <c:pt idx="43">
                  <c:v>8.6217313590026983</c:v>
                </c:pt>
                <c:pt idx="44">
                  <c:v>8.5319568255660823</c:v>
                </c:pt>
                <c:pt idx="45">
                  <c:v>8.4465965999886432</c:v>
                </c:pt>
                <c:pt idx="46">
                  <c:v>8.3656115021880186</c:v>
                </c:pt>
                <c:pt idx="47">
                  <c:v>8.2889641946264607</c:v>
                </c:pt>
                <c:pt idx="48">
                  <c:v>8.2166191875852554</c:v>
                </c:pt>
                <c:pt idx="49">
                  <c:v>8.1485428434473732</c:v>
                </c:pt>
                <c:pt idx="50">
                  <c:v>8.0847033800810024</c:v>
                </c:pt>
                <c:pt idx="51">
                  <c:v>8.0250708734125098</c:v>
                </c:pt>
                <c:pt idx="52">
                  <c:v>7.9696172592657124</c:v>
                </c:pt>
                <c:pt idx="53">
                  <c:v>7.9183163345423759</c:v>
                </c:pt>
                <c:pt idx="54">
                  <c:v>7.8711437578075047</c:v>
                </c:pt>
                <c:pt idx="55">
                  <c:v>7.8280770493407514</c:v>
                </c:pt>
                <c:pt idx="56">
                  <c:v>7.7890955907055446</c:v>
                </c:pt>
                <c:pt idx="57">
                  <c:v>7.7541806238836024</c:v>
                </c:pt>
                <c:pt idx="58">
                  <c:v>7.7233152500161459</c:v>
                </c:pt>
                <c:pt idx="59">
                  <c:v>7.6964844277861451</c:v>
                </c:pt>
                <c:pt idx="60">
                  <c:v>7.6736749714724892</c:v>
                </c:pt>
                <c:pt idx="61">
                  <c:v>7.6548755486986702</c:v>
                </c:pt>
                <c:pt idx="62">
                  <c:v>7.6400766778957347</c:v>
                </c:pt>
                <c:pt idx="63">
                  <c:v>7.6292707254920726</c:v>
                </c:pt>
                <c:pt idx="64">
                  <c:v>7.6224519028376241</c:v>
                </c:pt>
                <c:pt idx="65">
                  <c:v>7.6196162628654989</c:v>
                </c:pt>
                <c:pt idx="66">
                  <c:v>7.6207616964875298</c:v>
                </c:pt>
                <c:pt idx="67">
                  <c:v>7.6258879287161516</c:v>
                </c:pt>
                <c:pt idx="68">
                  <c:v>7.6349965144984733</c:v>
                </c:pt>
                <c:pt idx="69">
                  <c:v>7.6480908342437779</c:v>
                </c:pt>
                <c:pt idx="70">
                  <c:v>7.6651760890207452</c:v>
                </c:pt>
                <c:pt idx="71">
                  <c:v>7.6862592953930013</c:v>
                </c:pt>
                <c:pt idx="72">
                  <c:v>7.7113492798591157</c:v>
                </c:pt>
                <c:pt idx="73">
                  <c:v>7.7404566728543154</c:v>
                </c:pt>
                <c:pt idx="74">
                  <c:v>7.7735939022683009</c:v>
                </c:pt>
                <c:pt idx="75">
                  <c:v>7.8107751864244364</c:v>
                </c:pt>
                <c:pt idx="76">
                  <c:v>7.852016526461882</c:v>
                </c:pt>
                <c:pt idx="77">
                  <c:v>7.8973356980554028</c:v>
                </c:pt>
                <c:pt idx="78">
                  <c:v>7.9467522423991275</c:v>
                </c:pt>
                <c:pt idx="79">
                  <c:v>8.000287456377027</c:v>
                </c:pt>
                <c:pt idx="80">
                  <c:v>8.0579643818324964</c:v>
                </c:pt>
                <c:pt idx="81">
                  <c:v>8.119807793844684</c:v>
                </c:pt>
                <c:pt idx="82">
                  <c:v>8.1858441879108987</c:v>
                </c:pt>
                <c:pt idx="83">
                  <c:v>8.2561017659252833</c:v>
                </c:pt>
                <c:pt idx="84">
                  <c:v>8.3306104208391698</c:v>
                </c:pt>
                <c:pt idx="85">
                  <c:v>8.4094017198758575</c:v>
                </c:pt>
                <c:pt idx="86">
                  <c:v>8.4925088861679363</c:v>
                </c:pt>
                <c:pt idx="87">
                  <c:v>8.5799667786739189</c:v>
                </c:pt>
                <c:pt idx="88">
                  <c:v>8.6718118702218945</c:v>
                </c:pt>
                <c:pt idx="89">
                  <c:v>8.768082223519901</c:v>
                </c:pt>
                <c:pt idx="90">
                  <c:v>8.8688174649607152</c:v>
                </c:pt>
                <c:pt idx="91">
                  <c:v>8.974058756039911</c:v>
                </c:pt>
                <c:pt idx="92">
                  <c:v>9.0838487621958386</c:v>
                </c:pt>
                <c:pt idx="93">
                  <c:v>9.1982316188678208</c:v>
                </c:pt>
                <c:pt idx="94">
                  <c:v>9.3172528945606281</c:v>
                </c:pt>
                <c:pt idx="95">
                  <c:v>9.4409595506876745</c:v>
                </c:pt>
                <c:pt idx="96">
                  <c:v>9.569399897960146</c:v>
                </c:pt>
                <c:pt idx="97">
                  <c:v>9.7026235490712764</c:v>
                </c:pt>
                <c:pt idx="98">
                  <c:v>9.8406813674178419</c:v>
                </c:pt>
                <c:pt idx="99">
                  <c:v>9.9836254115878447</c:v>
                </c:pt>
                <c:pt idx="100">
                  <c:v>10.131508875329741</c:v>
                </c:pt>
                <c:pt idx="101">
                  <c:v>10.284386022710885</c:v>
                </c:pt>
                <c:pt idx="102">
                  <c:v>10.442312118157465</c:v>
                </c:pt>
                <c:pt idx="103">
                  <c:v>10.605343351059735</c:v>
                </c:pt>
                <c:pt idx="104">
                  <c:v>10.773536754614051</c:v>
                </c:pt>
                <c:pt idx="105">
                  <c:v>10.946950118562754</c:v>
                </c:pt>
                <c:pt idx="106">
                  <c:v>11.125641895486188</c:v>
                </c:pt>
                <c:pt idx="107">
                  <c:v>11.309671100287257</c:v>
                </c:pt>
                <c:pt idx="108">
                  <c:v>11.499097202506235</c:v>
                </c:pt>
                <c:pt idx="109">
                  <c:v>11.69398001109392</c:v>
                </c:pt>
                <c:pt idx="110">
                  <c:v>11.89437955126607</c:v>
                </c:pt>
                <c:pt idx="111">
                  <c:v>12.10035593306103</c:v>
                </c:pt>
                <c:pt idx="112">
                  <c:v>12.311969211217582</c:v>
                </c:pt>
                <c:pt idx="113">
                  <c:v>12.529279235992433</c:v>
                </c:pt>
                <c:pt idx="114">
                  <c:v>12.752345494540178</c:v>
                </c:pt>
                <c:pt idx="115">
                  <c:v>12.981226942482461</c:v>
                </c:pt>
                <c:pt idx="116">
                  <c:v>13.215981825305045</c:v>
                </c:pt>
                <c:pt idx="117">
                  <c:v>13.456667489231695</c:v>
                </c:pt>
                <c:pt idx="118">
                  <c:v>13.703340181239275</c:v>
                </c:pt>
                <c:pt idx="119">
                  <c:v>13.95605483790367</c:v>
                </c:pt>
                <c:pt idx="120">
                  <c:v>14.214864862787703</c:v>
                </c:pt>
                <c:pt idx="121">
                  <c:v>14.479821892114041</c:v>
                </c:pt>
                <c:pt idx="122">
                  <c:v>14.750975548500763</c:v>
                </c:pt>
                <c:pt idx="123">
                  <c:v>15.028373182584533</c:v>
                </c:pt>
                <c:pt idx="124">
                  <c:v>15.312059602398913</c:v>
                </c:pt>
                <c:pt idx="125">
                  <c:v>15.602076790433983</c:v>
                </c:pt>
                <c:pt idx="126">
                  <c:v>15.898463608367649</c:v>
                </c:pt>
                <c:pt idx="127">
                  <c:v>16.201255489525114</c:v>
                </c:pt>
                <c:pt idx="128">
                  <c:v>16.510484119205579</c:v>
                </c:pt>
                <c:pt idx="129">
                  <c:v>16.826177103103394</c:v>
                </c:pt>
                <c:pt idx="130">
                  <c:v>17.148357624136512</c:v>
                </c:pt>
                <c:pt idx="131">
                  <c:v>17.47704408811278</c:v>
                </c:pt>
                <c:pt idx="132">
                  <c:v>17.812249758766097</c:v>
                </c:pt>
                <c:pt idx="133">
                  <c:v>18.153982382820967</c:v>
                </c:pt>
                <c:pt idx="134">
                  <c:v>18.502243805871366</c:v>
                </c:pt>
                <c:pt idx="135">
                  <c:v>18.857029579997235</c:v>
                </c:pt>
                <c:pt idx="136">
                  <c:v>19.218328564191832</c:v>
                </c:pt>
                <c:pt idx="137">
                  <c:v>19.586122518814523</c:v>
                </c:pt>
                <c:pt idx="138">
                  <c:v>19.960385695454615</c:v>
                </c:pt>
                <c:pt idx="139">
                  <c:v>20.341084423744167</c:v>
                </c:pt>
                <c:pt idx="140">
                  <c:v>20.72817669682804</c:v>
                </c:pt>
                <c:pt idx="141">
                  <c:v>21.121611757372822</c:v>
                </c:pt>
                <c:pt idx="142">
                  <c:v>21.521329686152917</c:v>
                </c:pt>
                <c:pt idx="143">
                  <c:v>21.927260995429968</c:v>
                </c:pt>
                <c:pt idx="144">
                  <c:v>22.33932622950304</c:v>
                </c:pt>
                <c:pt idx="145">
                  <c:v>22.757435574955274</c:v>
                </c:pt>
                <c:pt idx="146">
                  <c:v>23.18148848327753</c:v>
                </c:pt>
                <c:pt idx="147">
                  <c:v>23.61137330868322</c:v>
                </c:pt>
                <c:pt idx="148">
                  <c:v>24.046966964039711</c:v>
                </c:pt>
                <c:pt idx="149">
                  <c:v>24.488134597955245</c:v>
                </c:pt>
                <c:pt idx="150">
                  <c:v>24.934729296125276</c:v>
                </c:pt>
                <c:pt idx="151">
                  <c:v>25.386591810104591</c:v>
                </c:pt>
                <c:pt idx="152">
                  <c:v>25.843550316689846</c:v>
                </c:pt>
                <c:pt idx="153">
                  <c:v>26.30542021109742</c:v>
                </c:pt>
                <c:pt idx="154">
                  <c:v>26.772003937070057</c:v>
                </c:pt>
                <c:pt idx="155">
                  <c:v>27.24309085697578</c:v>
                </c:pt>
                <c:pt idx="156">
                  <c:v>27.718457164837726</c:v>
                </c:pt>
                <c:pt idx="157">
                  <c:v>28.19786584507299</c:v>
                </c:pt>
                <c:pt idx="158">
                  <c:v>28.681066679526527</c:v>
                </c:pt>
                <c:pt idx="159">
                  <c:v>29.167796305117452</c:v>
                </c:pt>
                <c:pt idx="160">
                  <c:v>29.657778324157182</c:v>
                </c:pt>
                <c:pt idx="161">
                  <c:v>30.15072346903359</c:v>
                </c:pt>
                <c:pt idx="162">
                  <c:v>30.646329822613954</c:v>
                </c:pt>
                <c:pt idx="163">
                  <c:v>31.144283095286809</c:v>
                </c:pt>
                <c:pt idx="164">
                  <c:v>31.644256959137834</c:v>
                </c:pt>
                <c:pt idx="165">
                  <c:v>32.145913439265883</c:v>
                </c:pt>
                <c:pt idx="166">
                  <c:v>32.648903361761384</c:v>
                </c:pt>
                <c:pt idx="167">
                  <c:v>33.15286685734754</c:v>
                </c:pt>
                <c:pt idx="168">
                  <c:v>33.657433919157796</c:v>
                </c:pt>
                <c:pt idx="169">
                  <c:v>34.162225012604395</c:v>
                </c:pt>
                <c:pt idx="170">
                  <c:v>34.666851734747411</c:v>
                </c:pt>
                <c:pt idx="171">
                  <c:v>35.170917520087308</c:v>
                </c:pt>
                <c:pt idx="172">
                  <c:v>35.67401838918861</c:v>
                </c:pt>
                <c:pt idx="173">
                  <c:v>36.175743736101317</c:v>
                </c:pt>
                <c:pt idx="174">
                  <c:v>36.6756771501069</c:v>
                </c:pt>
                <c:pt idx="175">
                  <c:v>37.173397266952115</c:v>
                </c:pt>
                <c:pt idx="176">
                  <c:v>37.668478644393375</c:v>
                </c:pt>
                <c:pt idx="177">
                  <c:v>38.160492656623248</c:v>
                </c:pt>
                <c:pt idx="178">
                  <c:v>38.649008401930445</c:v>
                </c:pt>
                <c:pt idx="179">
                  <c:v>39.133593617822882</c:v>
                </c:pt>
                <c:pt idx="180">
                  <c:v>39.613815597771278</c:v>
                </c:pt>
                <c:pt idx="181">
                  <c:v>40.089242103737512</c:v>
                </c:pt>
                <c:pt idx="182">
                  <c:v>40.559442268728567</c:v>
                </c:pt>
                <c:pt idx="183">
                  <c:v>41.023987483772423</c:v>
                </c:pt>
                <c:pt idx="184">
                  <c:v>41.482452263925921</c:v>
                </c:pt>
                <c:pt idx="185">
                  <c:v>41.934415088192758</c:v>
                </c:pt>
                <c:pt idx="186">
                  <c:v>42.379459208597993</c:v>
                </c:pt>
                <c:pt idx="187">
                  <c:v>42.817173424022499</c:v>
                </c:pt>
                <c:pt idx="188">
                  <c:v>43.247152814867611</c:v>
                </c:pt>
                <c:pt idx="189">
                  <c:v>43.668999435077509</c:v>
                </c:pt>
                <c:pt idx="190">
                  <c:v>44.08232295856466</c:v>
                </c:pt>
                <c:pt idx="191">
                  <c:v>44.486741277598384</c:v>
                </c:pt>
                <c:pt idx="192">
                  <c:v>44.881881051272131</c:v>
                </c:pt>
                <c:pt idx="193">
                  <c:v>45.267378202695781</c:v>
                </c:pt>
                <c:pt idx="194">
                  <c:v>45.642878364111063</c:v>
                </c:pt>
                <c:pt idx="195">
                  <c:v>46.008037269651673</c:v>
                </c:pt>
                <c:pt idx="196">
                  <c:v>46.36252109599139</c:v>
                </c:pt>
                <c:pt idx="197">
                  <c:v>46.70600675160194</c:v>
                </c:pt>
                <c:pt idx="198">
                  <c:v>47.038182115807167</c:v>
                </c:pt>
                <c:pt idx="199">
                  <c:v>47.358746229245916</c:v>
                </c:pt>
                <c:pt idx="200">
                  <c:v>47.667409437736545</c:v>
                </c:pt>
                <c:pt idx="201">
                  <c:v>47.96389349188685</c:v>
                </c:pt>
                <c:pt idx="202">
                  <c:v>48.247931605089668</c:v>
                </c:pt>
                <c:pt idx="203">
                  <c:v>48.519268472809223</c:v>
                </c:pt>
                <c:pt idx="204">
                  <c:v>48.777660256269243</c:v>
                </c:pt>
                <c:pt idx="205">
                  <c:v>49.022874533828329</c:v>
                </c:pt>
                <c:pt idx="206">
                  <c:v>49.254690223450154</c:v>
                </c:pt>
                <c:pt idx="207">
                  <c:v>49.472897479763056</c:v>
                </c:pt>
                <c:pt idx="208">
                  <c:v>49.67729756924534</c:v>
                </c:pt>
                <c:pt idx="209">
                  <c:v>49.86770272707863</c:v>
                </c:pt>
                <c:pt idx="210">
                  <c:v>50.043935999189479</c:v>
                </c:pt>
                <c:pt idx="211">
                  <c:v>50.205831072930515</c:v>
                </c:pt>
                <c:pt idx="212">
                  <c:v>50.353232099770302</c:v>
                </c:pt>
                <c:pt idx="213">
                  <c:v>50.485993513242605</c:v>
                </c:pt>
                <c:pt idx="214">
                  <c:v>50.603979845270729</c:v>
                </c:pt>
                <c:pt idx="215">
                  <c:v>50.707065543813926</c:v>
                </c:pt>
                <c:pt idx="216">
                  <c:v>50.795134794624602</c:v>
                </c:pt>
                <c:pt idx="217">
                  <c:v>50.868081349692666</c:v>
                </c:pt>
                <c:pt idx="218">
                  <c:v>50.925808364762091</c:v>
                </c:pt>
                <c:pt idx="219">
                  <c:v>50.968228248087421</c:v>
                </c:pt>
                <c:pt idx="220">
                  <c:v>50.995262522369941</c:v>
                </c:pt>
                <c:pt idx="221">
                  <c:v>51.006841701583554</c:v>
                </c:pt>
                <c:pt idx="222">
                  <c:v>51.002905184165641</c:v>
                </c:pt>
                <c:pt idx="223">
                  <c:v>50.983401163802839</c:v>
                </c:pt>
                <c:pt idx="224">
                  <c:v>50.948286558799843</c:v>
                </c:pt>
                <c:pt idx="225">
                  <c:v>50.897526960766918</c:v>
                </c:pt>
                <c:pt idx="226">
                  <c:v>50.83109660312013</c:v>
                </c:pt>
                <c:pt idx="227">
                  <c:v>50.748978349627492</c:v>
                </c:pt>
                <c:pt idx="228">
                  <c:v>50.651163702994474</c:v>
                </c:pt>
                <c:pt idx="229">
                  <c:v>50.537652833218999</c:v>
                </c:pt>
                <c:pt idx="230">
                  <c:v>50.408454625208897</c:v>
                </c:pt>
                <c:pt idx="231">
                  <c:v>50.263586744893175</c:v>
                </c:pt>
                <c:pt idx="232">
                  <c:v>50.1030757228189</c:v>
                </c:pt>
                <c:pt idx="233">
                  <c:v>49.926957053980303</c:v>
                </c:pt>
                <c:pt idx="234">
                  <c:v>49.735275312383308</c:v>
                </c:pt>
                <c:pt idx="235">
                  <c:v>49.52808427860986</c:v>
                </c:pt>
                <c:pt idx="236">
                  <c:v>49.305447078427385</c:v>
                </c:pt>
                <c:pt idx="237">
                  <c:v>49.067436330250246</c:v>
                </c:pt>
                <c:pt idx="238">
                  <c:v>48.814134299059475</c:v>
                </c:pt>
                <c:pt idx="239">
                  <c:v>48.545633054176101</c:v>
                </c:pt>
                <c:pt idx="240">
                  <c:v>48.262034628101524</c:v>
                </c:pt>
                <c:pt idx="241">
                  <c:v>47.963451173450572</c:v>
                </c:pt>
                <c:pt idx="242">
                  <c:v>47.650005114866971</c:v>
                </c:pt>
                <c:pt idx="243">
                  <c:v>47.321829292657036</c:v>
                </c:pt>
                <c:pt idx="244">
                  <c:v>46.979067094778067</c:v>
                </c:pt>
                <c:pt idx="245">
                  <c:v>46.621872573722321</c:v>
                </c:pt>
                <c:pt idx="246">
                  <c:v>46.250410544794633</c:v>
                </c:pt>
                <c:pt idx="247">
                  <c:v>45.864856662249345</c:v>
                </c:pt>
                <c:pt idx="248">
                  <c:v>45.465397469758905</c:v>
                </c:pt>
                <c:pt idx="249">
                  <c:v>45.052230421759106</c:v>
                </c:pt>
                <c:pt idx="250">
                  <c:v>44.62556387227216</c:v>
                </c:pt>
                <c:pt idx="251">
                  <c:v>44.185617027970935</c:v>
                </c:pt>
                <c:pt idx="252">
                  <c:v>43.732619862409493</c:v>
                </c:pt>
                <c:pt idx="253">
                  <c:v>43.266812988556545</c:v>
                </c:pt>
                <c:pt idx="254">
                  <c:v>42.788447487057972</c:v>
                </c:pt>
                <c:pt idx="255">
                  <c:v>42.297784687933316</c:v>
                </c:pt>
                <c:pt idx="256">
                  <c:v>41.795095903789885</c:v>
                </c:pt>
                <c:pt idx="257">
                  <c:v>41.280662113008312</c:v>
                </c:pt>
                <c:pt idx="258">
                  <c:v>40.754773591807691</c:v>
                </c:pt>
                <c:pt idx="259">
                  <c:v>40.217729494539462</c:v>
                </c:pt>
                <c:pt idx="260">
                  <c:v>39.669837382074022</c:v>
                </c:pt>
                <c:pt idx="261">
                  <c:v>39.111412698650945</c:v>
                </c:pt>
                <c:pt idx="262">
                  <c:v>38.542778198104827</c:v>
                </c:pt>
                <c:pt idx="263">
                  <c:v>37.964263320920026</c:v>
                </c:pt>
                <c:pt idx="264">
                  <c:v>37.376203524129657</c:v>
                </c:pt>
                <c:pt idx="265">
                  <c:v>36.778939566595525</c:v>
                </c:pt>
                <c:pt idx="266">
                  <c:v>36.172816752764874</c:v>
                </c:pt>
                <c:pt idx="267">
                  <c:v>35.558184138479099</c:v>
                </c:pt>
                <c:pt idx="268">
                  <c:v>34.935393702914965</c:v>
                </c:pt>
                <c:pt idx="269">
                  <c:v>34.304799491148678</c:v>
                </c:pt>
                <c:pt idx="270">
                  <c:v>33.666756732258186</c:v>
                </c:pt>
                <c:pt idx="271">
                  <c:v>33.02162093819112</c:v>
                </c:pt>
                <c:pt idx="272">
                  <c:v>32.369746988924149</c:v>
                </c:pt>
                <c:pt idx="273">
                  <c:v>31.711488209650216</c:v>
                </c:pt>
                <c:pt idx="274">
                  <c:v>31.047195445880718</c:v>
                </c:pt>
                <c:pt idx="275">
                  <c:v>30.377216142426025</c:v>
                </c:pt>
                <c:pt idx="276">
                  <c:v>29.701893432230488</c:v>
                </c:pt>
                <c:pt idx="277">
                  <c:v>29.021565240969384</c:v>
                </c:pt>
                <c:pt idx="278">
                  <c:v>28.336563413180219</c:v>
                </c:pt>
                <c:pt idx="279">
                  <c:v>27.647212865506305</c:v>
                </c:pt>
                <c:pt idx="280">
                  <c:v>26.953830772358025</c:v>
                </c:pt>
                <c:pt idx="281">
                  <c:v>26.256725788984198</c:v>
                </c:pt>
                <c:pt idx="282">
                  <c:v>25.556197316563512</c:v>
                </c:pt>
                <c:pt idx="283">
                  <c:v>24.852534813521128</c:v>
                </c:pt>
                <c:pt idx="284">
                  <c:v>24.146017156805147</c:v>
                </c:pt>
                <c:pt idx="285">
                  <c:v>23.436912056391776</c:v>
                </c:pt>
                <c:pt idx="286">
                  <c:v>22.725475525773632</c:v>
                </c:pt>
                <c:pt idx="287">
                  <c:v>22.011951410673753</c:v>
                </c:pt>
                <c:pt idx="288">
                  <c:v>21.296570977712832</c:v>
                </c:pt>
                <c:pt idx="289">
                  <c:v>20.579552564240149</c:v>
                </c:pt>
                <c:pt idx="290">
                  <c:v>19.861101290033069</c:v>
                </c:pt>
                <c:pt idx="291">
                  <c:v>19.14140883109506</c:v>
                </c:pt>
                <c:pt idx="292">
                  <c:v>18.420653255314186</c:v>
                </c:pt>
                <c:pt idx="293">
                  <c:v>17.698998919315322</c:v>
                </c:pt>
                <c:pt idx="294">
                  <c:v>16.976596425449056</c:v>
                </c:pt>
                <c:pt idx="295">
                  <c:v>16.253582637494276</c:v>
                </c:pt>
                <c:pt idx="296">
                  <c:v>15.530080753337307</c:v>
                </c:pt>
                <c:pt idx="297">
                  <c:v>14.806200432608962</c:v>
                </c:pt>
                <c:pt idx="298">
                  <c:v>14.082037977032149</c:v>
                </c:pt>
                <c:pt idx="299">
                  <c:v>13.35767656102775</c:v>
                </c:pt>
                <c:pt idx="300">
                  <c:v>12.633186509984844</c:v>
                </c:pt>
                <c:pt idx="301">
                  <c:v>11.908625623480933</c:v>
                </c:pt>
                <c:pt idx="302">
                  <c:v>11.184039540662573</c:v>
                </c:pt>
                <c:pt idx="303">
                  <c:v>10.459462144958279</c:v>
                </c:pt>
                <c:pt idx="304">
                  <c:v>9.7349160052825248</c:v>
                </c:pt>
                <c:pt idx="305">
                  <c:v>9.0104128509073185</c:v>
                </c:pt>
                <c:pt idx="306">
                  <c:v>8.2859540772247389</c:v>
                </c:pt>
                <c:pt idx="307">
                  <c:v>7.561531279685064</c:v>
                </c:pt>
                <c:pt idx="308">
                  <c:v>6.8371268132758019</c:v>
                </c:pt>
                <c:pt idx="309">
                  <c:v>6.1127143750060018</c:v>
                </c:pt>
                <c:pt idx="310">
                  <c:v>5.388259606961852</c:v>
                </c:pt>
                <c:pt idx="311">
                  <c:v>4.6637207176122031</c:v>
                </c:pt>
                <c:pt idx="312">
                  <c:v>3.9390491191593067</c:v>
                </c:pt>
                <c:pt idx="313">
                  <c:v>3.2141900788419275</c:v>
                </c:pt>
                <c:pt idx="314">
                  <c:v>2.4890833822136305</c:v>
                </c:pt>
                <c:pt idx="315">
                  <c:v>1.7636640065201663</c:v>
                </c:pt>
                <c:pt idx="316">
                  <c:v>1.0378628024034344</c:v>
                </c:pt>
                <c:pt idx="317">
                  <c:v>0.31160718224585271</c:v>
                </c:pt>
                <c:pt idx="318">
                  <c:v>-0.41517818645867749</c:v>
                </c:pt>
                <c:pt idx="319">
                  <c:v>-1.142570684251311</c:v>
                </c:pt>
                <c:pt idx="320">
                  <c:v>-1.8706490408750671</c:v>
                </c:pt>
                <c:pt idx="321">
                  <c:v>-2.5994926359281694</c:v>
                </c:pt>
                <c:pt idx="322">
                  <c:v>-3.3291808004565078</c:v>
                </c:pt>
                <c:pt idx="323">
                  <c:v>-4.0597921209377583</c:v>
                </c:pt>
                <c:pt idx="324">
                  <c:v>-4.791403747128026</c:v>
                </c:pt>
                <c:pt idx="325">
                  <c:v>-5.5240907052723651</c:v>
                </c:pt>
                <c:pt idx="326">
                  <c:v>-6.2579252182344138</c:v>
                </c:pt>
                <c:pt idx="327">
                  <c:v>-6.9929760341642586</c:v>
                </c:pt>
                <c:pt idx="328">
                  <c:v>-7.7293077653963698</c:v>
                </c:pt>
                <c:pt idx="329">
                  <c:v>-8.4669802393708071</c:v>
                </c:pt>
                <c:pt idx="330">
                  <c:v>-9.2060478634576022</c:v>
                </c:pt>
                <c:pt idx="331">
                  <c:v>-9.9465590056886679</c:v>
                </c:pt>
                <c:pt idx="332">
                  <c:v>-10.688555393503652</c:v>
                </c:pt>
                <c:pt idx="333">
                  <c:v>-11.43207153274731</c:v>
                </c:pt>
                <c:pt idx="334">
                  <c:v>-12.177134149262672</c:v>
                </c:pt>
                <c:pt idx="335">
                  <c:v>-12.923761655552235</c:v>
                </c:pt>
                <c:pt idx="336">
                  <c:v>-13.671963645081366</c:v>
                </c:pt>
                <c:pt idx="337">
                  <c:v>-14.421740416908271</c:v>
                </c:pt>
                <c:pt idx="338">
                  <c:v>-15.173082533400049</c:v>
                </c:pt>
                <c:pt idx="339">
                  <c:v>-15.925970413879007</c:v>
                </c:pt>
                <c:pt idx="340">
                  <c:v>-16.680373967083046</c:v>
                </c:pt>
                <c:pt idx="341">
                  <c:v>-17.436252265355858</c:v>
                </c:pt>
                <c:pt idx="342">
                  <c:v>-18.193553263474524</c:v>
                </c:pt>
                <c:pt idx="343">
                  <c:v>-18.952213564992125</c:v>
                </c:pt>
                <c:pt idx="344">
                  <c:v>-19.712158238902532</c:v>
                </c:pt>
                <c:pt idx="345">
                  <c:v>-20.473300689323175</c:v>
                </c:pt>
                <c:pt idx="346">
                  <c:v>-21.235542580752004</c:v>
                </c:pt>
                <c:pt idx="347">
                  <c:v>-21.998773821256542</c:v>
                </c:pt>
                <c:pt idx="348">
                  <c:v>-22.762872605729861</c:v>
                </c:pt>
                <c:pt idx="349">
                  <c:v>-23.527705521063766</c:v>
                </c:pt>
                <c:pt idx="350">
                  <c:v>-24.293127714776194</c:v>
                </c:pt>
                <c:pt idx="351">
                  <c:v>-25.058983128264426</c:v>
                </c:pt>
                <c:pt idx="352">
                  <c:v>-25.825104795456355</c:v>
                </c:pt>
                <c:pt idx="353">
                  <c:v>-26.591315207190313</c:v>
                </c:pt>
                <c:pt idx="354">
                  <c:v>-27.357426741190412</c:v>
                </c:pt>
                <c:pt idx="355">
                  <c:v>-28.123242156985377</c:v>
                </c:pt>
                <c:pt idx="356">
                  <c:v>-28.888555154621134</c:v>
                </c:pt>
                <c:pt idx="357">
                  <c:v>-29.653150995451774</c:v>
                </c:pt>
                <c:pt idx="358">
                  <c:v>-30.416807182765421</c:v>
                </c:pt>
                <c:pt idx="359">
                  <c:v>-31.179294199430615</c:v>
                </c:pt>
                <c:pt idx="360">
                  <c:v>-31.940376299227768</c:v>
                </c:pt>
                <c:pt idx="361">
                  <c:v>-32.699812347970365</c:v>
                </c:pt>
                <c:pt idx="362">
                  <c:v>-33.457356710040749</c:v>
                </c:pt>
                <c:pt idx="363">
                  <c:v>-34.212760175466386</c:v>
                </c:pt>
                <c:pt idx="364">
                  <c:v>-34.96577092223604</c:v>
                </c:pt>
                <c:pt idx="365">
                  <c:v>-35.716135508152711</c:v>
                </c:pt>
                <c:pt idx="366">
                  <c:v>-36.463599886188518</c:v>
                </c:pt>
                <c:pt idx="367">
                  <c:v>-37.207910437008032</c:v>
                </c:pt>
                <c:pt idx="368">
                  <c:v>-37.948815012119191</c:v>
                </c:pt>
                <c:pt idx="369">
                  <c:v>-38.686063980942428</c:v>
                </c:pt>
                <c:pt idx="370">
                  <c:v>-39.419411275001565</c:v>
                </c:pt>
                <c:pt idx="371">
                  <c:v>-40.148615422426595</c:v>
                </c:pt>
                <c:pt idx="372">
                  <c:v>-40.873440565988737</c:v>
                </c:pt>
                <c:pt idx="373">
                  <c:v>-41.593657458022456</c:v>
                </c:pt>
                <c:pt idx="374">
                  <c:v>-42.309044425741156</c:v>
                </c:pt>
                <c:pt idx="375">
                  <c:v>-43.019388300718489</c:v>
                </c:pt>
                <c:pt idx="376">
                  <c:v>-43.724485306571744</c:v>
                </c:pt>
                <c:pt idx="377">
                  <c:v>-44.424141899244255</c:v>
                </c:pt>
                <c:pt idx="378">
                  <c:v>-45.118175554660525</c:v>
                </c:pt>
                <c:pt idx="379">
                  <c:v>-45.806415498957811</c:v>
                </c:pt>
                <c:pt idx="380">
                  <c:v>-46.488703376937565</c:v>
                </c:pt>
                <c:pt idx="381">
                  <c:v>-47.164893854876574</c:v>
                </c:pt>
                <c:pt idx="382">
                  <c:v>-47.834855154321303</c:v>
                </c:pt>
                <c:pt idx="383">
                  <c:v>-48.498469513996902</c:v>
                </c:pt>
                <c:pt idx="384">
                  <c:v>-49.155633577481261</c:v>
                </c:pt>
                <c:pt idx="385">
                  <c:v>-49.80625870480764</c:v>
                </c:pt>
                <c:pt idx="386">
                  <c:v>-50.450271206668596</c:v>
                </c:pt>
                <c:pt idx="387">
                  <c:v>-51.087612500407914</c:v>
                </c:pt>
                <c:pt idx="388">
                  <c:v>-51.718239187473941</c:v>
                </c:pt>
                <c:pt idx="389">
                  <c:v>-52.34212305250162</c:v>
                </c:pt>
                <c:pt idx="390">
                  <c:v>-52.95925098466298</c:v>
                </c:pt>
                <c:pt idx="391">
                  <c:v>-53.569624822381158</c:v>
                </c:pt>
                <c:pt idx="392">
                  <c:v>-54.173261122953186</c:v>
                </c:pt>
                <c:pt idx="393">
                  <c:v>-54.770190859064869</c:v>
                </c:pt>
                <c:pt idx="394">
                  <c:v>-55.360459044590954</c:v>
                </c:pt>
                <c:pt idx="395">
                  <c:v>-55.944124292492944</c:v>
                </c:pt>
                <c:pt idx="396">
                  <c:v>-56.521258308013017</c:v>
                </c:pt>
                <c:pt idx="397">
                  <c:v>-57.091945320754469</c:v>
                </c:pt>
                <c:pt idx="398">
                  <c:v>-57.656281459603484</c:v>
                </c:pt>
                <c:pt idx="399">
                  <c:v>-58.214374074808553</c:v>
                </c:pt>
                <c:pt idx="400">
                  <c:v>-58.766341011879163</c:v>
                </c:pt>
                <c:pt idx="401">
                  <c:v>-59.312309842283518</c:v>
                </c:pt>
                <c:pt idx="402">
                  <c:v>-59.852417056248591</c:v>
                </c:pt>
                <c:pt idx="403">
                  <c:v>-60.386807223233141</c:v>
                </c:pt>
                <c:pt idx="404">
                  <c:v>-60.915632125920574</c:v>
                </c:pt>
                <c:pt idx="405">
                  <c:v>-61.43904987379409</c:v>
                </c:pt>
                <c:pt idx="406">
                  <c:v>-61.957224002559805</c:v>
                </c:pt>
                <c:pt idx="407">
                  <c:v>-62.470322565824098</c:v>
                </c:pt>
                <c:pt idx="408">
                  <c:v>-62.978517225549624</c:v>
                </c:pt>
                <c:pt idx="409">
                  <c:v>-63.4819823478608</c:v>
                </c:pt>
                <c:pt idx="410">
                  <c:v>-63.980894110765377</c:v>
                </c:pt>
                <c:pt idx="411">
                  <c:v>-64.47542963030233</c:v>
                </c:pt>
                <c:pt idx="412">
                  <c:v>-64.965766111495313</c:v>
                </c:pt>
                <c:pt idx="413">
                  <c:v>-65.452080030289309</c:v>
                </c:pt>
                <c:pt idx="414">
                  <c:v>-65.934546352398442</c:v>
                </c:pt>
                <c:pt idx="415">
                  <c:v>-66.41333779464243</c:v>
                </c:pt>
                <c:pt idx="416">
                  <c:v>-66.888624133963575</c:v>
                </c:pt>
                <c:pt idx="417">
                  <c:v>-67.360571568837102</c:v>
                </c:pt>
                <c:pt idx="418">
                  <c:v>-67.829342137271823</c:v>
                </c:pt>
                <c:pt idx="419">
                  <c:v>-68.295093195008974</c:v>
                </c:pt>
                <c:pt idx="420">
                  <c:v>-68.757976956897366</c:v>
                </c:pt>
                <c:pt idx="421">
                  <c:v>-69.218140103762963</c:v>
                </c:pt>
                <c:pt idx="422">
                  <c:v>-69.675723456380538</c:v>
                </c:pt>
                <c:pt idx="423">
                  <c:v>-70.130861717453854</c:v>
                </c:pt>
                <c:pt idx="424">
                  <c:v>-70.583683281771073</c:v>
                </c:pt>
                <c:pt idx="425">
                  <c:v>-71.034310114000192</c:v>
                </c:pt>
                <c:pt idx="426">
                  <c:v>-71.482857692875669</c:v>
                </c:pt>
                <c:pt idx="427">
                  <c:v>-71.929435019855902</c:v>
                </c:pt>
                <c:pt idx="428">
                  <c:v>-72.374144689694532</c:v>
                </c:pt>
                <c:pt idx="429">
                  <c:v>-72.817083019787987</c:v>
                </c:pt>
                <c:pt idx="430">
                  <c:v>-73.258340234617037</c:v>
                </c:pt>
                <c:pt idx="431">
                  <c:v>-73.69800070115339</c:v>
                </c:pt>
                <c:pt idx="432">
                  <c:v>-74.1361432106888</c:v>
                </c:pt>
                <c:pt idx="433">
                  <c:v>-74.572841302247156</c:v>
                </c:pt>
                <c:pt idx="434">
                  <c:v>-75.008163622475905</c:v>
                </c:pt>
                <c:pt idx="435">
                  <c:v>-75.442174316774583</c:v>
                </c:pt>
                <c:pt idx="436">
                  <c:v>-75.874933446314515</c:v>
                </c:pt>
                <c:pt idx="437">
                  <c:v>-76.306497425611497</c:v>
                </c:pt>
                <c:pt idx="438">
                  <c:v>-76.736919475371138</c:v>
                </c:pt>
                <c:pt idx="439">
                  <c:v>-77.166250085455815</c:v>
                </c:pt>
                <c:pt idx="440">
                  <c:v>-77.594537483022577</c:v>
                </c:pt>
                <c:pt idx="441">
                  <c:v>-78.021828101121372</c:v>
                </c:pt>
                <c:pt idx="442">
                  <c:v>-78.448167043339311</c:v>
                </c:pt>
                <c:pt idx="443">
                  <c:v>-78.87359854040831</c:v>
                </c:pt>
                <c:pt idx="444">
                  <c:v>-79.298166395052093</c:v>
                </c:pt>
                <c:pt idx="445">
                  <c:v>-79.721914411734986</c:v>
                </c:pt>
                <c:pt idx="446">
                  <c:v>-80.144886808370458</c:v>
                </c:pt>
                <c:pt idx="447">
                  <c:v>-80.567128607449035</c:v>
                </c:pt>
                <c:pt idx="448">
                  <c:v>-80.988686004451012</c:v>
                </c:pt>
                <c:pt idx="449">
                  <c:v>-81.409606711802425</c:v>
                </c:pt>
                <c:pt idx="450">
                  <c:v>-81.829940277011715</c:v>
                </c:pt>
                <c:pt idx="451">
                  <c:v>-82.249738373994859</c:v>
                </c:pt>
                <c:pt idx="452">
                  <c:v>-82.669055066932202</c:v>
                </c:pt>
                <c:pt idx="453">
                  <c:v>-83.087947046320878</c:v>
                </c:pt>
                <c:pt idx="454">
                  <c:v>-83.506473837171626</c:v>
                </c:pt>
                <c:pt idx="455">
                  <c:v>-83.924697979562637</c:v>
                </c:pt>
                <c:pt idx="456">
                  <c:v>-84.342685181982247</c:v>
                </c:pt>
                <c:pt idx="457">
                  <c:v>-84.76050444810538</c:v>
                </c:pt>
                <c:pt idx="458">
                  <c:v>-85.178228177794253</c:v>
                </c:pt>
                <c:pt idx="459">
                  <c:v>-85.595932243269885</c:v>
                </c:pt>
                <c:pt idx="460">
                  <c:v>-86.01369604149734</c:v>
                </c:pt>
                <c:pt idx="461">
                  <c:v>-86.431602523912147</c:v>
                </c:pt>
                <c:pt idx="462">
                  <c:v>-86.849738204671354</c:v>
                </c:pt>
                <c:pt idx="463">
                  <c:v>-87.268193148641458</c:v>
                </c:pt>
                <c:pt idx="464">
                  <c:v>-87.68706094035106</c:v>
                </c:pt>
                <c:pt idx="465">
                  <c:v>-88.106438635120597</c:v>
                </c:pt>
                <c:pt idx="466">
                  <c:v>-88.526426693568311</c:v>
                </c:pt>
                <c:pt idx="467">
                  <c:v>-88.947128900634183</c:v>
                </c:pt>
                <c:pt idx="468">
                  <c:v>-89.368652270233113</c:v>
                </c:pt>
                <c:pt idx="469">
                  <c:v>-89.791106936567218</c:v>
                </c:pt>
                <c:pt idx="470">
                  <c:v>-90.214606033072087</c:v>
                </c:pt>
                <c:pt idx="471">
                  <c:v>-90.639265559883697</c:v>
                </c:pt>
                <c:pt idx="472">
                  <c:v>-91.065204240641307</c:v>
                </c:pt>
                <c:pt idx="473">
                  <c:v>-91.492543369351125</c:v>
                </c:pt>
                <c:pt idx="474">
                  <c:v>-91.921406647951557</c:v>
                </c:pt>
                <c:pt idx="475">
                  <c:v>-92.35192001514018</c:v>
                </c:pt>
                <c:pt idx="476">
                  <c:v>-92.784211466927715</c:v>
                </c:pt>
                <c:pt idx="477">
                  <c:v>-93.218410869315278</c:v>
                </c:pt>
                <c:pt idx="478">
                  <c:v>-93.654649763394502</c:v>
                </c:pt>
                <c:pt idx="479">
                  <c:v>-94.093061163113759</c:v>
                </c:pt>
                <c:pt idx="480">
                  <c:v>-94.533779345864048</c:v>
                </c:pt>
                <c:pt idx="481">
                  <c:v>-94.976939635983214</c:v>
                </c:pt>
                <c:pt idx="482">
                  <c:v>-95.4226781812132</c:v>
                </c:pt>
                <c:pt idx="483">
                  <c:v>-95.87113172208737</c:v>
                </c:pt>
                <c:pt idx="484">
                  <c:v>-96.322437354181901</c:v>
                </c:pt>
                <c:pt idx="485">
                  <c:v>-96.776732283119841</c:v>
                </c:pt>
                <c:pt idx="486">
                  <c:v>-97.234153572184525</c:v>
                </c:pt>
                <c:pt idx="487">
                  <c:v>-97.694837882372653</c:v>
                </c:pt>
                <c:pt idx="488">
                  <c:v>-98.158921204695503</c:v>
                </c:pt>
                <c:pt idx="489">
                  <c:v>-98.626538584534671</c:v>
                </c:pt>
                <c:pt idx="490">
                  <c:v>-99.097823837845198</c:v>
                </c:pt>
                <c:pt idx="491">
                  <c:v>-99.572909259016143</c:v>
                </c:pt>
                <c:pt idx="492">
                  <c:v>-100.05192532020951</c:v>
                </c:pt>
                <c:pt idx="493">
                  <c:v>-100.53500036202207</c:v>
                </c:pt>
                <c:pt idx="494">
                  <c:v>-101.02226027535487</c:v>
                </c:pt>
                <c:pt idx="495">
                  <c:v>-101.5138281744119</c:v>
                </c:pt>
                <c:pt idx="496">
                  <c:v>-102.00982406081086</c:v>
                </c:pt>
                <c:pt idx="497">
                  <c:v>-102.51036447884469</c:v>
                </c:pt>
                <c:pt idx="498">
                  <c:v>-103.01556216201652</c:v>
                </c:pt>
                <c:pt idx="499">
                  <c:v>-103.52552567104435</c:v>
                </c:pt>
                <c:pt idx="500">
                  <c:v>-104.04035902363435</c:v>
                </c:pt>
                <c:pt idx="501">
                  <c:v>-104.56016131642106</c:v>
                </c:pt>
                <c:pt idx="502">
                  <c:v>-105.08502633959093</c:v>
                </c:pt>
                <c:pt idx="503">
                  <c:v>-105.61504218482666</c:v>
                </c:pt>
                <c:pt idx="504">
                  <c:v>-106.1502908473425</c:v>
                </c:pt>
                <c:pt idx="505">
                  <c:v>-106.69084782292572</c:v>
                </c:pt>
                <c:pt idx="506">
                  <c:v>-107.23678170104658</c:v>
                </c:pt>
                <c:pt idx="507">
                  <c:v>-107.7881537552539</c:v>
                </c:pt>
                <c:pt idx="508">
                  <c:v>-108.34501753223994</c:v>
                </c:pt>
                <c:pt idx="509">
                  <c:v>-108.90741844112173</c:v>
                </c:pt>
                <c:pt idx="510">
                  <c:v>-109.47539334465499</c:v>
                </c:pt>
                <c:pt idx="511">
                  <c:v>-110.04897015427028</c:v>
                </c:pt>
                <c:pt idx="512">
                  <c:v>-110.62816743099</c:v>
                </c:pt>
                <c:pt idx="513">
                  <c:v>-111.21299399444766</c:v>
                </c:pt>
                <c:pt idx="514">
                  <c:v>-111.80344854239904</c:v>
                </c:pt>
                <c:pt idx="515">
                  <c:v>-112.39951928325755</c:v>
                </c:pt>
                <c:pt idx="516">
                  <c:v>-113.00118358433897</c:v>
                </c:pt>
                <c:pt idx="517">
                  <c:v>-113.60840763861553</c:v>
                </c:pt>
                <c:pt idx="518">
                  <c:v>-114.22114615289445</c:v>
                </c:pt>
                <c:pt idx="519">
                  <c:v>-114.83934206042741</c:v>
                </c:pt>
                <c:pt idx="520">
                  <c:v>-115.46292626101074</c:v>
                </c:pt>
                <c:pt idx="521">
                  <c:v>-116.09181739168153</c:v>
                </c:pt>
                <c:pt idx="522">
                  <c:v>-116.72592163111639</c:v>
                </c:pt>
                <c:pt idx="523">
                  <c:v>-117.36513254080762</c:v>
                </c:pt>
                <c:pt idx="524">
                  <c:v>-118.00933094603195</c:v>
                </c:pt>
                <c:pt idx="525">
                  <c:v>-118.65838485951693</c:v>
                </c:pt>
                <c:pt idx="526">
                  <c:v>-119.31214945056672</c:v>
                </c:pt>
                <c:pt idx="527">
                  <c:v>-119.97046706221855</c:v>
                </c:pt>
                <c:pt idx="528">
                  <c:v>-120.63316727877074</c:v>
                </c:pt>
                <c:pt idx="529">
                  <c:v>-121.30006704575085</c:v>
                </c:pt>
                <c:pt idx="530">
                  <c:v>-121.97097084406218</c:v>
                </c:pt>
                <c:pt idx="531">
                  <c:v>-122.64567091970648</c:v>
                </c:pt>
                <c:pt idx="532">
                  <c:v>-123.32394757005994</c:v>
                </c:pt>
                <c:pt idx="533">
                  <c:v>-124.00556948727109</c:v>
                </c:pt>
                <c:pt idx="534">
                  <c:v>-124.69029415885507</c:v>
                </c:pt>
                <c:pt idx="535">
                  <c:v>-125.37786832509762</c:v>
                </c:pt>
                <c:pt idx="536">
                  <c:v>-126.06802849233947</c:v>
                </c:pt>
                <c:pt idx="537">
                  <c:v>-126.76050150071778</c:v>
                </c:pt>
                <c:pt idx="538">
                  <c:v>-127.45500514438277</c:v>
                </c:pt>
                <c:pt idx="539">
                  <c:v>-128.15124884169501</c:v>
                </c:pt>
                <c:pt idx="540">
                  <c:v>-128.84893435237953</c:v>
                </c:pt>
                <c:pt idx="541">
                  <c:v>-129.54775653811873</c:v>
                </c:pt>
              </c:numCache>
            </c:numRef>
          </c:yVal>
          <c:smooth val="1"/>
          <c:extLst>
            <c:ext xmlns:c16="http://schemas.microsoft.com/office/drawing/2014/chart" uri="{C3380CC4-5D6E-409C-BE32-E72D297353CC}">
              <c16:uniqueId val="{00000001-F558-460B-9BCA-B72D2A1A8C6F}"/>
            </c:ext>
          </c:extLst>
        </c:ser>
        <c:dLbls>
          <c:showLegendKey val="0"/>
          <c:showVal val="0"/>
          <c:showCatName val="0"/>
          <c:showSerName val="0"/>
          <c:showPercent val="0"/>
          <c:showBubbleSize val="0"/>
        </c:dLbls>
        <c:axId val="384296832"/>
        <c:axId val="384295296"/>
      </c:scatterChart>
      <c:valAx>
        <c:axId val="377549184"/>
        <c:scaling>
          <c:logBase val="10"/>
          <c:orientation val="minMax"/>
          <c:max val="2200000"/>
          <c:min val="10"/>
        </c:scaling>
        <c:delete val="0"/>
        <c:axPos val="b"/>
        <c:minorGridlines/>
        <c:title>
          <c:tx>
            <c:rich>
              <a:bodyPr/>
              <a:lstStyle/>
              <a:p>
                <a:pPr>
                  <a:defRPr/>
                </a:pPr>
                <a:r>
                  <a:rPr lang="en-US"/>
                  <a:t>Frequency</a:t>
                </a:r>
                <a:r>
                  <a:rPr lang="en-US" baseline="0"/>
                  <a:t> (Hz)</a:t>
                </a:r>
                <a:endParaRPr lang="en-US"/>
              </a:p>
            </c:rich>
          </c:tx>
          <c:overlay val="0"/>
        </c:title>
        <c:numFmt formatCode="0" sourceLinked="0"/>
        <c:majorTickMark val="out"/>
        <c:minorTickMark val="none"/>
        <c:tickLblPos val="low"/>
        <c:crossAx val="377551104"/>
        <c:crosses val="autoZero"/>
        <c:crossBetween val="midCat"/>
      </c:valAx>
      <c:valAx>
        <c:axId val="377551104"/>
        <c:scaling>
          <c:orientation val="minMax"/>
          <c:max val="40"/>
          <c:min val="-40"/>
        </c:scaling>
        <c:delete val="0"/>
        <c:axPos val="l"/>
        <c:majorGridlines/>
        <c:minorGridlines/>
        <c:title>
          <c:tx>
            <c:rich>
              <a:bodyPr rot="-5400000" vert="horz"/>
              <a:lstStyle/>
              <a:p>
                <a:pPr>
                  <a:defRPr/>
                </a:pPr>
                <a:r>
                  <a:rPr lang="en-US">
                    <a:solidFill>
                      <a:srgbClr val="FF0000"/>
                    </a:solidFill>
                  </a:rPr>
                  <a:t>Gain</a:t>
                </a:r>
                <a:r>
                  <a:rPr lang="en-US" baseline="0">
                    <a:solidFill>
                      <a:srgbClr val="FF0000"/>
                    </a:solidFill>
                  </a:rPr>
                  <a:t> (dB)</a:t>
                </a:r>
                <a:endParaRPr lang="en-US">
                  <a:solidFill>
                    <a:srgbClr val="FF0000"/>
                  </a:solidFill>
                </a:endParaRPr>
              </a:p>
            </c:rich>
          </c:tx>
          <c:overlay val="0"/>
        </c:title>
        <c:numFmt formatCode="General" sourceLinked="0"/>
        <c:majorTickMark val="out"/>
        <c:minorTickMark val="none"/>
        <c:tickLblPos val="nextTo"/>
        <c:txPr>
          <a:bodyPr/>
          <a:lstStyle/>
          <a:p>
            <a:pPr>
              <a:defRPr>
                <a:solidFill>
                  <a:srgbClr val="FF0000"/>
                </a:solidFill>
              </a:defRPr>
            </a:pPr>
            <a:endParaRPr lang="en-US"/>
          </a:p>
        </c:txPr>
        <c:crossAx val="377549184"/>
        <c:crosses val="autoZero"/>
        <c:crossBetween val="midCat"/>
        <c:majorUnit val="20"/>
        <c:minorUnit val="10"/>
      </c:valAx>
      <c:valAx>
        <c:axId val="384295296"/>
        <c:scaling>
          <c:orientation val="minMax"/>
          <c:max val="180"/>
          <c:min val="-180"/>
        </c:scaling>
        <c:delete val="0"/>
        <c:axPos val="r"/>
        <c:numFmt formatCode="General" sourceLinked="1"/>
        <c:majorTickMark val="out"/>
        <c:minorTickMark val="none"/>
        <c:tickLblPos val="nextTo"/>
        <c:txPr>
          <a:bodyPr/>
          <a:lstStyle/>
          <a:p>
            <a:pPr>
              <a:defRPr>
                <a:solidFill>
                  <a:schemeClr val="tx1">
                    <a:lumMod val="95000"/>
                    <a:lumOff val="5000"/>
                  </a:schemeClr>
                </a:solidFill>
              </a:defRPr>
            </a:pPr>
            <a:endParaRPr lang="en-US"/>
          </a:p>
        </c:txPr>
        <c:crossAx val="384296832"/>
        <c:crosses val="max"/>
        <c:crossBetween val="midCat"/>
        <c:majorUnit val="90"/>
        <c:minorUnit val="45"/>
      </c:valAx>
      <c:valAx>
        <c:axId val="384296832"/>
        <c:scaling>
          <c:logBase val="10"/>
          <c:orientation val="minMax"/>
        </c:scaling>
        <c:delete val="1"/>
        <c:axPos val="b"/>
        <c:numFmt formatCode="0.00" sourceLinked="1"/>
        <c:majorTickMark val="out"/>
        <c:minorTickMark val="none"/>
        <c:tickLblPos val="nextTo"/>
        <c:crossAx val="384295296"/>
        <c:crosses val="autoZero"/>
        <c:crossBetween val="midCat"/>
      </c:valAx>
    </c:plotArea>
    <c:plotVisOnly val="1"/>
    <c:dispBlanksAs val="gap"/>
    <c:showDLblsOverMax val="0"/>
  </c:chart>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lgn="l">
              <a:defRPr sz="2400"/>
            </a:pPr>
            <a:r>
              <a:rPr lang="el-GR" sz="2400"/>
              <a:t>η</a:t>
            </a:r>
            <a:endParaRPr lang="en-US" sz="2400"/>
          </a:p>
        </c:rich>
      </c:tx>
      <c:layout>
        <c:manualLayout>
          <c:xMode val="edge"/>
          <c:yMode val="edge"/>
          <c:x val="9.2321838295158831E-2"/>
          <c:y val="6.7069081153588199E-3"/>
        </c:manualLayout>
      </c:layout>
      <c:overlay val="1"/>
    </c:title>
    <c:autoTitleDeleted val="0"/>
    <c:plotArea>
      <c:layout>
        <c:manualLayout>
          <c:layoutTarget val="inner"/>
          <c:xMode val="edge"/>
          <c:yMode val="edge"/>
          <c:x val="9.4343575816580413E-2"/>
          <c:y val="0.12777504924560487"/>
          <c:w val="0.82170691922728745"/>
          <c:h val="0.74982770867653059"/>
        </c:manualLayout>
      </c:layout>
      <c:scatterChart>
        <c:scatterStyle val="smoothMarker"/>
        <c:varyColors val="0"/>
        <c:ser>
          <c:idx val="0"/>
          <c:order val="0"/>
          <c:tx>
            <c:v>Eff</c:v>
          </c:tx>
          <c:spPr>
            <a:ln>
              <a:solidFill>
                <a:srgbClr val="FF0000"/>
              </a:solidFill>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Eff_vs_IOUT!$BZ$7:$BZ$157</c:f>
              <c:numCache>
                <c:formatCode>General</c:formatCode>
                <c:ptCount val="151"/>
                <c:pt idx="0">
                  <c:v>0</c:v>
                </c:pt>
                <c:pt idx="1">
                  <c:v>6.9104349545433763</c:v>
                </c:pt>
                <c:pt idx="2">
                  <c:v>12.823387718048037</c:v>
                </c:pt>
                <c:pt idx="3">
                  <c:v>17.936188279221803</c:v>
                </c:pt>
                <c:pt idx="4">
                  <c:v>22.39533017891296</c:v>
                </c:pt>
                <c:pt idx="5">
                  <c:v>26.31372330334824</c:v>
                </c:pt>
                <c:pt idx="6">
                  <c:v>29.779916078636436</c:v>
                </c:pt>
                <c:pt idx="7">
                  <c:v>32.86432486734271</c:v>
                </c:pt>
                <c:pt idx="8">
                  <c:v>35.623629433264171</c:v>
                </c:pt>
                <c:pt idx="9">
                  <c:v>38.103948620865765</c:v>
                </c:pt>
                <c:pt idx="10">
                  <c:v>40.343176127472312</c:v>
                </c:pt>
                <c:pt idx="11">
                  <c:v>42.372724757692545</c:v>
                </c:pt>
                <c:pt idx="12">
                  <c:v>44.218846584222696</c:v>
                </c:pt>
                <c:pt idx="13">
                  <c:v>45.903644339307306</c:v>
                </c:pt>
                <c:pt idx="14">
                  <c:v>47.445854894128217</c:v>
                </c:pt>
                <c:pt idx="15">
                  <c:v>48.861462399161283</c:v>
                </c:pt>
                <c:pt idx="16">
                  <c:v>50.164182651357912</c:v>
                </c:pt>
                <c:pt idx="17">
                  <c:v>51.365849079078593</c:v>
                </c:pt>
                <c:pt idx="18">
                  <c:v>52.476722825238006</c:v>
                </c:pt>
                <c:pt idx="19">
                  <c:v>53.505743737850977</c:v>
                </c:pt>
                <c:pt idx="20">
                  <c:v>54.46073496321624</c:v>
                </c:pt>
                <c:pt idx="21">
                  <c:v>55.348570819959953</c:v>
                </c:pt>
                <c:pt idx="22">
                  <c:v>56.175315396956414</c:v>
                </c:pt>
                <c:pt idx="23">
                  <c:v>56.946337646304315</c:v>
                </c:pt>
                <c:pt idx="24">
                  <c:v>57.666407480843262</c:v>
                </c:pt>
                <c:pt idx="25">
                  <c:v>58.3397764254903</c:v>
                </c:pt>
                <c:pt idx="26">
                  <c:v>58.970245635108675</c:v>
                </c:pt>
                <c:pt idx="27">
                  <c:v>59.561223522364891</c:v>
                </c:pt>
                <c:pt idx="28">
                  <c:v>60.115774795960995</c:v>
                </c:pt>
                <c:pt idx="29">
                  <c:v>60.636662362460456</c:v>
                </c:pt>
                <c:pt idx="30">
                  <c:v>61.126383271168628</c:v>
                </c:pt>
                <c:pt idx="31">
                  <c:v>61.587199664356106</c:v>
                </c:pt>
                <c:pt idx="32">
                  <c:v>62.021165521839848</c:v>
                </c:pt>
                <c:pt idx="33">
                  <c:v>62.430149849931837</c:v>
                </c:pt>
                <c:pt idx="34">
                  <c:v>62.815856852673058</c:v>
                </c:pt>
                <c:pt idx="35">
                  <c:v>63.179843532428436</c:v>
                </c:pt>
                <c:pt idx="36">
                  <c:v>63.523535092951533</c:v>
                </c:pt>
                <c:pt idx="37">
                  <c:v>63.84823845752593</c:v>
                </c:pt>
                <c:pt idx="38">
                  <c:v>64.155154165088561</c:v>
                </c:pt>
                <c:pt idx="39">
                  <c:v>64.445386866240824</c:v>
                </c:pt>
                <c:pt idx="40">
                  <c:v>64.719954607097392</c:v>
                </c:pt>
                <c:pt idx="41">
                  <c:v>64.979797060693329</c:v>
                </c:pt>
                <c:pt idx="42">
                  <c:v>65.225782842114683</c:v>
                </c:pt>
                <c:pt idx="43">
                  <c:v>65.458716023793571</c:v>
                </c:pt>
                <c:pt idx="44">
                  <c:v>65.679341950836388</c:v>
                </c:pt>
                <c:pt idx="45">
                  <c:v>65.888352442284173</c:v>
                </c:pt>
                <c:pt idx="46">
                  <c:v>66.086390452391569</c:v>
                </c:pt>
                <c:pt idx="47">
                  <c:v>66.274054255991516</c:v>
                </c:pt>
                <c:pt idx="48">
                  <c:v>66.451901213490302</c:v>
                </c:pt>
                <c:pt idx="49">
                  <c:v>66.620025168744064</c:v>
                </c:pt>
                <c:pt idx="50">
                  <c:v>66.773980927015359</c:v>
                </c:pt>
                <c:pt idx="51">
                  <c:v>66.918005739604297</c:v>
                </c:pt>
                <c:pt idx="52">
                  <c:v>67.052582819143211</c:v>
                </c:pt>
                <c:pt idx="53">
                  <c:v>67.178166387681856</c:v>
                </c:pt>
                <c:pt idx="54">
                  <c:v>67.295183800111232</c:v>
                </c:pt>
                <c:pt idx="55">
                  <c:v>67.40403748388195</c:v>
                </c:pt>
                <c:pt idx="56">
                  <c:v>67.505106713291866</c:v>
                </c:pt>
                <c:pt idx="57">
                  <c:v>67.598749234569368</c:v>
                </c:pt>
                <c:pt idx="58">
                  <c:v>67.685302756184711</c:v>
                </c:pt>
                <c:pt idx="59">
                  <c:v>67.765086317248475</c:v>
                </c:pt>
                <c:pt idx="60">
                  <c:v>67.838401545472635</c:v>
                </c:pt>
                <c:pt idx="61">
                  <c:v>67.905533814952022</c:v>
                </c:pt>
                <c:pt idx="62">
                  <c:v>67.966753312948768</c:v>
                </c:pt>
                <c:pt idx="63">
                  <c:v>68.02231602391366</c:v>
                </c:pt>
                <c:pt idx="64">
                  <c:v>68.072464638137092</c:v>
                </c:pt>
                <c:pt idx="65">
                  <c:v>68.117429391677646</c:v>
                </c:pt>
                <c:pt idx="66">
                  <c:v>68.15742884355403</c:v>
                </c:pt>
                <c:pt idx="67">
                  <c:v>68.192670595598386</c:v>
                </c:pt>
                <c:pt idx="68">
                  <c:v>68.223351959843697</c:v>
                </c:pt>
                <c:pt idx="69">
                  <c:v>68.249660577851628</c:v>
                </c:pt>
                <c:pt idx="70">
                  <c:v>68.271774995967888</c:v>
                </c:pt>
                <c:pt idx="71">
                  <c:v>68.289865200120076</c:v>
                </c:pt>
                <c:pt idx="72">
                  <c:v>68.304093113436807</c:v>
                </c:pt>
                <c:pt idx="73">
                  <c:v>68.314613059667522</c:v>
                </c:pt>
                <c:pt idx="74">
                  <c:v>68.321572195112651</c:v>
                </c:pt>
                <c:pt idx="75">
                  <c:v>68.325110911530118</c:v>
                </c:pt>
                <c:pt idx="76">
                  <c:v>68.325363212267973</c:v>
                </c:pt>
                <c:pt idx="77">
                  <c:v>68.322457063673482</c:v>
                </c:pt>
                <c:pt idx="78">
                  <c:v>68.316514723653398</c:v>
                </c:pt>
                <c:pt idx="79">
                  <c:v>68.307653049098647</c:v>
                </c:pt>
                <c:pt idx="80">
                  <c:v>68.295983783741093</c:v>
                </c:pt>
                <c:pt idx="81">
                  <c:v>68.281613827879497</c:v>
                </c:pt>
                <c:pt idx="82">
                  <c:v>68.264645491291645</c:v>
                </c:pt>
                <c:pt idx="83">
                  <c:v>68.245176730541758</c:v>
                </c:pt>
                <c:pt idx="84">
                  <c:v>68.223301371793909</c:v>
                </c:pt>
                <c:pt idx="85">
                  <c:v>68.1991093201528</c:v>
                </c:pt>
                <c:pt idx="86">
                  <c:v>68.172686756471734</c:v>
                </c:pt>
                <c:pt idx="87">
                  <c:v>68.144116322493488</c:v>
                </c:pt>
                <c:pt idx="88">
                  <c:v>68.113477295122209</c:v>
                </c:pt>
                <c:pt idx="89">
                  <c:v>68.080845750562517</c:v>
                </c:pt>
                <c:pt idx="90">
                  <c:v>68.046294719005743</c:v>
                </c:pt>
                <c:pt idx="91">
                  <c:v>68.009894330491534</c:v>
                </c:pt>
                <c:pt idx="92">
                  <c:v>67.971711952525609</c:v>
                </c:pt>
                <c:pt idx="93">
                  <c:v>67.931812319991664</c:v>
                </c:pt>
                <c:pt idx="94">
                  <c:v>67.890257657855187</c:v>
                </c:pt>
                <c:pt idx="95">
                  <c:v>67.8471077971207</c:v>
                </c:pt>
                <c:pt idx="96">
                  <c:v>67.802420284470728</c:v>
                </c:pt>
                <c:pt idx="97">
                  <c:v>67.756250485983642</c:v>
                </c:pt>
                <c:pt idx="98">
                  <c:v>67.708651685299586</c:v>
                </c:pt>
                <c:pt idx="99">
                  <c:v>67.659675176577352</c:v>
                </c:pt>
                <c:pt idx="100">
                  <c:v>67.6093703525612</c:v>
                </c:pt>
                <c:pt idx="101">
                  <c:v>67.557784788054775</c:v>
                </c:pt>
                <c:pt idx="102">
                  <c:v>67.504964319078169</c:v>
                </c:pt>
                <c:pt idx="103">
                  <c:v>67.450953117966108</c:v>
                </c:pt>
                <c:pt idx="104">
                  <c:v>67.395793764647337</c:v>
                </c:pt>
                <c:pt idx="105">
                  <c:v>67.339527314329246</c:v>
                </c:pt>
                <c:pt idx="106">
                  <c:v>67.282193361797098</c:v>
                </c:pt>
                <c:pt idx="107">
                  <c:v>67.223830102523152</c:v>
                </c:pt>
                <c:pt idx="108">
                  <c:v>67.164474390768319</c:v>
                </c:pt>
                <c:pt idx="109">
                  <c:v>67.104161794847315</c:v>
                </c:pt>
                <c:pt idx="110">
                  <c:v>67.042926649716932</c:v>
                </c:pt>
                <c:pt idx="111">
                  <c:v>66.980802107037007</c:v>
                </c:pt>
                <c:pt idx="112">
                  <c:v>66.917820182844451</c:v>
                </c:pt>
                <c:pt idx="113">
                  <c:v>66.854011802971471</c:v>
                </c:pt>
                <c:pt idx="114">
                  <c:v>66.78940684633109</c:v>
                </c:pt>
                <c:pt idx="115">
                  <c:v>66.724034186185818</c:v>
                </c:pt>
                <c:pt idx="116">
                  <c:v>66.657921729507308</c:v>
                </c:pt>
                <c:pt idx="117">
                  <c:v>66.591096454529591</c:v>
                </c:pt>
                <c:pt idx="118">
                  <c:v>66.52358444659086</c:v>
                </c:pt>
                <c:pt idx="119">
                  <c:v>66.455410932354155</c:v>
                </c:pt>
                <c:pt idx="120">
                  <c:v>66.386600312491353</c:v>
                </c:pt>
                <c:pt idx="121">
                  <c:v>66.317176192910239</c:v>
                </c:pt>
                <c:pt idx="122">
                  <c:v>66.247161414599191</c:v>
                </c:pt>
                <c:pt idx="123">
                  <c:v>66.176578082160333</c:v>
                </c:pt>
                <c:pt idx="124">
                  <c:v>66.105447591097672</c:v>
                </c:pt>
                <c:pt idx="125">
                  <c:v>66.03379065392248</c:v>
                </c:pt>
                <c:pt idx="126">
                  <c:v>65.96162732513541</c:v>
                </c:pt>
                <c:pt idx="127">
                  <c:v>65.88897702514079</c:v>
                </c:pt>
                <c:pt idx="128">
                  <c:v>65.815858563145881</c:v>
                </c:pt>
                <c:pt idx="129">
                  <c:v>65.742290159094651</c:v>
                </c:pt>
                <c:pt idx="130">
                  <c:v>65.668289464682928</c:v>
                </c:pt>
                <c:pt idx="131">
                  <c:v>65.593873583499445</c:v>
                </c:pt>
                <c:pt idx="132">
                  <c:v>65.519059090334466</c:v>
                </c:pt>
                <c:pt idx="133">
                  <c:v>65.443862049695682</c:v>
                </c:pt>
                <c:pt idx="134">
                  <c:v>65.368298033569005</c:v>
                </c:pt>
                <c:pt idx="135">
                  <c:v>65.292382138459516</c:v>
                </c:pt>
                <c:pt idx="136">
                  <c:v>65.216129001746268</c:v>
                </c:pt>
                <c:pt idx="137">
                  <c:v>65.139552817382778</c:v>
                </c:pt>
                <c:pt idx="138">
                  <c:v>65.062667350973243</c:v>
                </c:pt>
                <c:pt idx="139">
                  <c:v>64.985485954253292</c:v>
                </c:pt>
                <c:pt idx="140">
                  <c:v>64.908021579001911</c:v>
                </c:pt>
                <c:pt idx="141">
                  <c:v>64.830286790410753</c:v>
                </c:pt>
                <c:pt idx="142">
                  <c:v>64.752293779934831</c:v>
                </c:pt>
                <c:pt idx="143">
                  <c:v>64.674054377647849</c:v>
                </c:pt>
                <c:pt idx="144">
                  <c:v>64.595580064124263</c:v>
                </c:pt>
                <c:pt idx="145">
                  <c:v>64.516881981868664</c:v>
                </c:pt>
                <c:pt idx="146">
                  <c:v>64.437970946312504</c:v>
                </c:pt>
                <c:pt idx="147">
                  <c:v>64.358857456396919</c:v>
                </c:pt>
                <c:pt idx="148">
                  <c:v>64.279551704759754</c:v>
                </c:pt>
                <c:pt idx="149">
                  <c:v>64.20006358754334</c:v>
                </c:pt>
                <c:pt idx="150">
                  <c:v>64.120402713839837</c:v>
                </c:pt>
              </c:numCache>
            </c:numRef>
          </c:yVal>
          <c:smooth val="0"/>
          <c:extLst>
            <c:ext xmlns:c16="http://schemas.microsoft.com/office/drawing/2014/chart" uri="{C3380CC4-5D6E-409C-BE32-E72D297353CC}">
              <c16:uniqueId val="{00000000-5C51-44E9-BDFA-CA4E77C3B153}"/>
            </c:ext>
          </c:extLst>
        </c:ser>
        <c:dLbls>
          <c:showLegendKey val="0"/>
          <c:showVal val="0"/>
          <c:showCatName val="0"/>
          <c:showSerName val="0"/>
          <c:showPercent val="0"/>
          <c:showBubbleSize val="0"/>
        </c:dLbls>
        <c:axId val="583325184"/>
        <c:axId val="583326720"/>
      </c:scatterChart>
      <c:scatterChart>
        <c:scatterStyle val="smoothMarker"/>
        <c:varyColors val="0"/>
        <c:ser>
          <c:idx val="1"/>
          <c:order val="1"/>
          <c:tx>
            <c:v>MOSFET</c:v>
          </c:tx>
          <c:spPr>
            <a:ln>
              <a:solidFill>
                <a:schemeClr val="tx2">
                  <a:lumMod val="75000"/>
                </a:schemeClr>
              </a:solidFill>
              <a:prstDash val="dash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Eff_vs_IOUT!$AJ$7:$AJ$157</c:f>
              <c:numCache>
                <c:formatCode>General</c:formatCode>
                <c:ptCount val="151"/>
                <c:pt idx="0">
                  <c:v>0</c:v>
                </c:pt>
                <c:pt idx="1">
                  <c:v>7.4557462442911371E-4</c:v>
                </c:pt>
                <c:pt idx="2">
                  <c:v>1.0545451610377296E-3</c:v>
                </c:pt>
                <c:pt idx="3">
                  <c:v>1.2917244249182444E-3</c:v>
                </c:pt>
                <c:pt idx="4">
                  <c:v>1.4917577089069744E-3</c:v>
                </c:pt>
                <c:pt idx="5">
                  <c:v>1.6680625812094346E-3</c:v>
                </c:pt>
                <c:pt idx="6">
                  <c:v>1.8275194088921171E-3</c:v>
                </c:pt>
                <c:pt idx="7">
                  <c:v>1.9742148740515201E-3</c:v>
                </c:pt>
                <c:pt idx="8">
                  <c:v>2.110811306981659E-3</c:v>
                </c:pt>
                <c:pt idx="9">
                  <c:v>2.2391577134823295E-3</c:v>
                </c:pt>
                <c:pt idx="10">
                  <c:v>2.3606001582495021E-3</c:v>
                </c:pt>
                <c:pt idx="11">
                  <c:v>2.4761546719108737E-3</c:v>
                </c:pt>
                <c:pt idx="12">
                  <c:v>2.5866105009929048E-3</c:v>
                </c:pt>
                <c:pt idx="13">
                  <c:v>2.6925952058736323E-3</c:v>
                </c:pt>
                <c:pt idx="14">
                  <c:v>2.7946175404642937E-3</c:v>
                </c:pt>
                <c:pt idx="15">
                  <c:v>2.8930967335852745E-3</c:v>
                </c:pt>
                <c:pt idx="16">
                  <c:v>2.9883830982039227E-3</c:v>
                </c:pt>
                <c:pt idx="17">
                  <c:v>3.0807729151013244E-3</c:v>
                </c:pt>
                <c:pt idx="18">
                  <c:v>3.1705194227379875E-3</c:v>
                </c:pt>
                <c:pt idx="19">
                  <c:v>3.257841090345806E-3</c:v>
                </c:pt>
                <c:pt idx="20">
                  <c:v>3.3429279525718225E-3</c:v>
                </c:pt>
                <c:pt idx="21">
                  <c:v>3.425946533453815E-3</c:v>
                </c:pt>
                <c:pt idx="22">
                  <c:v>3.5070437256532775E-3</c:v>
                </c:pt>
                <c:pt idx="23">
                  <c:v>3.5863498837215256E-3</c:v>
                </c:pt>
                <c:pt idx="24">
                  <c:v>3.6639813176740257E-3</c:v>
                </c:pt>
                <c:pt idx="25">
                  <c:v>3.7400423231205055E-3</c:v>
                </c:pt>
                <c:pt idx="26">
                  <c:v>3.8146268490611697E-3</c:v>
                </c:pt>
                <c:pt idx="27">
                  <c:v>3.887819879380396E-3</c:v>
                </c:pt>
                <c:pt idx="28">
                  <c:v>3.9596985859049558E-3</c:v>
                </c:pt>
                <c:pt idx="29">
                  <c:v>4.0303332975597959E-3</c:v>
                </c:pt>
                <c:pt idx="30">
                  <c:v>4.0997883202445792E-3</c:v>
                </c:pt>
                <c:pt idx="31">
                  <c:v>4.1681226346048901E-3</c:v>
                </c:pt>
                <c:pt idx="32">
                  <c:v>4.2353904932129162E-3</c:v>
                </c:pt>
                <c:pt idx="33">
                  <c:v>4.3016419343311282E-3</c:v>
                </c:pt>
                <c:pt idx="34">
                  <c:v>4.3669232260714922E-3</c:v>
                </c:pt>
                <c:pt idx="35">
                  <c:v>4.4312772521387196E-3</c:v>
                </c:pt>
                <c:pt idx="36">
                  <c:v>4.4947438482808222E-3</c:v>
                </c:pt>
                <c:pt idx="37">
                  <c:v>4.5573600969327837E-3</c:v>
                </c:pt>
                <c:pt idx="38">
                  <c:v>4.6191605862317391E-3</c:v>
                </c:pt>
                <c:pt idx="39">
                  <c:v>4.6801776385311383E-3</c:v>
                </c:pt>
                <c:pt idx="40">
                  <c:v>4.740441512691573E-3</c:v>
                </c:pt>
                <c:pt idx="41">
                  <c:v>4.7999805837345534E-3</c:v>
                </c:pt>
                <c:pt idx="42">
                  <c:v>4.8588215028799158E-3</c:v>
                </c:pt>
                <c:pt idx="43">
                  <c:v>4.9169893405225235E-3</c:v>
                </c:pt>
                <c:pt idx="44">
                  <c:v>4.9745077143195059E-3</c:v>
                </c:pt>
                <c:pt idx="45">
                  <c:v>5.0313989042401171E-3</c:v>
                </c:pt>
                <c:pt idx="46">
                  <c:v>5.0876839561640585E-3</c:v>
                </c:pt>
                <c:pt idx="47">
                  <c:v>5.1433827753910944E-3</c:v>
                </c:pt>
                <c:pt idx="48">
                  <c:v>5.1985142112371359E-3</c:v>
                </c:pt>
                <c:pt idx="49">
                  <c:v>5.2577269379148117E-3</c:v>
                </c:pt>
                <c:pt idx="50">
                  <c:v>5.3653942417740191E-3</c:v>
                </c:pt>
                <c:pt idx="51">
                  <c:v>5.4730832956332272E-3</c:v>
                </c:pt>
                <c:pt idx="52">
                  <c:v>5.5807940994924343E-3</c:v>
                </c:pt>
                <c:pt idx="53">
                  <c:v>5.6885266533516421E-3</c:v>
                </c:pt>
                <c:pt idx="54">
                  <c:v>5.7962809572108497E-3</c:v>
                </c:pt>
                <c:pt idx="55">
                  <c:v>5.9040570110700579E-3</c:v>
                </c:pt>
                <c:pt idx="56">
                  <c:v>6.0118548149292652E-3</c:v>
                </c:pt>
                <c:pt idx="57">
                  <c:v>6.1196743687884731E-3</c:v>
                </c:pt>
                <c:pt idx="58">
                  <c:v>6.2275156726476801E-3</c:v>
                </c:pt>
                <c:pt idx="59">
                  <c:v>6.3353787265068885E-3</c:v>
                </c:pt>
                <c:pt idx="60">
                  <c:v>6.4432635303660933E-3</c:v>
                </c:pt>
                <c:pt idx="61">
                  <c:v>6.5511700842253023E-3</c:v>
                </c:pt>
                <c:pt idx="62">
                  <c:v>6.6590983880845112E-3</c:v>
                </c:pt>
                <c:pt idx="63">
                  <c:v>6.7670484419437181E-3</c:v>
                </c:pt>
                <c:pt idx="64">
                  <c:v>6.8750202458029265E-3</c:v>
                </c:pt>
                <c:pt idx="65">
                  <c:v>6.9830137996621348E-3</c:v>
                </c:pt>
                <c:pt idx="66">
                  <c:v>7.0910291035213404E-3</c:v>
                </c:pt>
                <c:pt idx="67">
                  <c:v>7.1990661573805483E-3</c:v>
                </c:pt>
                <c:pt idx="68">
                  <c:v>7.3071249612397552E-3</c:v>
                </c:pt>
                <c:pt idx="69">
                  <c:v>7.4152055150989637E-3</c:v>
                </c:pt>
                <c:pt idx="70">
                  <c:v>7.5233078189581729E-3</c:v>
                </c:pt>
                <c:pt idx="71">
                  <c:v>7.6314318728173784E-3</c:v>
                </c:pt>
                <c:pt idx="72">
                  <c:v>7.7395776766765855E-3</c:v>
                </c:pt>
                <c:pt idx="73">
                  <c:v>7.8477452305357933E-3</c:v>
                </c:pt>
                <c:pt idx="74">
                  <c:v>7.9559345343950018E-3</c:v>
                </c:pt>
                <c:pt idx="75">
                  <c:v>8.0641455882542075E-3</c:v>
                </c:pt>
                <c:pt idx="76">
                  <c:v>8.1723783921134156E-3</c:v>
                </c:pt>
                <c:pt idx="77">
                  <c:v>8.2806329459726227E-3</c:v>
                </c:pt>
                <c:pt idx="78">
                  <c:v>8.3889092498318323E-3</c:v>
                </c:pt>
                <c:pt idx="79">
                  <c:v>8.4972073036910407E-3</c:v>
                </c:pt>
                <c:pt idx="80">
                  <c:v>8.6055271075502447E-3</c:v>
                </c:pt>
                <c:pt idx="81">
                  <c:v>8.7138686614094546E-3</c:v>
                </c:pt>
                <c:pt idx="82">
                  <c:v>8.8222319652686617E-3</c:v>
                </c:pt>
                <c:pt idx="83">
                  <c:v>8.9306170191278695E-3</c:v>
                </c:pt>
                <c:pt idx="84">
                  <c:v>9.039023822987078E-3</c:v>
                </c:pt>
                <c:pt idx="85">
                  <c:v>9.1474523768462854E-3</c:v>
                </c:pt>
                <c:pt idx="86">
                  <c:v>9.2559026807054936E-3</c:v>
                </c:pt>
                <c:pt idx="87">
                  <c:v>9.3643747345647007E-3</c:v>
                </c:pt>
                <c:pt idx="88">
                  <c:v>9.4728685384239068E-3</c:v>
                </c:pt>
                <c:pt idx="89">
                  <c:v>9.5813840922831153E-3</c:v>
                </c:pt>
                <c:pt idx="90">
                  <c:v>9.6899213961423245E-3</c:v>
                </c:pt>
                <c:pt idx="91">
                  <c:v>9.7984804500015309E-3</c:v>
                </c:pt>
                <c:pt idx="92">
                  <c:v>9.9070612538607397E-3</c:v>
                </c:pt>
                <c:pt idx="93">
                  <c:v>1.0015663807719948E-2</c:v>
                </c:pt>
                <c:pt idx="94">
                  <c:v>1.0124288111579154E-2</c:v>
                </c:pt>
                <c:pt idx="95">
                  <c:v>1.0232934165438362E-2</c:v>
                </c:pt>
                <c:pt idx="96">
                  <c:v>1.0341601969297566E-2</c:v>
                </c:pt>
                <c:pt idx="97">
                  <c:v>1.0450291523156775E-2</c:v>
                </c:pt>
                <c:pt idx="98">
                  <c:v>1.0559002827015983E-2</c:v>
                </c:pt>
                <c:pt idx="99">
                  <c:v>1.0667735880875192E-2</c:v>
                </c:pt>
                <c:pt idx="100">
                  <c:v>1.0776490684734397E-2</c:v>
                </c:pt>
                <c:pt idx="101">
                  <c:v>1.0885267238593605E-2</c:v>
                </c:pt>
                <c:pt idx="102">
                  <c:v>1.0994065542452814E-2</c:v>
                </c:pt>
                <c:pt idx="103">
                  <c:v>1.1102885596312022E-2</c:v>
                </c:pt>
                <c:pt idx="104">
                  <c:v>1.1211727400171229E-2</c:v>
                </c:pt>
                <c:pt idx="105">
                  <c:v>1.1320590954030438E-2</c:v>
                </c:pt>
                <c:pt idx="106">
                  <c:v>1.1429476257889645E-2</c:v>
                </c:pt>
                <c:pt idx="107">
                  <c:v>1.1538383311748852E-2</c:v>
                </c:pt>
                <c:pt idx="108">
                  <c:v>1.164731211560806E-2</c:v>
                </c:pt>
                <c:pt idx="109">
                  <c:v>1.1756262669467266E-2</c:v>
                </c:pt>
                <c:pt idx="110">
                  <c:v>1.1865234973326476E-2</c:v>
                </c:pt>
                <c:pt idx="111">
                  <c:v>1.1974229027185682E-2</c:v>
                </c:pt>
                <c:pt idx="112">
                  <c:v>1.2083244831044891E-2</c:v>
                </c:pt>
                <c:pt idx="113">
                  <c:v>1.2192282384904097E-2</c:v>
                </c:pt>
                <c:pt idx="114">
                  <c:v>1.2301341688763307E-2</c:v>
                </c:pt>
                <c:pt idx="115">
                  <c:v>1.2410422742622515E-2</c:v>
                </c:pt>
                <c:pt idx="116">
                  <c:v>1.2519525546481719E-2</c:v>
                </c:pt>
                <c:pt idx="117">
                  <c:v>1.2628650100340928E-2</c:v>
                </c:pt>
                <c:pt idx="118">
                  <c:v>1.2737796404200138E-2</c:v>
                </c:pt>
                <c:pt idx="119">
                  <c:v>1.2846964458059341E-2</c:v>
                </c:pt>
                <c:pt idx="120">
                  <c:v>1.2956154261918547E-2</c:v>
                </c:pt>
                <c:pt idx="121">
                  <c:v>1.3065365815777759E-2</c:v>
                </c:pt>
                <c:pt idx="122">
                  <c:v>1.3174599119636964E-2</c:v>
                </c:pt>
                <c:pt idx="123">
                  <c:v>1.3283854173496172E-2</c:v>
                </c:pt>
                <c:pt idx="124">
                  <c:v>1.3393130977355382E-2</c:v>
                </c:pt>
                <c:pt idx="125">
                  <c:v>1.3502429531214589E-2</c:v>
                </c:pt>
                <c:pt idx="126">
                  <c:v>1.3611749835073796E-2</c:v>
                </c:pt>
                <c:pt idx="127">
                  <c:v>1.3721091888933005E-2</c:v>
                </c:pt>
                <c:pt idx="128">
                  <c:v>1.3830455692792213E-2</c:v>
                </c:pt>
                <c:pt idx="129">
                  <c:v>1.3939841246651419E-2</c:v>
                </c:pt>
                <c:pt idx="130">
                  <c:v>1.404924855051063E-2</c:v>
                </c:pt>
                <c:pt idx="131">
                  <c:v>1.4158677604369837E-2</c:v>
                </c:pt>
                <c:pt idx="132">
                  <c:v>1.4268128408229041E-2</c:v>
                </c:pt>
                <c:pt idx="133">
                  <c:v>1.4377600962088248E-2</c:v>
                </c:pt>
                <c:pt idx="134">
                  <c:v>1.4487095265947457E-2</c:v>
                </c:pt>
                <c:pt idx="135">
                  <c:v>1.4596611319806664E-2</c:v>
                </c:pt>
                <c:pt idx="136">
                  <c:v>1.4706149123665871E-2</c:v>
                </c:pt>
                <c:pt idx="137">
                  <c:v>1.4815708677525082E-2</c:v>
                </c:pt>
                <c:pt idx="138">
                  <c:v>1.4925289981384288E-2</c:v>
                </c:pt>
                <c:pt idx="139">
                  <c:v>1.5034893035243494E-2</c:v>
                </c:pt>
                <c:pt idx="140">
                  <c:v>1.5144517839102705E-2</c:v>
                </c:pt>
                <c:pt idx="141">
                  <c:v>1.5254164392961907E-2</c:v>
                </c:pt>
                <c:pt idx="142">
                  <c:v>1.5363832696821117E-2</c:v>
                </c:pt>
                <c:pt idx="143">
                  <c:v>1.5473522750680323E-2</c:v>
                </c:pt>
                <c:pt idx="144">
                  <c:v>1.558323455453953E-2</c:v>
                </c:pt>
                <c:pt idx="145">
                  <c:v>1.5692968108398739E-2</c:v>
                </c:pt>
                <c:pt idx="146">
                  <c:v>1.5802723412257948E-2</c:v>
                </c:pt>
                <c:pt idx="147">
                  <c:v>1.5912500466117155E-2</c:v>
                </c:pt>
                <c:pt idx="148">
                  <c:v>1.6022299269976361E-2</c:v>
                </c:pt>
                <c:pt idx="149">
                  <c:v>1.613211982383557E-2</c:v>
                </c:pt>
                <c:pt idx="150">
                  <c:v>1.6241962127694777E-2</c:v>
                </c:pt>
              </c:numCache>
            </c:numRef>
          </c:yVal>
          <c:smooth val="1"/>
          <c:extLst>
            <c:ext xmlns:c16="http://schemas.microsoft.com/office/drawing/2014/chart" uri="{C3380CC4-5D6E-409C-BE32-E72D297353CC}">
              <c16:uniqueId val="{00000001-5C51-44E9-BDFA-CA4E77C3B153}"/>
            </c:ext>
          </c:extLst>
        </c:ser>
        <c:ser>
          <c:idx val="3"/>
          <c:order val="2"/>
          <c:tx>
            <c:v>RS</c:v>
          </c:tx>
          <c:spPr>
            <a:ln>
              <a:solidFill>
                <a:schemeClr val="accent5">
                  <a:lumMod val="75000"/>
                </a:schemeClr>
              </a:solidFill>
              <a:prstDash val="lgDashDot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Eff_vs_IOUT!$BU$7:$BU$157</c:f>
              <c:numCache>
                <c:formatCode>General</c:formatCode>
                <c:ptCount val="151"/>
                <c:pt idx="0">
                  <c:v>0</c:v>
                </c:pt>
                <c:pt idx="1">
                  <c:v>2.3312645545853737E-7</c:v>
                </c:pt>
                <c:pt idx="2">
                  <c:v>6.5938119011486142E-7</c:v>
                </c:pt>
                <c:pt idx="3">
                  <c:v>1.2113605963278881E-6</c:v>
                </c:pt>
                <c:pt idx="4">
                  <c:v>1.8650116436682988E-6</c:v>
                </c:pt>
                <c:pt idx="5">
                  <c:v>2.6064330087943323E-6</c:v>
                </c:pt>
                <c:pt idx="6">
                  <c:v>3.4262451685025187E-6</c:v>
                </c:pt>
                <c:pt idx="7">
                  <c:v>4.3175623762128643E-6</c:v>
                </c:pt>
                <c:pt idx="8">
                  <c:v>5.2750495209188914E-6</c:v>
                </c:pt>
                <c:pt idx="9">
                  <c:v>6.2944142973805057E-6</c:v>
                </c:pt>
                <c:pt idx="10">
                  <c:v>7.3721058209077132E-6</c:v>
                </c:pt>
                <c:pt idx="11">
                  <c:v>8.5051227960761595E-6</c:v>
                </c:pt>
                <c:pt idx="12">
                  <c:v>9.6908847706231065E-6</c:v>
                </c:pt>
                <c:pt idx="13">
                  <c:v>1.0927142054698068E-5</c:v>
                </c:pt>
                <c:pt idx="14">
                  <c:v>1.2211910537664075E-5</c:v>
                </c:pt>
                <c:pt idx="15">
                  <c:v>1.3543423193269199E-5</c:v>
                </c:pt>
                <c:pt idx="16">
                  <c:v>1.4920093149346392E-5</c:v>
                </c:pt>
                <c:pt idx="17">
                  <c:v>1.6340484999683805E-5</c:v>
                </c:pt>
                <c:pt idx="18">
                  <c:v>1.7803292133101257E-5</c:v>
                </c:pt>
                <c:pt idx="19">
                  <c:v>1.9307318547782407E-5</c:v>
                </c:pt>
                <c:pt idx="20">
                  <c:v>2.0851464070354648E-5</c:v>
                </c:pt>
                <c:pt idx="21">
                  <c:v>2.2434712201345454E-5</c:v>
                </c:pt>
                <c:pt idx="22">
                  <c:v>2.4056120015718959E-5</c:v>
                </c:pt>
                <c:pt idx="23">
                  <c:v>2.5714809692142867E-5</c:v>
                </c:pt>
                <c:pt idx="24">
                  <c:v>2.7409961348020149E-5</c:v>
                </c:pt>
                <c:pt idx="25">
                  <c:v>2.9140806932317165E-5</c:v>
                </c:pt>
                <c:pt idx="26">
                  <c:v>3.0906624983462815E-5</c:v>
                </c:pt>
                <c:pt idx="27">
                  <c:v>3.2706736100852989E-5</c:v>
                </c:pt>
                <c:pt idx="28">
                  <c:v>3.4540499009702915E-5</c:v>
                </c:pt>
                <c:pt idx="29">
                  <c:v>3.6407307122872407E-5</c:v>
                </c:pt>
                <c:pt idx="30">
                  <c:v>3.8306585521759288E-5</c:v>
                </c:pt>
                <c:pt idx="31">
                  <c:v>4.0237788292782661E-5</c:v>
                </c:pt>
                <c:pt idx="32">
                  <c:v>4.2200396167351131E-5</c:v>
                </c:pt>
                <c:pt idx="33">
                  <c:v>4.4193914422248542E-5</c:v>
                </c:pt>
                <c:pt idx="34">
                  <c:v>4.6217871004613908E-5</c:v>
                </c:pt>
                <c:pt idx="35">
                  <c:v>4.82718148515374E-5</c:v>
                </c:pt>
                <c:pt idx="36">
                  <c:v>5.035531437904406E-5</c:v>
                </c:pt>
                <c:pt idx="37">
                  <c:v>5.246795611912382E-5</c:v>
                </c:pt>
                <c:pt idx="38">
                  <c:v>5.4609343486662973E-5</c:v>
                </c:pt>
                <c:pt idx="39">
                  <c:v>5.6779095660778886E-5</c:v>
                </c:pt>
                <c:pt idx="40">
                  <c:v>5.8976846567261712E-5</c:v>
                </c:pt>
                <c:pt idx="41">
                  <c:v>6.120224395066818E-5</c:v>
                </c:pt>
                <c:pt idx="42">
                  <c:v>6.3454948526159817E-5</c:v>
                </c:pt>
                <c:pt idx="43">
                  <c:v>6.5734633202484862E-5</c:v>
                </c:pt>
                <c:pt idx="44">
                  <c:v>6.8040982368609262E-5</c:v>
                </c:pt>
                <c:pt idx="45">
                  <c:v>7.0373691237446973E-5</c:v>
                </c:pt>
                <c:pt idx="46">
                  <c:v>7.2732465240943163E-5</c:v>
                </c:pt>
                <c:pt idx="47">
                  <c:v>7.5117019471456991E-5</c:v>
                </c:pt>
                <c:pt idx="48">
                  <c:v>7.7527078164984839E-5</c:v>
                </c:pt>
                <c:pt idx="49">
                  <c:v>7.9962468537103637E-5</c:v>
                </c:pt>
                <c:pt idx="50">
                  <c:v>8.243746853710363E-5</c:v>
                </c:pt>
                <c:pt idx="51">
                  <c:v>8.4962468537103596E-5</c:v>
                </c:pt>
                <c:pt idx="52">
                  <c:v>8.7537468537103605E-5</c:v>
                </c:pt>
                <c:pt idx="53">
                  <c:v>9.0162468537103628E-5</c:v>
                </c:pt>
                <c:pt idx="54">
                  <c:v>9.2837468537103652E-5</c:v>
                </c:pt>
                <c:pt idx="55">
                  <c:v>9.556246853710361E-5</c:v>
                </c:pt>
                <c:pt idx="56">
                  <c:v>9.8337468537103623E-5</c:v>
                </c:pt>
                <c:pt idx="57">
                  <c:v>1.0116246853710364E-4</c:v>
                </c:pt>
                <c:pt idx="58">
                  <c:v>1.0403746853710359E-4</c:v>
                </c:pt>
                <c:pt idx="59">
                  <c:v>1.0696246853710359E-4</c:v>
                </c:pt>
                <c:pt idx="60">
                  <c:v>1.0993746853710365E-4</c:v>
                </c:pt>
                <c:pt idx="61">
                  <c:v>1.1296246853710356E-4</c:v>
                </c:pt>
                <c:pt idx="62">
                  <c:v>1.1603746853710354E-4</c:v>
                </c:pt>
                <c:pt idx="63">
                  <c:v>1.1916246853710357E-4</c:v>
                </c:pt>
                <c:pt idx="64">
                  <c:v>1.223374685371036E-4</c:v>
                </c:pt>
                <c:pt idx="65">
                  <c:v>1.2556246853710363E-4</c:v>
                </c:pt>
                <c:pt idx="66">
                  <c:v>1.2883746853710367E-4</c:v>
                </c:pt>
                <c:pt idx="67">
                  <c:v>1.3216246853710361E-4</c:v>
                </c:pt>
                <c:pt idx="68">
                  <c:v>1.3553746853710362E-4</c:v>
                </c:pt>
                <c:pt idx="69">
                  <c:v>1.3896246853710363E-4</c:v>
                </c:pt>
                <c:pt idx="70">
                  <c:v>1.4243746853710362E-4</c:v>
                </c:pt>
                <c:pt idx="71">
                  <c:v>1.4596246853710359E-4</c:v>
                </c:pt>
                <c:pt idx="72">
                  <c:v>1.4953746853710358E-4</c:v>
                </c:pt>
                <c:pt idx="73">
                  <c:v>1.531624685371036E-4</c:v>
                </c:pt>
                <c:pt idx="74">
                  <c:v>1.5683746853710357E-4</c:v>
                </c:pt>
                <c:pt idx="75">
                  <c:v>1.6056246853710356E-4</c:v>
                </c:pt>
                <c:pt idx="76">
                  <c:v>1.6433746853710351E-4</c:v>
                </c:pt>
                <c:pt idx="77">
                  <c:v>1.6816246853710359E-4</c:v>
                </c:pt>
                <c:pt idx="78">
                  <c:v>1.7203746853710361E-4</c:v>
                </c:pt>
                <c:pt idx="79">
                  <c:v>1.7596246853710356E-4</c:v>
                </c:pt>
                <c:pt idx="80">
                  <c:v>1.7993746853710361E-4</c:v>
                </c:pt>
                <c:pt idx="81">
                  <c:v>1.8396246853710359E-4</c:v>
                </c:pt>
                <c:pt idx="82">
                  <c:v>1.8803746853710357E-4</c:v>
                </c:pt>
                <c:pt idx="83">
                  <c:v>1.9216246853710365E-4</c:v>
                </c:pt>
                <c:pt idx="84">
                  <c:v>1.9633746853710361E-4</c:v>
                </c:pt>
                <c:pt idx="85">
                  <c:v>2.0056246853710356E-4</c:v>
                </c:pt>
                <c:pt idx="86">
                  <c:v>2.0483746853710365E-4</c:v>
                </c:pt>
                <c:pt idx="87">
                  <c:v>2.0916246853710363E-4</c:v>
                </c:pt>
                <c:pt idx="88">
                  <c:v>2.1353746853710362E-4</c:v>
                </c:pt>
                <c:pt idx="89">
                  <c:v>2.1796246853710358E-4</c:v>
                </c:pt>
                <c:pt idx="90">
                  <c:v>2.2243746853710367E-4</c:v>
                </c:pt>
                <c:pt idx="91">
                  <c:v>2.2696246853710363E-4</c:v>
                </c:pt>
                <c:pt idx="92">
                  <c:v>2.3153746853710362E-4</c:v>
                </c:pt>
                <c:pt idx="93">
                  <c:v>2.3616246853710364E-4</c:v>
                </c:pt>
                <c:pt idx="94">
                  <c:v>2.4083746853710371E-4</c:v>
                </c:pt>
                <c:pt idx="95">
                  <c:v>2.4556246853710365E-4</c:v>
                </c:pt>
                <c:pt idx="96">
                  <c:v>2.5033746853710354E-4</c:v>
                </c:pt>
                <c:pt idx="97">
                  <c:v>2.551624685371035E-4</c:v>
                </c:pt>
                <c:pt idx="98">
                  <c:v>2.6003746853710356E-4</c:v>
                </c:pt>
                <c:pt idx="99">
                  <c:v>2.6496246853710358E-4</c:v>
                </c:pt>
                <c:pt idx="100">
                  <c:v>2.6993746853710358E-4</c:v>
                </c:pt>
                <c:pt idx="101">
                  <c:v>2.7496246853710361E-4</c:v>
                </c:pt>
                <c:pt idx="102">
                  <c:v>2.8003746853710361E-4</c:v>
                </c:pt>
                <c:pt idx="103">
                  <c:v>2.8516246853710364E-4</c:v>
                </c:pt>
                <c:pt idx="104">
                  <c:v>2.9033746853710359E-4</c:v>
                </c:pt>
                <c:pt idx="105">
                  <c:v>2.9556246853710357E-4</c:v>
                </c:pt>
                <c:pt idx="106">
                  <c:v>3.0083746853710357E-4</c:v>
                </c:pt>
                <c:pt idx="107">
                  <c:v>3.0616246853710361E-4</c:v>
                </c:pt>
                <c:pt idx="108">
                  <c:v>3.1153746853710372E-4</c:v>
                </c:pt>
                <c:pt idx="109">
                  <c:v>3.1696246853710376E-4</c:v>
                </c:pt>
                <c:pt idx="110">
                  <c:v>3.2243746853710355E-4</c:v>
                </c:pt>
                <c:pt idx="111">
                  <c:v>3.279624685371037E-4</c:v>
                </c:pt>
                <c:pt idx="112">
                  <c:v>3.3353746853710355E-4</c:v>
                </c:pt>
                <c:pt idx="113">
                  <c:v>3.391624685371037E-4</c:v>
                </c:pt>
                <c:pt idx="114">
                  <c:v>3.4483746853710372E-4</c:v>
                </c:pt>
                <c:pt idx="115">
                  <c:v>3.5056246853710355E-4</c:v>
                </c:pt>
                <c:pt idx="116">
                  <c:v>3.5633746853710362E-4</c:v>
                </c:pt>
                <c:pt idx="117">
                  <c:v>3.6216246853710361E-4</c:v>
                </c:pt>
                <c:pt idx="118">
                  <c:v>3.6803746853710358E-4</c:v>
                </c:pt>
                <c:pt idx="119">
                  <c:v>3.7396246853710341E-4</c:v>
                </c:pt>
                <c:pt idx="120">
                  <c:v>3.7993746853710354E-4</c:v>
                </c:pt>
                <c:pt idx="121">
                  <c:v>3.8596246853710354E-4</c:v>
                </c:pt>
                <c:pt idx="122">
                  <c:v>3.9203746853710351E-4</c:v>
                </c:pt>
                <c:pt idx="123">
                  <c:v>3.9816246853710362E-4</c:v>
                </c:pt>
                <c:pt idx="124">
                  <c:v>4.0433746853710359E-4</c:v>
                </c:pt>
                <c:pt idx="125">
                  <c:v>4.1056246853710381E-4</c:v>
                </c:pt>
                <c:pt idx="126">
                  <c:v>4.1683746853710346E-4</c:v>
                </c:pt>
                <c:pt idx="127">
                  <c:v>4.2316246853710341E-4</c:v>
                </c:pt>
                <c:pt idx="128">
                  <c:v>4.2953746853710366E-4</c:v>
                </c:pt>
                <c:pt idx="129">
                  <c:v>4.3596246853710345E-4</c:v>
                </c:pt>
                <c:pt idx="130">
                  <c:v>4.4243746853710349E-4</c:v>
                </c:pt>
                <c:pt idx="131">
                  <c:v>4.4896246853710366E-4</c:v>
                </c:pt>
                <c:pt idx="132">
                  <c:v>4.5553746853710375E-4</c:v>
                </c:pt>
                <c:pt idx="133">
                  <c:v>4.6216246853710371E-4</c:v>
                </c:pt>
                <c:pt idx="134">
                  <c:v>4.688374685371037E-4</c:v>
                </c:pt>
                <c:pt idx="135">
                  <c:v>4.7556246853710371E-4</c:v>
                </c:pt>
                <c:pt idx="136">
                  <c:v>4.823374685371037E-4</c:v>
                </c:pt>
                <c:pt idx="137">
                  <c:v>4.8916246853710355E-4</c:v>
                </c:pt>
                <c:pt idx="138">
                  <c:v>4.960374685371036E-4</c:v>
                </c:pt>
                <c:pt idx="139">
                  <c:v>5.0296246853710367E-4</c:v>
                </c:pt>
                <c:pt idx="140">
                  <c:v>5.0993746853710378E-4</c:v>
                </c:pt>
                <c:pt idx="141">
                  <c:v>5.1696246853710336E-4</c:v>
                </c:pt>
                <c:pt idx="142">
                  <c:v>5.240374685371033E-4</c:v>
                </c:pt>
                <c:pt idx="143">
                  <c:v>5.3116246853710349E-4</c:v>
                </c:pt>
                <c:pt idx="144">
                  <c:v>5.383374685371036E-4</c:v>
                </c:pt>
                <c:pt idx="145">
                  <c:v>5.4556246853710362E-4</c:v>
                </c:pt>
                <c:pt idx="146">
                  <c:v>5.5283746853710325E-4</c:v>
                </c:pt>
                <c:pt idx="147">
                  <c:v>5.6016246853710355E-4</c:v>
                </c:pt>
                <c:pt idx="148">
                  <c:v>5.6753746853710344E-4</c:v>
                </c:pt>
                <c:pt idx="149">
                  <c:v>5.7496246853710369E-4</c:v>
                </c:pt>
                <c:pt idx="150">
                  <c:v>5.8243746853710375E-4</c:v>
                </c:pt>
              </c:numCache>
            </c:numRef>
          </c:yVal>
          <c:smooth val="1"/>
          <c:extLst>
            <c:ext xmlns:c16="http://schemas.microsoft.com/office/drawing/2014/chart" uri="{C3380CC4-5D6E-409C-BE32-E72D297353CC}">
              <c16:uniqueId val="{00000002-5C51-44E9-BDFA-CA4E77C3B153}"/>
            </c:ext>
          </c:extLst>
        </c:ser>
        <c:ser>
          <c:idx val="2"/>
          <c:order val="3"/>
          <c:tx>
            <c:v>D1</c:v>
          </c:tx>
          <c:spPr>
            <a:ln>
              <a:solidFill>
                <a:schemeClr val="bg2">
                  <a:lumMod val="50000"/>
                </a:schemeClr>
              </a:solidFill>
              <a:prstDash val="sysDash"/>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Eff_vs_IOUT!$AY$8:$AY$157</c:f>
              <c:numCache>
                <c:formatCode>General</c:formatCode>
                <c:ptCount val="150"/>
                <c:pt idx="0">
                  <c:v>6.8348000000000006E-2</c:v>
                </c:pt>
                <c:pt idx="1">
                  <c:v>6.8547999999999998E-2</c:v>
                </c:pt>
                <c:pt idx="2">
                  <c:v>6.8748000000000004E-2</c:v>
                </c:pt>
                <c:pt idx="3">
                  <c:v>6.8947999999999995E-2</c:v>
                </c:pt>
                <c:pt idx="4">
                  <c:v>6.9148000000000001E-2</c:v>
                </c:pt>
                <c:pt idx="5">
                  <c:v>6.9348000000000007E-2</c:v>
                </c:pt>
                <c:pt idx="6">
                  <c:v>6.9547999999999999E-2</c:v>
                </c:pt>
                <c:pt idx="7">
                  <c:v>6.9748000000000004E-2</c:v>
                </c:pt>
                <c:pt idx="8">
                  <c:v>6.9947999999999996E-2</c:v>
                </c:pt>
                <c:pt idx="9">
                  <c:v>7.0148000000000002E-2</c:v>
                </c:pt>
                <c:pt idx="10">
                  <c:v>7.0347999999999994E-2</c:v>
                </c:pt>
                <c:pt idx="11">
                  <c:v>7.0548E-2</c:v>
                </c:pt>
                <c:pt idx="12">
                  <c:v>7.0748000000000005E-2</c:v>
                </c:pt>
                <c:pt idx="13">
                  <c:v>7.0947999999999997E-2</c:v>
                </c:pt>
                <c:pt idx="14">
                  <c:v>7.1148000000000003E-2</c:v>
                </c:pt>
                <c:pt idx="15">
                  <c:v>7.1347999999999995E-2</c:v>
                </c:pt>
                <c:pt idx="16">
                  <c:v>7.1548E-2</c:v>
                </c:pt>
                <c:pt idx="17">
                  <c:v>7.1748000000000006E-2</c:v>
                </c:pt>
                <c:pt idx="18">
                  <c:v>7.1947999999999998E-2</c:v>
                </c:pt>
                <c:pt idx="19">
                  <c:v>7.2148000000000004E-2</c:v>
                </c:pt>
                <c:pt idx="20">
                  <c:v>7.2347999999999996E-2</c:v>
                </c:pt>
                <c:pt idx="21">
                  <c:v>7.2548000000000001E-2</c:v>
                </c:pt>
                <c:pt idx="22">
                  <c:v>7.2748000000000007E-2</c:v>
                </c:pt>
                <c:pt idx="23">
                  <c:v>7.2947999999999999E-2</c:v>
                </c:pt>
                <c:pt idx="24">
                  <c:v>7.3148000000000005E-2</c:v>
                </c:pt>
                <c:pt idx="25">
                  <c:v>7.3347999999999997E-2</c:v>
                </c:pt>
                <c:pt idx="26">
                  <c:v>7.3548000000000002E-2</c:v>
                </c:pt>
                <c:pt idx="27">
                  <c:v>7.3747999999999994E-2</c:v>
                </c:pt>
                <c:pt idx="28">
                  <c:v>7.3948E-2</c:v>
                </c:pt>
                <c:pt idx="29">
                  <c:v>7.4148000000000006E-2</c:v>
                </c:pt>
                <c:pt idx="30">
                  <c:v>7.4347999999999997E-2</c:v>
                </c:pt>
                <c:pt idx="31">
                  <c:v>7.4548000000000003E-2</c:v>
                </c:pt>
                <c:pt idx="32">
                  <c:v>7.4747999999999995E-2</c:v>
                </c:pt>
                <c:pt idx="33">
                  <c:v>7.4948000000000001E-2</c:v>
                </c:pt>
                <c:pt idx="34">
                  <c:v>7.5148000000000006E-2</c:v>
                </c:pt>
                <c:pt idx="35">
                  <c:v>7.5347999999999998E-2</c:v>
                </c:pt>
                <c:pt idx="36">
                  <c:v>7.5548000000000004E-2</c:v>
                </c:pt>
                <c:pt idx="37">
                  <c:v>7.5747999999999996E-2</c:v>
                </c:pt>
                <c:pt idx="38">
                  <c:v>7.5948000000000002E-2</c:v>
                </c:pt>
                <c:pt idx="39">
                  <c:v>7.6147999999999993E-2</c:v>
                </c:pt>
                <c:pt idx="40">
                  <c:v>7.6347999999999999E-2</c:v>
                </c:pt>
                <c:pt idx="41">
                  <c:v>7.6548000000000005E-2</c:v>
                </c:pt>
                <c:pt idx="42">
                  <c:v>7.6747999999999997E-2</c:v>
                </c:pt>
                <c:pt idx="43">
                  <c:v>7.6948000000000003E-2</c:v>
                </c:pt>
                <c:pt idx="44">
                  <c:v>7.7147999999999994E-2</c:v>
                </c:pt>
                <c:pt idx="45">
                  <c:v>7.7348E-2</c:v>
                </c:pt>
                <c:pt idx="46">
                  <c:v>7.7548000000000006E-2</c:v>
                </c:pt>
                <c:pt idx="47">
                  <c:v>7.7747999999999998E-2</c:v>
                </c:pt>
                <c:pt idx="48">
                  <c:v>7.7948000000000003E-2</c:v>
                </c:pt>
                <c:pt idx="49">
                  <c:v>7.8147999999999995E-2</c:v>
                </c:pt>
                <c:pt idx="50">
                  <c:v>7.8348000000000001E-2</c:v>
                </c:pt>
                <c:pt idx="51">
                  <c:v>7.8548000000000007E-2</c:v>
                </c:pt>
                <c:pt idx="52">
                  <c:v>7.8747999999999999E-2</c:v>
                </c:pt>
                <c:pt idx="53">
                  <c:v>7.8948000000000004E-2</c:v>
                </c:pt>
                <c:pt idx="54">
                  <c:v>7.9147999999999996E-2</c:v>
                </c:pt>
                <c:pt idx="55">
                  <c:v>7.9348000000000002E-2</c:v>
                </c:pt>
                <c:pt idx="56">
                  <c:v>7.9548000000000008E-2</c:v>
                </c:pt>
                <c:pt idx="57">
                  <c:v>7.9747999999999999E-2</c:v>
                </c:pt>
                <c:pt idx="58">
                  <c:v>7.9948000000000005E-2</c:v>
                </c:pt>
                <c:pt idx="59">
                  <c:v>8.0147999999999997E-2</c:v>
                </c:pt>
                <c:pt idx="60">
                  <c:v>8.0348000000000003E-2</c:v>
                </c:pt>
                <c:pt idx="61">
                  <c:v>8.0547999999999995E-2</c:v>
                </c:pt>
                <c:pt idx="62">
                  <c:v>8.0748E-2</c:v>
                </c:pt>
                <c:pt idx="63">
                  <c:v>8.0947999999999992E-2</c:v>
                </c:pt>
                <c:pt idx="64">
                  <c:v>8.1147999999999998E-2</c:v>
                </c:pt>
                <c:pt idx="65">
                  <c:v>8.1348000000000004E-2</c:v>
                </c:pt>
                <c:pt idx="66">
                  <c:v>8.1547999999999995E-2</c:v>
                </c:pt>
                <c:pt idx="67">
                  <c:v>8.1748000000000001E-2</c:v>
                </c:pt>
                <c:pt idx="68">
                  <c:v>8.1948000000000007E-2</c:v>
                </c:pt>
                <c:pt idx="69">
                  <c:v>8.2147999999999999E-2</c:v>
                </c:pt>
                <c:pt idx="70">
                  <c:v>8.2348000000000005E-2</c:v>
                </c:pt>
                <c:pt idx="71">
                  <c:v>8.2547999999999996E-2</c:v>
                </c:pt>
                <c:pt idx="72">
                  <c:v>8.2748000000000002E-2</c:v>
                </c:pt>
                <c:pt idx="73">
                  <c:v>8.2947999999999994E-2</c:v>
                </c:pt>
                <c:pt idx="74">
                  <c:v>8.3148E-2</c:v>
                </c:pt>
                <c:pt idx="75">
                  <c:v>8.3348000000000005E-2</c:v>
                </c:pt>
                <c:pt idx="76">
                  <c:v>8.3547999999999997E-2</c:v>
                </c:pt>
                <c:pt idx="77">
                  <c:v>8.3748000000000003E-2</c:v>
                </c:pt>
                <c:pt idx="78">
                  <c:v>8.3947999999999995E-2</c:v>
                </c:pt>
                <c:pt idx="79">
                  <c:v>8.4148000000000001E-2</c:v>
                </c:pt>
                <c:pt idx="80">
                  <c:v>8.4348000000000006E-2</c:v>
                </c:pt>
                <c:pt idx="81">
                  <c:v>8.4547999999999998E-2</c:v>
                </c:pt>
                <c:pt idx="82">
                  <c:v>8.4748000000000004E-2</c:v>
                </c:pt>
                <c:pt idx="83">
                  <c:v>8.4947999999999996E-2</c:v>
                </c:pt>
                <c:pt idx="84">
                  <c:v>8.5148000000000001E-2</c:v>
                </c:pt>
                <c:pt idx="85">
                  <c:v>8.5348000000000007E-2</c:v>
                </c:pt>
                <c:pt idx="86">
                  <c:v>8.5547999999999999E-2</c:v>
                </c:pt>
                <c:pt idx="87">
                  <c:v>8.5747999999999991E-2</c:v>
                </c:pt>
                <c:pt idx="88">
                  <c:v>8.5947999999999997E-2</c:v>
                </c:pt>
                <c:pt idx="89">
                  <c:v>8.6148000000000002E-2</c:v>
                </c:pt>
                <c:pt idx="90">
                  <c:v>8.6348000000000008E-2</c:v>
                </c:pt>
                <c:pt idx="91">
                  <c:v>8.6548E-2</c:v>
                </c:pt>
                <c:pt idx="92">
                  <c:v>8.6748000000000006E-2</c:v>
                </c:pt>
                <c:pt idx="93">
                  <c:v>8.6947999999999998E-2</c:v>
                </c:pt>
                <c:pt idx="94">
                  <c:v>8.7148000000000003E-2</c:v>
                </c:pt>
                <c:pt idx="95">
                  <c:v>8.7347999999999995E-2</c:v>
                </c:pt>
                <c:pt idx="96">
                  <c:v>8.7548000000000001E-2</c:v>
                </c:pt>
                <c:pt idx="97">
                  <c:v>8.7747999999999993E-2</c:v>
                </c:pt>
                <c:pt idx="98">
                  <c:v>8.7947999999999998E-2</c:v>
                </c:pt>
                <c:pt idx="99">
                  <c:v>8.8148000000000004E-2</c:v>
                </c:pt>
                <c:pt idx="100">
                  <c:v>8.8347999999999996E-2</c:v>
                </c:pt>
                <c:pt idx="101">
                  <c:v>8.8548000000000002E-2</c:v>
                </c:pt>
                <c:pt idx="102">
                  <c:v>8.8747999999999994E-2</c:v>
                </c:pt>
                <c:pt idx="103">
                  <c:v>8.8947999999999999E-2</c:v>
                </c:pt>
                <c:pt idx="104">
                  <c:v>8.9148000000000005E-2</c:v>
                </c:pt>
                <c:pt idx="105">
                  <c:v>8.9347999999999997E-2</c:v>
                </c:pt>
                <c:pt idx="106">
                  <c:v>8.9548000000000003E-2</c:v>
                </c:pt>
                <c:pt idx="107">
                  <c:v>8.9747999999999994E-2</c:v>
                </c:pt>
                <c:pt idx="108">
                  <c:v>8.9948E-2</c:v>
                </c:pt>
                <c:pt idx="109">
                  <c:v>9.0148000000000006E-2</c:v>
                </c:pt>
                <c:pt idx="110">
                  <c:v>9.0347999999999998E-2</c:v>
                </c:pt>
                <c:pt idx="111">
                  <c:v>9.0548000000000003E-2</c:v>
                </c:pt>
                <c:pt idx="112">
                  <c:v>9.0747999999999995E-2</c:v>
                </c:pt>
                <c:pt idx="113">
                  <c:v>9.0948000000000001E-2</c:v>
                </c:pt>
                <c:pt idx="114">
                  <c:v>9.1148000000000007E-2</c:v>
                </c:pt>
                <c:pt idx="115">
                  <c:v>9.1347999999999999E-2</c:v>
                </c:pt>
                <c:pt idx="116">
                  <c:v>9.1548000000000004E-2</c:v>
                </c:pt>
                <c:pt idx="117">
                  <c:v>9.1747999999999996E-2</c:v>
                </c:pt>
                <c:pt idx="118">
                  <c:v>9.1948000000000002E-2</c:v>
                </c:pt>
                <c:pt idx="119">
                  <c:v>9.2148000000000008E-2</c:v>
                </c:pt>
                <c:pt idx="120">
                  <c:v>9.2348E-2</c:v>
                </c:pt>
                <c:pt idx="121">
                  <c:v>9.2547999999999991E-2</c:v>
                </c:pt>
                <c:pt idx="122">
                  <c:v>9.2747999999999997E-2</c:v>
                </c:pt>
                <c:pt idx="123">
                  <c:v>9.2948000000000003E-2</c:v>
                </c:pt>
                <c:pt idx="124">
                  <c:v>9.3147999999999995E-2</c:v>
                </c:pt>
                <c:pt idx="125">
                  <c:v>9.3348E-2</c:v>
                </c:pt>
                <c:pt idx="126">
                  <c:v>9.3547999999999992E-2</c:v>
                </c:pt>
                <c:pt idx="127">
                  <c:v>9.3747999999999998E-2</c:v>
                </c:pt>
                <c:pt idx="128">
                  <c:v>9.3948000000000004E-2</c:v>
                </c:pt>
                <c:pt idx="129">
                  <c:v>9.4147999999999996E-2</c:v>
                </c:pt>
                <c:pt idx="130">
                  <c:v>9.4348000000000001E-2</c:v>
                </c:pt>
                <c:pt idx="131">
                  <c:v>9.4548000000000007E-2</c:v>
                </c:pt>
                <c:pt idx="132">
                  <c:v>9.4747999999999999E-2</c:v>
                </c:pt>
                <c:pt idx="133">
                  <c:v>9.4948000000000005E-2</c:v>
                </c:pt>
                <c:pt idx="134">
                  <c:v>9.514800000000001E-2</c:v>
                </c:pt>
                <c:pt idx="135">
                  <c:v>9.5348000000000002E-2</c:v>
                </c:pt>
                <c:pt idx="136">
                  <c:v>9.5547999999999994E-2</c:v>
                </c:pt>
                <c:pt idx="137">
                  <c:v>9.5748E-2</c:v>
                </c:pt>
                <c:pt idx="138">
                  <c:v>9.5948000000000006E-2</c:v>
                </c:pt>
                <c:pt idx="139">
                  <c:v>9.6147999999999997E-2</c:v>
                </c:pt>
                <c:pt idx="140">
                  <c:v>9.6348000000000003E-2</c:v>
                </c:pt>
                <c:pt idx="141">
                  <c:v>9.6547999999999995E-2</c:v>
                </c:pt>
                <c:pt idx="142">
                  <c:v>9.6748000000000001E-2</c:v>
                </c:pt>
                <c:pt idx="143">
                  <c:v>9.6948000000000006E-2</c:v>
                </c:pt>
                <c:pt idx="144">
                  <c:v>9.7147999999999998E-2</c:v>
                </c:pt>
                <c:pt idx="145">
                  <c:v>9.734799999999999E-2</c:v>
                </c:pt>
                <c:pt idx="146">
                  <c:v>9.7547999999999996E-2</c:v>
                </c:pt>
                <c:pt idx="147">
                  <c:v>9.7748000000000002E-2</c:v>
                </c:pt>
                <c:pt idx="148">
                  <c:v>9.7947999999999993E-2</c:v>
                </c:pt>
                <c:pt idx="149">
                  <c:v>9.8147999999999999E-2</c:v>
                </c:pt>
              </c:numCache>
            </c:numRef>
          </c:yVal>
          <c:smooth val="1"/>
          <c:extLst>
            <c:ext xmlns:c16="http://schemas.microsoft.com/office/drawing/2014/chart" uri="{C3380CC4-5D6E-409C-BE32-E72D297353CC}">
              <c16:uniqueId val="{00000003-5C51-44E9-BDFA-CA4E77C3B153}"/>
            </c:ext>
          </c:extLst>
        </c:ser>
        <c:dLbls>
          <c:showLegendKey val="0"/>
          <c:showVal val="0"/>
          <c:showCatName val="0"/>
          <c:showSerName val="0"/>
          <c:showPercent val="0"/>
          <c:showBubbleSize val="0"/>
        </c:dLbls>
        <c:axId val="582753280"/>
        <c:axId val="582751360"/>
      </c:scatterChart>
      <c:valAx>
        <c:axId val="583325184"/>
        <c:scaling>
          <c:orientation val="minMax"/>
        </c:scaling>
        <c:delete val="0"/>
        <c:axPos val="b"/>
        <c:majorGridlines/>
        <c:numFmt formatCode="General" sourceLinked="1"/>
        <c:majorTickMark val="out"/>
        <c:minorTickMark val="none"/>
        <c:tickLblPos val="nextTo"/>
        <c:crossAx val="583326720"/>
        <c:crosses val="autoZero"/>
        <c:crossBetween val="midCat"/>
      </c:valAx>
      <c:valAx>
        <c:axId val="583326720"/>
        <c:scaling>
          <c:orientation val="minMax"/>
          <c:max val="100"/>
          <c:min val="60"/>
        </c:scaling>
        <c:delete val="0"/>
        <c:axPos val="l"/>
        <c:majorGridlines/>
        <c:title>
          <c:tx>
            <c:rich>
              <a:bodyPr rot="-5400000" vert="horz"/>
              <a:lstStyle/>
              <a:p>
                <a:pPr>
                  <a:defRPr sz="1400"/>
                </a:pPr>
                <a:r>
                  <a:rPr lang="en-US" sz="1400"/>
                  <a:t>Efficiency</a:t>
                </a:r>
                <a:r>
                  <a:rPr lang="en-US" sz="1400" baseline="0"/>
                  <a:t> (%)</a:t>
                </a:r>
                <a:endParaRPr lang="en-US" sz="1400"/>
              </a:p>
            </c:rich>
          </c:tx>
          <c:overlay val="0"/>
        </c:title>
        <c:numFmt formatCode="General" sourceLinked="1"/>
        <c:majorTickMark val="out"/>
        <c:minorTickMark val="none"/>
        <c:tickLblPos val="nextTo"/>
        <c:crossAx val="583325184"/>
        <c:crosses val="autoZero"/>
        <c:crossBetween val="midCat"/>
      </c:valAx>
      <c:valAx>
        <c:axId val="582751360"/>
        <c:scaling>
          <c:orientation val="minMax"/>
        </c:scaling>
        <c:delete val="0"/>
        <c:axPos val="r"/>
        <c:title>
          <c:tx>
            <c:rich>
              <a:bodyPr rot="-5400000" vert="horz"/>
              <a:lstStyle/>
              <a:p>
                <a:pPr>
                  <a:defRPr sz="1400"/>
                </a:pPr>
                <a:r>
                  <a:rPr lang="en-US" sz="1400"/>
                  <a:t>Losses</a:t>
                </a:r>
                <a:r>
                  <a:rPr lang="en-US" sz="1400" baseline="0"/>
                  <a:t> (W)</a:t>
                </a:r>
                <a:endParaRPr lang="en-US" sz="1400"/>
              </a:p>
            </c:rich>
          </c:tx>
          <c:overlay val="0"/>
        </c:title>
        <c:numFmt formatCode="General" sourceLinked="1"/>
        <c:majorTickMark val="out"/>
        <c:minorTickMark val="none"/>
        <c:tickLblPos val="nextTo"/>
        <c:crossAx val="582753280"/>
        <c:crosses val="max"/>
        <c:crossBetween val="midCat"/>
      </c:valAx>
      <c:valAx>
        <c:axId val="582753280"/>
        <c:scaling>
          <c:orientation val="minMax"/>
        </c:scaling>
        <c:delete val="1"/>
        <c:axPos val="b"/>
        <c:title>
          <c:tx>
            <c:rich>
              <a:bodyPr/>
              <a:lstStyle/>
              <a:p>
                <a:pPr>
                  <a:defRPr/>
                </a:pPr>
                <a:r>
                  <a:rPr lang="en-US"/>
                  <a:t>Loac</a:t>
                </a:r>
                <a:r>
                  <a:rPr lang="en-US" baseline="0"/>
                  <a:t> Current (A)</a:t>
                </a:r>
                <a:endParaRPr lang="en-US"/>
              </a:p>
            </c:rich>
          </c:tx>
          <c:overlay val="0"/>
        </c:title>
        <c:numFmt formatCode="General" sourceLinked="1"/>
        <c:majorTickMark val="out"/>
        <c:minorTickMark val="none"/>
        <c:tickLblPos val="nextTo"/>
        <c:crossAx val="582751360"/>
        <c:crosses val="autoZero"/>
        <c:crossBetween val="midCat"/>
      </c:valAx>
    </c:plotArea>
    <c:legend>
      <c:legendPos val="r"/>
      <c:layout>
        <c:manualLayout>
          <c:xMode val="edge"/>
          <c:yMode val="edge"/>
          <c:x val="0.51894403926190358"/>
          <c:y val="6.4862204724409449E-3"/>
          <c:w val="0.39609572935704079"/>
          <c:h val="0.12183653099700564"/>
        </c:manualLayout>
      </c:layout>
      <c:overlay val="1"/>
    </c:legend>
    <c:plotVisOnly val="1"/>
    <c:dispBlanksAs val="gap"/>
    <c:showDLblsOverMax val="0"/>
  </c:chart>
  <c:spPr>
    <a:ln>
      <a:noFill/>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lgn="l">
              <a:defRPr sz="2400"/>
            </a:pPr>
            <a:r>
              <a:rPr lang="el-GR" sz="2400"/>
              <a:t>η</a:t>
            </a:r>
            <a:endParaRPr lang="en-US" sz="2400"/>
          </a:p>
        </c:rich>
      </c:tx>
      <c:layout>
        <c:manualLayout>
          <c:xMode val="edge"/>
          <c:yMode val="edge"/>
          <c:x val="9.2321838295158831E-2"/>
          <c:y val="6.7069081153588199E-3"/>
        </c:manualLayout>
      </c:layout>
      <c:overlay val="1"/>
    </c:title>
    <c:autoTitleDeleted val="0"/>
    <c:plotArea>
      <c:layout>
        <c:manualLayout>
          <c:layoutTarget val="inner"/>
          <c:xMode val="edge"/>
          <c:yMode val="edge"/>
          <c:x val="9.4343575816580413E-2"/>
          <c:y val="0.12777504924560487"/>
          <c:w val="0.82170691922728745"/>
          <c:h val="0.74982770867653059"/>
        </c:manualLayout>
      </c:layout>
      <c:scatterChart>
        <c:scatterStyle val="smoothMarker"/>
        <c:varyColors val="0"/>
        <c:ser>
          <c:idx val="0"/>
          <c:order val="0"/>
          <c:tx>
            <c:v>Eff</c:v>
          </c:tx>
          <c:spPr>
            <a:ln>
              <a:solidFill>
                <a:srgbClr val="FF0000"/>
              </a:solidFill>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Eff_vs_IOUT!$BZ$7:$BZ$157</c:f>
              <c:numCache>
                <c:formatCode>General</c:formatCode>
                <c:ptCount val="151"/>
                <c:pt idx="0">
                  <c:v>0</c:v>
                </c:pt>
                <c:pt idx="1">
                  <c:v>6.9104349545433763</c:v>
                </c:pt>
                <c:pt idx="2">
                  <c:v>12.823387718048037</c:v>
                </c:pt>
                <c:pt idx="3">
                  <c:v>17.936188279221803</c:v>
                </c:pt>
                <c:pt idx="4">
                  <c:v>22.39533017891296</c:v>
                </c:pt>
                <c:pt idx="5">
                  <c:v>26.31372330334824</c:v>
                </c:pt>
                <c:pt idx="6">
                  <c:v>29.779916078636436</c:v>
                </c:pt>
                <c:pt idx="7">
                  <c:v>32.86432486734271</c:v>
                </c:pt>
                <c:pt idx="8">
                  <c:v>35.623629433264171</c:v>
                </c:pt>
                <c:pt idx="9">
                  <c:v>38.103948620865765</c:v>
                </c:pt>
                <c:pt idx="10">
                  <c:v>40.343176127472312</c:v>
                </c:pt>
                <c:pt idx="11">
                  <c:v>42.372724757692545</c:v>
                </c:pt>
                <c:pt idx="12">
                  <c:v>44.218846584222696</c:v>
                </c:pt>
                <c:pt idx="13">
                  <c:v>45.903644339307306</c:v>
                </c:pt>
                <c:pt idx="14">
                  <c:v>47.445854894128217</c:v>
                </c:pt>
                <c:pt idx="15">
                  <c:v>48.861462399161283</c:v>
                </c:pt>
                <c:pt idx="16">
                  <c:v>50.164182651357912</c:v>
                </c:pt>
                <c:pt idx="17">
                  <c:v>51.365849079078593</c:v>
                </c:pt>
                <c:pt idx="18">
                  <c:v>52.476722825238006</c:v>
                </c:pt>
                <c:pt idx="19">
                  <c:v>53.505743737850977</c:v>
                </c:pt>
                <c:pt idx="20">
                  <c:v>54.46073496321624</c:v>
                </c:pt>
                <c:pt idx="21">
                  <c:v>55.348570819959953</c:v>
                </c:pt>
                <c:pt idx="22">
                  <c:v>56.175315396956414</c:v>
                </c:pt>
                <c:pt idx="23">
                  <c:v>56.946337646304315</c:v>
                </c:pt>
                <c:pt idx="24">
                  <c:v>57.666407480843262</c:v>
                </c:pt>
                <c:pt idx="25">
                  <c:v>58.3397764254903</c:v>
                </c:pt>
                <c:pt idx="26">
                  <c:v>58.970245635108675</c:v>
                </c:pt>
                <c:pt idx="27">
                  <c:v>59.561223522364891</c:v>
                </c:pt>
                <c:pt idx="28">
                  <c:v>60.115774795960995</c:v>
                </c:pt>
                <c:pt idx="29">
                  <c:v>60.636662362460456</c:v>
                </c:pt>
                <c:pt idx="30">
                  <c:v>61.126383271168628</c:v>
                </c:pt>
                <c:pt idx="31">
                  <c:v>61.587199664356106</c:v>
                </c:pt>
                <c:pt idx="32">
                  <c:v>62.021165521839848</c:v>
                </c:pt>
                <c:pt idx="33">
                  <c:v>62.430149849931837</c:v>
                </c:pt>
                <c:pt idx="34">
                  <c:v>62.815856852673058</c:v>
                </c:pt>
                <c:pt idx="35">
                  <c:v>63.179843532428436</c:v>
                </c:pt>
                <c:pt idx="36">
                  <c:v>63.523535092951533</c:v>
                </c:pt>
                <c:pt idx="37">
                  <c:v>63.84823845752593</c:v>
                </c:pt>
                <c:pt idx="38">
                  <c:v>64.155154165088561</c:v>
                </c:pt>
                <c:pt idx="39">
                  <c:v>64.445386866240824</c:v>
                </c:pt>
                <c:pt idx="40">
                  <c:v>64.719954607097392</c:v>
                </c:pt>
                <c:pt idx="41">
                  <c:v>64.979797060693329</c:v>
                </c:pt>
                <c:pt idx="42">
                  <c:v>65.225782842114683</c:v>
                </c:pt>
                <c:pt idx="43">
                  <c:v>65.458716023793571</c:v>
                </c:pt>
                <c:pt idx="44">
                  <c:v>65.679341950836388</c:v>
                </c:pt>
                <c:pt idx="45">
                  <c:v>65.888352442284173</c:v>
                </c:pt>
                <c:pt idx="46">
                  <c:v>66.086390452391569</c:v>
                </c:pt>
                <c:pt idx="47">
                  <c:v>66.274054255991516</c:v>
                </c:pt>
                <c:pt idx="48">
                  <c:v>66.451901213490302</c:v>
                </c:pt>
                <c:pt idx="49">
                  <c:v>66.620025168744064</c:v>
                </c:pt>
                <c:pt idx="50">
                  <c:v>66.773980927015359</c:v>
                </c:pt>
                <c:pt idx="51">
                  <c:v>66.918005739604297</c:v>
                </c:pt>
                <c:pt idx="52">
                  <c:v>67.052582819143211</c:v>
                </c:pt>
                <c:pt idx="53">
                  <c:v>67.178166387681856</c:v>
                </c:pt>
                <c:pt idx="54">
                  <c:v>67.295183800111232</c:v>
                </c:pt>
                <c:pt idx="55">
                  <c:v>67.40403748388195</c:v>
                </c:pt>
                <c:pt idx="56">
                  <c:v>67.505106713291866</c:v>
                </c:pt>
                <c:pt idx="57">
                  <c:v>67.598749234569368</c:v>
                </c:pt>
                <c:pt idx="58">
                  <c:v>67.685302756184711</c:v>
                </c:pt>
                <c:pt idx="59">
                  <c:v>67.765086317248475</c:v>
                </c:pt>
                <c:pt idx="60">
                  <c:v>67.838401545472635</c:v>
                </c:pt>
                <c:pt idx="61">
                  <c:v>67.905533814952022</c:v>
                </c:pt>
                <c:pt idx="62">
                  <c:v>67.966753312948768</c:v>
                </c:pt>
                <c:pt idx="63">
                  <c:v>68.02231602391366</c:v>
                </c:pt>
                <c:pt idx="64">
                  <c:v>68.072464638137092</c:v>
                </c:pt>
                <c:pt idx="65">
                  <c:v>68.117429391677646</c:v>
                </c:pt>
                <c:pt idx="66">
                  <c:v>68.15742884355403</c:v>
                </c:pt>
                <c:pt idx="67">
                  <c:v>68.192670595598386</c:v>
                </c:pt>
                <c:pt idx="68">
                  <c:v>68.223351959843697</c:v>
                </c:pt>
                <c:pt idx="69">
                  <c:v>68.249660577851628</c:v>
                </c:pt>
                <c:pt idx="70">
                  <c:v>68.271774995967888</c:v>
                </c:pt>
                <c:pt idx="71">
                  <c:v>68.289865200120076</c:v>
                </c:pt>
                <c:pt idx="72">
                  <c:v>68.304093113436807</c:v>
                </c:pt>
                <c:pt idx="73">
                  <c:v>68.314613059667522</c:v>
                </c:pt>
                <c:pt idx="74">
                  <c:v>68.321572195112651</c:v>
                </c:pt>
                <c:pt idx="75">
                  <c:v>68.325110911530118</c:v>
                </c:pt>
                <c:pt idx="76">
                  <c:v>68.325363212267973</c:v>
                </c:pt>
                <c:pt idx="77">
                  <c:v>68.322457063673482</c:v>
                </c:pt>
                <c:pt idx="78">
                  <c:v>68.316514723653398</c:v>
                </c:pt>
                <c:pt idx="79">
                  <c:v>68.307653049098647</c:v>
                </c:pt>
                <c:pt idx="80">
                  <c:v>68.295983783741093</c:v>
                </c:pt>
                <c:pt idx="81">
                  <c:v>68.281613827879497</c:v>
                </c:pt>
                <c:pt idx="82">
                  <c:v>68.264645491291645</c:v>
                </c:pt>
                <c:pt idx="83">
                  <c:v>68.245176730541758</c:v>
                </c:pt>
                <c:pt idx="84">
                  <c:v>68.223301371793909</c:v>
                </c:pt>
                <c:pt idx="85">
                  <c:v>68.1991093201528</c:v>
                </c:pt>
                <c:pt idx="86">
                  <c:v>68.172686756471734</c:v>
                </c:pt>
                <c:pt idx="87">
                  <c:v>68.144116322493488</c:v>
                </c:pt>
                <c:pt idx="88">
                  <c:v>68.113477295122209</c:v>
                </c:pt>
                <c:pt idx="89">
                  <c:v>68.080845750562517</c:v>
                </c:pt>
                <c:pt idx="90">
                  <c:v>68.046294719005743</c:v>
                </c:pt>
                <c:pt idx="91">
                  <c:v>68.009894330491534</c:v>
                </c:pt>
                <c:pt idx="92">
                  <c:v>67.971711952525609</c:v>
                </c:pt>
                <c:pt idx="93">
                  <c:v>67.931812319991664</c:v>
                </c:pt>
                <c:pt idx="94">
                  <c:v>67.890257657855187</c:v>
                </c:pt>
                <c:pt idx="95">
                  <c:v>67.8471077971207</c:v>
                </c:pt>
                <c:pt idx="96">
                  <c:v>67.802420284470728</c:v>
                </c:pt>
                <c:pt idx="97">
                  <c:v>67.756250485983642</c:v>
                </c:pt>
                <c:pt idx="98">
                  <c:v>67.708651685299586</c:v>
                </c:pt>
                <c:pt idx="99">
                  <c:v>67.659675176577352</c:v>
                </c:pt>
                <c:pt idx="100">
                  <c:v>67.6093703525612</c:v>
                </c:pt>
                <c:pt idx="101">
                  <c:v>67.557784788054775</c:v>
                </c:pt>
                <c:pt idx="102">
                  <c:v>67.504964319078169</c:v>
                </c:pt>
                <c:pt idx="103">
                  <c:v>67.450953117966108</c:v>
                </c:pt>
                <c:pt idx="104">
                  <c:v>67.395793764647337</c:v>
                </c:pt>
                <c:pt idx="105">
                  <c:v>67.339527314329246</c:v>
                </c:pt>
                <c:pt idx="106">
                  <c:v>67.282193361797098</c:v>
                </c:pt>
                <c:pt idx="107">
                  <c:v>67.223830102523152</c:v>
                </c:pt>
                <c:pt idx="108">
                  <c:v>67.164474390768319</c:v>
                </c:pt>
                <c:pt idx="109">
                  <c:v>67.104161794847315</c:v>
                </c:pt>
                <c:pt idx="110">
                  <c:v>67.042926649716932</c:v>
                </c:pt>
                <c:pt idx="111">
                  <c:v>66.980802107037007</c:v>
                </c:pt>
                <c:pt idx="112">
                  <c:v>66.917820182844451</c:v>
                </c:pt>
                <c:pt idx="113">
                  <c:v>66.854011802971471</c:v>
                </c:pt>
                <c:pt idx="114">
                  <c:v>66.78940684633109</c:v>
                </c:pt>
                <c:pt idx="115">
                  <c:v>66.724034186185818</c:v>
                </c:pt>
                <c:pt idx="116">
                  <c:v>66.657921729507308</c:v>
                </c:pt>
                <c:pt idx="117">
                  <c:v>66.591096454529591</c:v>
                </c:pt>
                <c:pt idx="118">
                  <c:v>66.52358444659086</c:v>
                </c:pt>
                <c:pt idx="119">
                  <c:v>66.455410932354155</c:v>
                </c:pt>
                <c:pt idx="120">
                  <c:v>66.386600312491353</c:v>
                </c:pt>
                <c:pt idx="121">
                  <c:v>66.317176192910239</c:v>
                </c:pt>
                <c:pt idx="122">
                  <c:v>66.247161414599191</c:v>
                </c:pt>
                <c:pt idx="123">
                  <c:v>66.176578082160333</c:v>
                </c:pt>
                <c:pt idx="124">
                  <c:v>66.105447591097672</c:v>
                </c:pt>
                <c:pt idx="125">
                  <c:v>66.03379065392248</c:v>
                </c:pt>
                <c:pt idx="126">
                  <c:v>65.96162732513541</c:v>
                </c:pt>
                <c:pt idx="127">
                  <c:v>65.88897702514079</c:v>
                </c:pt>
                <c:pt idx="128">
                  <c:v>65.815858563145881</c:v>
                </c:pt>
                <c:pt idx="129">
                  <c:v>65.742290159094651</c:v>
                </c:pt>
                <c:pt idx="130">
                  <c:v>65.668289464682928</c:v>
                </c:pt>
                <c:pt idx="131">
                  <c:v>65.593873583499445</c:v>
                </c:pt>
                <c:pt idx="132">
                  <c:v>65.519059090334466</c:v>
                </c:pt>
                <c:pt idx="133">
                  <c:v>65.443862049695682</c:v>
                </c:pt>
                <c:pt idx="134">
                  <c:v>65.368298033569005</c:v>
                </c:pt>
                <c:pt idx="135">
                  <c:v>65.292382138459516</c:v>
                </c:pt>
                <c:pt idx="136">
                  <c:v>65.216129001746268</c:v>
                </c:pt>
                <c:pt idx="137">
                  <c:v>65.139552817382778</c:v>
                </c:pt>
                <c:pt idx="138">
                  <c:v>65.062667350973243</c:v>
                </c:pt>
                <c:pt idx="139">
                  <c:v>64.985485954253292</c:v>
                </c:pt>
                <c:pt idx="140">
                  <c:v>64.908021579001911</c:v>
                </c:pt>
                <c:pt idx="141">
                  <c:v>64.830286790410753</c:v>
                </c:pt>
                <c:pt idx="142">
                  <c:v>64.752293779934831</c:v>
                </c:pt>
                <c:pt idx="143">
                  <c:v>64.674054377647849</c:v>
                </c:pt>
                <c:pt idx="144">
                  <c:v>64.595580064124263</c:v>
                </c:pt>
                <c:pt idx="145">
                  <c:v>64.516881981868664</c:v>
                </c:pt>
                <c:pt idx="146">
                  <c:v>64.437970946312504</c:v>
                </c:pt>
                <c:pt idx="147">
                  <c:v>64.358857456396919</c:v>
                </c:pt>
                <c:pt idx="148">
                  <c:v>64.279551704759754</c:v>
                </c:pt>
                <c:pt idx="149">
                  <c:v>64.20006358754334</c:v>
                </c:pt>
                <c:pt idx="150">
                  <c:v>64.120402713839837</c:v>
                </c:pt>
              </c:numCache>
            </c:numRef>
          </c:yVal>
          <c:smooth val="0"/>
          <c:extLst>
            <c:ext xmlns:c16="http://schemas.microsoft.com/office/drawing/2014/chart" uri="{C3380CC4-5D6E-409C-BE32-E72D297353CC}">
              <c16:uniqueId val="{00000000-6250-418B-870F-DFA6B9A805A0}"/>
            </c:ext>
          </c:extLst>
        </c:ser>
        <c:dLbls>
          <c:showLegendKey val="0"/>
          <c:showVal val="0"/>
          <c:showCatName val="0"/>
          <c:showSerName val="0"/>
          <c:showPercent val="0"/>
          <c:showBubbleSize val="0"/>
        </c:dLbls>
        <c:axId val="582782976"/>
        <c:axId val="582784512"/>
      </c:scatterChart>
      <c:scatterChart>
        <c:scatterStyle val="smoothMarker"/>
        <c:varyColors val="0"/>
        <c:ser>
          <c:idx val="1"/>
          <c:order val="1"/>
          <c:tx>
            <c:v>MOSFET</c:v>
          </c:tx>
          <c:spPr>
            <a:ln>
              <a:solidFill>
                <a:schemeClr val="tx2">
                  <a:lumMod val="75000"/>
                </a:schemeClr>
              </a:solidFill>
              <a:prstDash val="dash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Eff_vs_IOUT!$AJ$7:$AJ$157</c:f>
              <c:numCache>
                <c:formatCode>General</c:formatCode>
                <c:ptCount val="151"/>
                <c:pt idx="0">
                  <c:v>0</c:v>
                </c:pt>
                <c:pt idx="1">
                  <c:v>7.4557462442911371E-4</c:v>
                </c:pt>
                <c:pt idx="2">
                  <c:v>1.0545451610377296E-3</c:v>
                </c:pt>
                <c:pt idx="3">
                  <c:v>1.2917244249182444E-3</c:v>
                </c:pt>
                <c:pt idx="4">
                  <c:v>1.4917577089069744E-3</c:v>
                </c:pt>
                <c:pt idx="5">
                  <c:v>1.6680625812094346E-3</c:v>
                </c:pt>
                <c:pt idx="6">
                  <c:v>1.8275194088921171E-3</c:v>
                </c:pt>
                <c:pt idx="7">
                  <c:v>1.9742148740515201E-3</c:v>
                </c:pt>
                <c:pt idx="8">
                  <c:v>2.110811306981659E-3</c:v>
                </c:pt>
                <c:pt idx="9">
                  <c:v>2.2391577134823295E-3</c:v>
                </c:pt>
                <c:pt idx="10">
                  <c:v>2.3606001582495021E-3</c:v>
                </c:pt>
                <c:pt idx="11">
                  <c:v>2.4761546719108737E-3</c:v>
                </c:pt>
                <c:pt idx="12">
                  <c:v>2.5866105009929048E-3</c:v>
                </c:pt>
                <c:pt idx="13">
                  <c:v>2.6925952058736323E-3</c:v>
                </c:pt>
                <c:pt idx="14">
                  <c:v>2.7946175404642937E-3</c:v>
                </c:pt>
                <c:pt idx="15">
                  <c:v>2.8930967335852745E-3</c:v>
                </c:pt>
                <c:pt idx="16">
                  <c:v>2.9883830982039227E-3</c:v>
                </c:pt>
                <c:pt idx="17">
                  <c:v>3.0807729151013244E-3</c:v>
                </c:pt>
                <c:pt idx="18">
                  <c:v>3.1705194227379875E-3</c:v>
                </c:pt>
                <c:pt idx="19">
                  <c:v>3.257841090345806E-3</c:v>
                </c:pt>
                <c:pt idx="20">
                  <c:v>3.3429279525718225E-3</c:v>
                </c:pt>
                <c:pt idx="21">
                  <c:v>3.425946533453815E-3</c:v>
                </c:pt>
                <c:pt idx="22">
                  <c:v>3.5070437256532775E-3</c:v>
                </c:pt>
                <c:pt idx="23">
                  <c:v>3.5863498837215256E-3</c:v>
                </c:pt>
                <c:pt idx="24">
                  <c:v>3.6639813176740257E-3</c:v>
                </c:pt>
                <c:pt idx="25">
                  <c:v>3.7400423231205055E-3</c:v>
                </c:pt>
                <c:pt idx="26">
                  <c:v>3.8146268490611697E-3</c:v>
                </c:pt>
                <c:pt idx="27">
                  <c:v>3.887819879380396E-3</c:v>
                </c:pt>
                <c:pt idx="28">
                  <c:v>3.9596985859049558E-3</c:v>
                </c:pt>
                <c:pt idx="29">
                  <c:v>4.0303332975597959E-3</c:v>
                </c:pt>
                <c:pt idx="30">
                  <c:v>4.0997883202445792E-3</c:v>
                </c:pt>
                <c:pt idx="31">
                  <c:v>4.1681226346048901E-3</c:v>
                </c:pt>
                <c:pt idx="32">
                  <c:v>4.2353904932129162E-3</c:v>
                </c:pt>
                <c:pt idx="33">
                  <c:v>4.3016419343311282E-3</c:v>
                </c:pt>
                <c:pt idx="34">
                  <c:v>4.3669232260714922E-3</c:v>
                </c:pt>
                <c:pt idx="35">
                  <c:v>4.4312772521387196E-3</c:v>
                </c:pt>
                <c:pt idx="36">
                  <c:v>4.4947438482808222E-3</c:v>
                </c:pt>
                <c:pt idx="37">
                  <c:v>4.5573600969327837E-3</c:v>
                </c:pt>
                <c:pt idx="38">
                  <c:v>4.6191605862317391E-3</c:v>
                </c:pt>
                <c:pt idx="39">
                  <c:v>4.6801776385311383E-3</c:v>
                </c:pt>
                <c:pt idx="40">
                  <c:v>4.740441512691573E-3</c:v>
                </c:pt>
                <c:pt idx="41">
                  <c:v>4.7999805837345534E-3</c:v>
                </c:pt>
                <c:pt idx="42">
                  <c:v>4.8588215028799158E-3</c:v>
                </c:pt>
                <c:pt idx="43">
                  <c:v>4.9169893405225235E-3</c:v>
                </c:pt>
                <c:pt idx="44">
                  <c:v>4.9745077143195059E-3</c:v>
                </c:pt>
                <c:pt idx="45">
                  <c:v>5.0313989042401171E-3</c:v>
                </c:pt>
                <c:pt idx="46">
                  <c:v>5.0876839561640585E-3</c:v>
                </c:pt>
                <c:pt idx="47">
                  <c:v>5.1433827753910944E-3</c:v>
                </c:pt>
                <c:pt idx="48">
                  <c:v>5.1985142112371359E-3</c:v>
                </c:pt>
                <c:pt idx="49">
                  <c:v>5.2577269379148117E-3</c:v>
                </c:pt>
                <c:pt idx="50">
                  <c:v>5.3653942417740191E-3</c:v>
                </c:pt>
                <c:pt idx="51">
                  <c:v>5.4730832956332272E-3</c:v>
                </c:pt>
                <c:pt idx="52">
                  <c:v>5.5807940994924343E-3</c:v>
                </c:pt>
                <c:pt idx="53">
                  <c:v>5.6885266533516421E-3</c:v>
                </c:pt>
                <c:pt idx="54">
                  <c:v>5.7962809572108497E-3</c:v>
                </c:pt>
                <c:pt idx="55">
                  <c:v>5.9040570110700579E-3</c:v>
                </c:pt>
                <c:pt idx="56">
                  <c:v>6.0118548149292652E-3</c:v>
                </c:pt>
                <c:pt idx="57">
                  <c:v>6.1196743687884731E-3</c:v>
                </c:pt>
                <c:pt idx="58">
                  <c:v>6.2275156726476801E-3</c:v>
                </c:pt>
                <c:pt idx="59">
                  <c:v>6.3353787265068885E-3</c:v>
                </c:pt>
                <c:pt idx="60">
                  <c:v>6.4432635303660933E-3</c:v>
                </c:pt>
                <c:pt idx="61">
                  <c:v>6.5511700842253023E-3</c:v>
                </c:pt>
                <c:pt idx="62">
                  <c:v>6.6590983880845112E-3</c:v>
                </c:pt>
                <c:pt idx="63">
                  <c:v>6.7670484419437181E-3</c:v>
                </c:pt>
                <c:pt idx="64">
                  <c:v>6.8750202458029265E-3</c:v>
                </c:pt>
                <c:pt idx="65">
                  <c:v>6.9830137996621348E-3</c:v>
                </c:pt>
                <c:pt idx="66">
                  <c:v>7.0910291035213404E-3</c:v>
                </c:pt>
                <c:pt idx="67">
                  <c:v>7.1990661573805483E-3</c:v>
                </c:pt>
                <c:pt idx="68">
                  <c:v>7.3071249612397552E-3</c:v>
                </c:pt>
                <c:pt idx="69">
                  <c:v>7.4152055150989637E-3</c:v>
                </c:pt>
                <c:pt idx="70">
                  <c:v>7.5233078189581729E-3</c:v>
                </c:pt>
                <c:pt idx="71">
                  <c:v>7.6314318728173784E-3</c:v>
                </c:pt>
                <c:pt idx="72">
                  <c:v>7.7395776766765855E-3</c:v>
                </c:pt>
                <c:pt idx="73">
                  <c:v>7.8477452305357933E-3</c:v>
                </c:pt>
                <c:pt idx="74">
                  <c:v>7.9559345343950018E-3</c:v>
                </c:pt>
                <c:pt idx="75">
                  <c:v>8.0641455882542075E-3</c:v>
                </c:pt>
                <c:pt idx="76">
                  <c:v>8.1723783921134156E-3</c:v>
                </c:pt>
                <c:pt idx="77">
                  <c:v>8.2806329459726227E-3</c:v>
                </c:pt>
                <c:pt idx="78">
                  <c:v>8.3889092498318323E-3</c:v>
                </c:pt>
                <c:pt idx="79">
                  <c:v>8.4972073036910407E-3</c:v>
                </c:pt>
                <c:pt idx="80">
                  <c:v>8.6055271075502447E-3</c:v>
                </c:pt>
                <c:pt idx="81">
                  <c:v>8.7138686614094546E-3</c:v>
                </c:pt>
                <c:pt idx="82">
                  <c:v>8.8222319652686617E-3</c:v>
                </c:pt>
                <c:pt idx="83">
                  <c:v>8.9306170191278695E-3</c:v>
                </c:pt>
                <c:pt idx="84">
                  <c:v>9.039023822987078E-3</c:v>
                </c:pt>
                <c:pt idx="85">
                  <c:v>9.1474523768462854E-3</c:v>
                </c:pt>
                <c:pt idx="86">
                  <c:v>9.2559026807054936E-3</c:v>
                </c:pt>
                <c:pt idx="87">
                  <c:v>9.3643747345647007E-3</c:v>
                </c:pt>
                <c:pt idx="88">
                  <c:v>9.4728685384239068E-3</c:v>
                </c:pt>
                <c:pt idx="89">
                  <c:v>9.5813840922831153E-3</c:v>
                </c:pt>
                <c:pt idx="90">
                  <c:v>9.6899213961423245E-3</c:v>
                </c:pt>
                <c:pt idx="91">
                  <c:v>9.7984804500015309E-3</c:v>
                </c:pt>
                <c:pt idx="92">
                  <c:v>9.9070612538607397E-3</c:v>
                </c:pt>
                <c:pt idx="93">
                  <c:v>1.0015663807719948E-2</c:v>
                </c:pt>
                <c:pt idx="94">
                  <c:v>1.0124288111579154E-2</c:v>
                </c:pt>
                <c:pt idx="95">
                  <c:v>1.0232934165438362E-2</c:v>
                </c:pt>
                <c:pt idx="96">
                  <c:v>1.0341601969297566E-2</c:v>
                </c:pt>
                <c:pt idx="97">
                  <c:v>1.0450291523156775E-2</c:v>
                </c:pt>
                <c:pt idx="98">
                  <c:v>1.0559002827015983E-2</c:v>
                </c:pt>
                <c:pt idx="99">
                  <c:v>1.0667735880875192E-2</c:v>
                </c:pt>
                <c:pt idx="100">
                  <c:v>1.0776490684734397E-2</c:v>
                </c:pt>
                <c:pt idx="101">
                  <c:v>1.0885267238593605E-2</c:v>
                </c:pt>
                <c:pt idx="102">
                  <c:v>1.0994065542452814E-2</c:v>
                </c:pt>
                <c:pt idx="103">
                  <c:v>1.1102885596312022E-2</c:v>
                </c:pt>
                <c:pt idx="104">
                  <c:v>1.1211727400171229E-2</c:v>
                </c:pt>
                <c:pt idx="105">
                  <c:v>1.1320590954030438E-2</c:v>
                </c:pt>
                <c:pt idx="106">
                  <c:v>1.1429476257889645E-2</c:v>
                </c:pt>
                <c:pt idx="107">
                  <c:v>1.1538383311748852E-2</c:v>
                </c:pt>
                <c:pt idx="108">
                  <c:v>1.164731211560806E-2</c:v>
                </c:pt>
                <c:pt idx="109">
                  <c:v>1.1756262669467266E-2</c:v>
                </c:pt>
                <c:pt idx="110">
                  <c:v>1.1865234973326476E-2</c:v>
                </c:pt>
                <c:pt idx="111">
                  <c:v>1.1974229027185682E-2</c:v>
                </c:pt>
                <c:pt idx="112">
                  <c:v>1.2083244831044891E-2</c:v>
                </c:pt>
                <c:pt idx="113">
                  <c:v>1.2192282384904097E-2</c:v>
                </c:pt>
                <c:pt idx="114">
                  <c:v>1.2301341688763307E-2</c:v>
                </c:pt>
                <c:pt idx="115">
                  <c:v>1.2410422742622515E-2</c:v>
                </c:pt>
                <c:pt idx="116">
                  <c:v>1.2519525546481719E-2</c:v>
                </c:pt>
                <c:pt idx="117">
                  <c:v>1.2628650100340928E-2</c:v>
                </c:pt>
                <c:pt idx="118">
                  <c:v>1.2737796404200138E-2</c:v>
                </c:pt>
                <c:pt idx="119">
                  <c:v>1.2846964458059341E-2</c:v>
                </c:pt>
                <c:pt idx="120">
                  <c:v>1.2956154261918547E-2</c:v>
                </c:pt>
                <c:pt idx="121">
                  <c:v>1.3065365815777759E-2</c:v>
                </c:pt>
                <c:pt idx="122">
                  <c:v>1.3174599119636964E-2</c:v>
                </c:pt>
                <c:pt idx="123">
                  <c:v>1.3283854173496172E-2</c:v>
                </c:pt>
                <c:pt idx="124">
                  <c:v>1.3393130977355382E-2</c:v>
                </c:pt>
                <c:pt idx="125">
                  <c:v>1.3502429531214589E-2</c:v>
                </c:pt>
                <c:pt idx="126">
                  <c:v>1.3611749835073796E-2</c:v>
                </c:pt>
                <c:pt idx="127">
                  <c:v>1.3721091888933005E-2</c:v>
                </c:pt>
                <c:pt idx="128">
                  <c:v>1.3830455692792213E-2</c:v>
                </c:pt>
                <c:pt idx="129">
                  <c:v>1.3939841246651419E-2</c:v>
                </c:pt>
                <c:pt idx="130">
                  <c:v>1.404924855051063E-2</c:v>
                </c:pt>
                <c:pt idx="131">
                  <c:v>1.4158677604369837E-2</c:v>
                </c:pt>
                <c:pt idx="132">
                  <c:v>1.4268128408229041E-2</c:v>
                </c:pt>
                <c:pt idx="133">
                  <c:v>1.4377600962088248E-2</c:v>
                </c:pt>
                <c:pt idx="134">
                  <c:v>1.4487095265947457E-2</c:v>
                </c:pt>
                <c:pt idx="135">
                  <c:v>1.4596611319806664E-2</c:v>
                </c:pt>
                <c:pt idx="136">
                  <c:v>1.4706149123665871E-2</c:v>
                </c:pt>
                <c:pt idx="137">
                  <c:v>1.4815708677525082E-2</c:v>
                </c:pt>
                <c:pt idx="138">
                  <c:v>1.4925289981384288E-2</c:v>
                </c:pt>
                <c:pt idx="139">
                  <c:v>1.5034893035243494E-2</c:v>
                </c:pt>
                <c:pt idx="140">
                  <c:v>1.5144517839102705E-2</c:v>
                </c:pt>
                <c:pt idx="141">
                  <c:v>1.5254164392961907E-2</c:v>
                </c:pt>
                <c:pt idx="142">
                  <c:v>1.5363832696821117E-2</c:v>
                </c:pt>
                <c:pt idx="143">
                  <c:v>1.5473522750680323E-2</c:v>
                </c:pt>
                <c:pt idx="144">
                  <c:v>1.558323455453953E-2</c:v>
                </c:pt>
                <c:pt idx="145">
                  <c:v>1.5692968108398739E-2</c:v>
                </c:pt>
                <c:pt idx="146">
                  <c:v>1.5802723412257948E-2</c:v>
                </c:pt>
                <c:pt idx="147">
                  <c:v>1.5912500466117155E-2</c:v>
                </c:pt>
                <c:pt idx="148">
                  <c:v>1.6022299269976361E-2</c:v>
                </c:pt>
                <c:pt idx="149">
                  <c:v>1.613211982383557E-2</c:v>
                </c:pt>
                <c:pt idx="150">
                  <c:v>1.6241962127694777E-2</c:v>
                </c:pt>
              </c:numCache>
            </c:numRef>
          </c:yVal>
          <c:smooth val="1"/>
          <c:extLst>
            <c:ext xmlns:c16="http://schemas.microsoft.com/office/drawing/2014/chart" uri="{C3380CC4-5D6E-409C-BE32-E72D297353CC}">
              <c16:uniqueId val="{00000001-6250-418B-870F-DFA6B9A805A0}"/>
            </c:ext>
          </c:extLst>
        </c:ser>
        <c:ser>
          <c:idx val="3"/>
          <c:order val="2"/>
          <c:tx>
            <c:v>RS</c:v>
          </c:tx>
          <c:spPr>
            <a:ln>
              <a:solidFill>
                <a:schemeClr val="accent5">
                  <a:lumMod val="75000"/>
                </a:schemeClr>
              </a:solidFill>
              <a:prstDash val="lgDashDot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Eff_vs_IOUT!$BU$7:$BU$157</c:f>
              <c:numCache>
                <c:formatCode>General</c:formatCode>
                <c:ptCount val="151"/>
                <c:pt idx="0">
                  <c:v>0</c:v>
                </c:pt>
                <c:pt idx="1">
                  <c:v>2.3312645545853737E-7</c:v>
                </c:pt>
                <c:pt idx="2">
                  <c:v>6.5938119011486142E-7</c:v>
                </c:pt>
                <c:pt idx="3">
                  <c:v>1.2113605963278881E-6</c:v>
                </c:pt>
                <c:pt idx="4">
                  <c:v>1.8650116436682988E-6</c:v>
                </c:pt>
                <c:pt idx="5">
                  <c:v>2.6064330087943323E-6</c:v>
                </c:pt>
                <c:pt idx="6">
                  <c:v>3.4262451685025187E-6</c:v>
                </c:pt>
                <c:pt idx="7">
                  <c:v>4.3175623762128643E-6</c:v>
                </c:pt>
                <c:pt idx="8">
                  <c:v>5.2750495209188914E-6</c:v>
                </c:pt>
                <c:pt idx="9">
                  <c:v>6.2944142973805057E-6</c:v>
                </c:pt>
                <c:pt idx="10">
                  <c:v>7.3721058209077132E-6</c:v>
                </c:pt>
                <c:pt idx="11">
                  <c:v>8.5051227960761595E-6</c:v>
                </c:pt>
                <c:pt idx="12">
                  <c:v>9.6908847706231065E-6</c:v>
                </c:pt>
                <c:pt idx="13">
                  <c:v>1.0927142054698068E-5</c:v>
                </c:pt>
                <c:pt idx="14">
                  <c:v>1.2211910537664075E-5</c:v>
                </c:pt>
                <c:pt idx="15">
                  <c:v>1.3543423193269199E-5</c:v>
                </c:pt>
                <c:pt idx="16">
                  <c:v>1.4920093149346392E-5</c:v>
                </c:pt>
                <c:pt idx="17">
                  <c:v>1.6340484999683805E-5</c:v>
                </c:pt>
                <c:pt idx="18">
                  <c:v>1.7803292133101257E-5</c:v>
                </c:pt>
                <c:pt idx="19">
                  <c:v>1.9307318547782407E-5</c:v>
                </c:pt>
                <c:pt idx="20">
                  <c:v>2.0851464070354648E-5</c:v>
                </c:pt>
                <c:pt idx="21">
                  <c:v>2.2434712201345454E-5</c:v>
                </c:pt>
                <c:pt idx="22">
                  <c:v>2.4056120015718959E-5</c:v>
                </c:pt>
                <c:pt idx="23">
                  <c:v>2.5714809692142867E-5</c:v>
                </c:pt>
                <c:pt idx="24">
                  <c:v>2.7409961348020149E-5</c:v>
                </c:pt>
                <c:pt idx="25">
                  <c:v>2.9140806932317165E-5</c:v>
                </c:pt>
                <c:pt idx="26">
                  <c:v>3.0906624983462815E-5</c:v>
                </c:pt>
                <c:pt idx="27">
                  <c:v>3.2706736100852989E-5</c:v>
                </c:pt>
                <c:pt idx="28">
                  <c:v>3.4540499009702915E-5</c:v>
                </c:pt>
                <c:pt idx="29">
                  <c:v>3.6407307122872407E-5</c:v>
                </c:pt>
                <c:pt idx="30">
                  <c:v>3.8306585521759288E-5</c:v>
                </c:pt>
                <c:pt idx="31">
                  <c:v>4.0237788292782661E-5</c:v>
                </c:pt>
                <c:pt idx="32">
                  <c:v>4.2200396167351131E-5</c:v>
                </c:pt>
                <c:pt idx="33">
                  <c:v>4.4193914422248542E-5</c:v>
                </c:pt>
                <c:pt idx="34">
                  <c:v>4.6217871004613908E-5</c:v>
                </c:pt>
                <c:pt idx="35">
                  <c:v>4.82718148515374E-5</c:v>
                </c:pt>
                <c:pt idx="36">
                  <c:v>5.035531437904406E-5</c:v>
                </c:pt>
                <c:pt idx="37">
                  <c:v>5.246795611912382E-5</c:v>
                </c:pt>
                <c:pt idx="38">
                  <c:v>5.4609343486662973E-5</c:v>
                </c:pt>
                <c:pt idx="39">
                  <c:v>5.6779095660778886E-5</c:v>
                </c:pt>
                <c:pt idx="40">
                  <c:v>5.8976846567261712E-5</c:v>
                </c:pt>
                <c:pt idx="41">
                  <c:v>6.120224395066818E-5</c:v>
                </c:pt>
                <c:pt idx="42">
                  <c:v>6.3454948526159817E-5</c:v>
                </c:pt>
                <c:pt idx="43">
                  <c:v>6.5734633202484862E-5</c:v>
                </c:pt>
                <c:pt idx="44">
                  <c:v>6.8040982368609262E-5</c:v>
                </c:pt>
                <c:pt idx="45">
                  <c:v>7.0373691237446973E-5</c:v>
                </c:pt>
                <c:pt idx="46">
                  <c:v>7.2732465240943163E-5</c:v>
                </c:pt>
                <c:pt idx="47">
                  <c:v>7.5117019471456991E-5</c:v>
                </c:pt>
                <c:pt idx="48">
                  <c:v>7.7527078164984839E-5</c:v>
                </c:pt>
                <c:pt idx="49">
                  <c:v>7.9962468537103637E-5</c:v>
                </c:pt>
                <c:pt idx="50">
                  <c:v>8.243746853710363E-5</c:v>
                </c:pt>
                <c:pt idx="51">
                  <c:v>8.4962468537103596E-5</c:v>
                </c:pt>
                <c:pt idx="52">
                  <c:v>8.7537468537103605E-5</c:v>
                </c:pt>
                <c:pt idx="53">
                  <c:v>9.0162468537103628E-5</c:v>
                </c:pt>
                <c:pt idx="54">
                  <c:v>9.2837468537103652E-5</c:v>
                </c:pt>
                <c:pt idx="55">
                  <c:v>9.556246853710361E-5</c:v>
                </c:pt>
                <c:pt idx="56">
                  <c:v>9.8337468537103623E-5</c:v>
                </c:pt>
                <c:pt idx="57">
                  <c:v>1.0116246853710364E-4</c:v>
                </c:pt>
                <c:pt idx="58">
                  <c:v>1.0403746853710359E-4</c:v>
                </c:pt>
                <c:pt idx="59">
                  <c:v>1.0696246853710359E-4</c:v>
                </c:pt>
                <c:pt idx="60">
                  <c:v>1.0993746853710365E-4</c:v>
                </c:pt>
                <c:pt idx="61">
                  <c:v>1.1296246853710356E-4</c:v>
                </c:pt>
                <c:pt idx="62">
                  <c:v>1.1603746853710354E-4</c:v>
                </c:pt>
                <c:pt idx="63">
                  <c:v>1.1916246853710357E-4</c:v>
                </c:pt>
                <c:pt idx="64">
                  <c:v>1.223374685371036E-4</c:v>
                </c:pt>
                <c:pt idx="65">
                  <c:v>1.2556246853710363E-4</c:v>
                </c:pt>
                <c:pt idx="66">
                  <c:v>1.2883746853710367E-4</c:v>
                </c:pt>
                <c:pt idx="67">
                  <c:v>1.3216246853710361E-4</c:v>
                </c:pt>
                <c:pt idx="68">
                  <c:v>1.3553746853710362E-4</c:v>
                </c:pt>
                <c:pt idx="69">
                  <c:v>1.3896246853710363E-4</c:v>
                </c:pt>
                <c:pt idx="70">
                  <c:v>1.4243746853710362E-4</c:v>
                </c:pt>
                <c:pt idx="71">
                  <c:v>1.4596246853710359E-4</c:v>
                </c:pt>
                <c:pt idx="72">
                  <c:v>1.4953746853710358E-4</c:v>
                </c:pt>
                <c:pt idx="73">
                  <c:v>1.531624685371036E-4</c:v>
                </c:pt>
                <c:pt idx="74">
                  <c:v>1.5683746853710357E-4</c:v>
                </c:pt>
                <c:pt idx="75">
                  <c:v>1.6056246853710356E-4</c:v>
                </c:pt>
                <c:pt idx="76">
                  <c:v>1.6433746853710351E-4</c:v>
                </c:pt>
                <c:pt idx="77">
                  <c:v>1.6816246853710359E-4</c:v>
                </c:pt>
                <c:pt idx="78">
                  <c:v>1.7203746853710361E-4</c:v>
                </c:pt>
                <c:pt idx="79">
                  <c:v>1.7596246853710356E-4</c:v>
                </c:pt>
                <c:pt idx="80">
                  <c:v>1.7993746853710361E-4</c:v>
                </c:pt>
                <c:pt idx="81">
                  <c:v>1.8396246853710359E-4</c:v>
                </c:pt>
                <c:pt idx="82">
                  <c:v>1.8803746853710357E-4</c:v>
                </c:pt>
                <c:pt idx="83">
                  <c:v>1.9216246853710365E-4</c:v>
                </c:pt>
                <c:pt idx="84">
                  <c:v>1.9633746853710361E-4</c:v>
                </c:pt>
                <c:pt idx="85">
                  <c:v>2.0056246853710356E-4</c:v>
                </c:pt>
                <c:pt idx="86">
                  <c:v>2.0483746853710365E-4</c:v>
                </c:pt>
                <c:pt idx="87">
                  <c:v>2.0916246853710363E-4</c:v>
                </c:pt>
                <c:pt idx="88">
                  <c:v>2.1353746853710362E-4</c:v>
                </c:pt>
                <c:pt idx="89">
                  <c:v>2.1796246853710358E-4</c:v>
                </c:pt>
                <c:pt idx="90">
                  <c:v>2.2243746853710367E-4</c:v>
                </c:pt>
                <c:pt idx="91">
                  <c:v>2.2696246853710363E-4</c:v>
                </c:pt>
                <c:pt idx="92">
                  <c:v>2.3153746853710362E-4</c:v>
                </c:pt>
                <c:pt idx="93">
                  <c:v>2.3616246853710364E-4</c:v>
                </c:pt>
                <c:pt idx="94">
                  <c:v>2.4083746853710371E-4</c:v>
                </c:pt>
                <c:pt idx="95">
                  <c:v>2.4556246853710365E-4</c:v>
                </c:pt>
                <c:pt idx="96">
                  <c:v>2.5033746853710354E-4</c:v>
                </c:pt>
                <c:pt idx="97">
                  <c:v>2.551624685371035E-4</c:v>
                </c:pt>
                <c:pt idx="98">
                  <c:v>2.6003746853710356E-4</c:v>
                </c:pt>
                <c:pt idx="99">
                  <c:v>2.6496246853710358E-4</c:v>
                </c:pt>
                <c:pt idx="100">
                  <c:v>2.6993746853710358E-4</c:v>
                </c:pt>
                <c:pt idx="101">
                  <c:v>2.7496246853710361E-4</c:v>
                </c:pt>
                <c:pt idx="102">
                  <c:v>2.8003746853710361E-4</c:v>
                </c:pt>
                <c:pt idx="103">
                  <c:v>2.8516246853710364E-4</c:v>
                </c:pt>
                <c:pt idx="104">
                  <c:v>2.9033746853710359E-4</c:v>
                </c:pt>
                <c:pt idx="105">
                  <c:v>2.9556246853710357E-4</c:v>
                </c:pt>
                <c:pt idx="106">
                  <c:v>3.0083746853710357E-4</c:v>
                </c:pt>
                <c:pt idx="107">
                  <c:v>3.0616246853710361E-4</c:v>
                </c:pt>
                <c:pt idx="108">
                  <c:v>3.1153746853710372E-4</c:v>
                </c:pt>
                <c:pt idx="109">
                  <c:v>3.1696246853710376E-4</c:v>
                </c:pt>
                <c:pt idx="110">
                  <c:v>3.2243746853710355E-4</c:v>
                </c:pt>
                <c:pt idx="111">
                  <c:v>3.279624685371037E-4</c:v>
                </c:pt>
                <c:pt idx="112">
                  <c:v>3.3353746853710355E-4</c:v>
                </c:pt>
                <c:pt idx="113">
                  <c:v>3.391624685371037E-4</c:v>
                </c:pt>
                <c:pt idx="114">
                  <c:v>3.4483746853710372E-4</c:v>
                </c:pt>
                <c:pt idx="115">
                  <c:v>3.5056246853710355E-4</c:v>
                </c:pt>
                <c:pt idx="116">
                  <c:v>3.5633746853710362E-4</c:v>
                </c:pt>
                <c:pt idx="117">
                  <c:v>3.6216246853710361E-4</c:v>
                </c:pt>
                <c:pt idx="118">
                  <c:v>3.6803746853710358E-4</c:v>
                </c:pt>
                <c:pt idx="119">
                  <c:v>3.7396246853710341E-4</c:v>
                </c:pt>
                <c:pt idx="120">
                  <c:v>3.7993746853710354E-4</c:v>
                </c:pt>
                <c:pt idx="121">
                  <c:v>3.8596246853710354E-4</c:v>
                </c:pt>
                <c:pt idx="122">
                  <c:v>3.9203746853710351E-4</c:v>
                </c:pt>
                <c:pt idx="123">
                  <c:v>3.9816246853710362E-4</c:v>
                </c:pt>
                <c:pt idx="124">
                  <c:v>4.0433746853710359E-4</c:v>
                </c:pt>
                <c:pt idx="125">
                  <c:v>4.1056246853710381E-4</c:v>
                </c:pt>
                <c:pt idx="126">
                  <c:v>4.1683746853710346E-4</c:v>
                </c:pt>
                <c:pt idx="127">
                  <c:v>4.2316246853710341E-4</c:v>
                </c:pt>
                <c:pt idx="128">
                  <c:v>4.2953746853710366E-4</c:v>
                </c:pt>
                <c:pt idx="129">
                  <c:v>4.3596246853710345E-4</c:v>
                </c:pt>
                <c:pt idx="130">
                  <c:v>4.4243746853710349E-4</c:v>
                </c:pt>
                <c:pt idx="131">
                  <c:v>4.4896246853710366E-4</c:v>
                </c:pt>
                <c:pt idx="132">
                  <c:v>4.5553746853710375E-4</c:v>
                </c:pt>
                <c:pt idx="133">
                  <c:v>4.6216246853710371E-4</c:v>
                </c:pt>
                <c:pt idx="134">
                  <c:v>4.688374685371037E-4</c:v>
                </c:pt>
                <c:pt idx="135">
                  <c:v>4.7556246853710371E-4</c:v>
                </c:pt>
                <c:pt idx="136">
                  <c:v>4.823374685371037E-4</c:v>
                </c:pt>
                <c:pt idx="137">
                  <c:v>4.8916246853710355E-4</c:v>
                </c:pt>
                <c:pt idx="138">
                  <c:v>4.960374685371036E-4</c:v>
                </c:pt>
                <c:pt idx="139">
                  <c:v>5.0296246853710367E-4</c:v>
                </c:pt>
                <c:pt idx="140">
                  <c:v>5.0993746853710378E-4</c:v>
                </c:pt>
                <c:pt idx="141">
                  <c:v>5.1696246853710336E-4</c:v>
                </c:pt>
                <c:pt idx="142">
                  <c:v>5.240374685371033E-4</c:v>
                </c:pt>
                <c:pt idx="143">
                  <c:v>5.3116246853710349E-4</c:v>
                </c:pt>
                <c:pt idx="144">
                  <c:v>5.383374685371036E-4</c:v>
                </c:pt>
                <c:pt idx="145">
                  <c:v>5.4556246853710362E-4</c:v>
                </c:pt>
                <c:pt idx="146">
                  <c:v>5.5283746853710325E-4</c:v>
                </c:pt>
                <c:pt idx="147">
                  <c:v>5.6016246853710355E-4</c:v>
                </c:pt>
                <c:pt idx="148">
                  <c:v>5.6753746853710344E-4</c:v>
                </c:pt>
                <c:pt idx="149">
                  <c:v>5.7496246853710369E-4</c:v>
                </c:pt>
                <c:pt idx="150">
                  <c:v>5.8243746853710375E-4</c:v>
                </c:pt>
              </c:numCache>
            </c:numRef>
          </c:yVal>
          <c:smooth val="1"/>
          <c:extLst>
            <c:ext xmlns:c16="http://schemas.microsoft.com/office/drawing/2014/chart" uri="{C3380CC4-5D6E-409C-BE32-E72D297353CC}">
              <c16:uniqueId val="{00000002-6250-418B-870F-DFA6B9A805A0}"/>
            </c:ext>
          </c:extLst>
        </c:ser>
        <c:ser>
          <c:idx val="2"/>
          <c:order val="3"/>
          <c:tx>
            <c:v>D1</c:v>
          </c:tx>
          <c:spPr>
            <a:ln>
              <a:solidFill>
                <a:schemeClr val="bg2">
                  <a:lumMod val="50000"/>
                </a:schemeClr>
              </a:solidFill>
              <a:prstDash val="sysDash"/>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Eff_vs_IOUT!$AY$8:$AY$157</c:f>
              <c:numCache>
                <c:formatCode>General</c:formatCode>
                <c:ptCount val="150"/>
                <c:pt idx="0">
                  <c:v>6.8348000000000006E-2</c:v>
                </c:pt>
                <c:pt idx="1">
                  <c:v>6.8547999999999998E-2</c:v>
                </c:pt>
                <c:pt idx="2">
                  <c:v>6.8748000000000004E-2</c:v>
                </c:pt>
                <c:pt idx="3">
                  <c:v>6.8947999999999995E-2</c:v>
                </c:pt>
                <c:pt idx="4">
                  <c:v>6.9148000000000001E-2</c:v>
                </c:pt>
                <c:pt idx="5">
                  <c:v>6.9348000000000007E-2</c:v>
                </c:pt>
                <c:pt idx="6">
                  <c:v>6.9547999999999999E-2</c:v>
                </c:pt>
                <c:pt idx="7">
                  <c:v>6.9748000000000004E-2</c:v>
                </c:pt>
                <c:pt idx="8">
                  <c:v>6.9947999999999996E-2</c:v>
                </c:pt>
                <c:pt idx="9">
                  <c:v>7.0148000000000002E-2</c:v>
                </c:pt>
                <c:pt idx="10">
                  <c:v>7.0347999999999994E-2</c:v>
                </c:pt>
                <c:pt idx="11">
                  <c:v>7.0548E-2</c:v>
                </c:pt>
                <c:pt idx="12">
                  <c:v>7.0748000000000005E-2</c:v>
                </c:pt>
                <c:pt idx="13">
                  <c:v>7.0947999999999997E-2</c:v>
                </c:pt>
                <c:pt idx="14">
                  <c:v>7.1148000000000003E-2</c:v>
                </c:pt>
                <c:pt idx="15">
                  <c:v>7.1347999999999995E-2</c:v>
                </c:pt>
                <c:pt idx="16">
                  <c:v>7.1548E-2</c:v>
                </c:pt>
                <c:pt idx="17">
                  <c:v>7.1748000000000006E-2</c:v>
                </c:pt>
                <c:pt idx="18">
                  <c:v>7.1947999999999998E-2</c:v>
                </c:pt>
                <c:pt idx="19">
                  <c:v>7.2148000000000004E-2</c:v>
                </c:pt>
                <c:pt idx="20">
                  <c:v>7.2347999999999996E-2</c:v>
                </c:pt>
                <c:pt idx="21">
                  <c:v>7.2548000000000001E-2</c:v>
                </c:pt>
                <c:pt idx="22">
                  <c:v>7.2748000000000007E-2</c:v>
                </c:pt>
                <c:pt idx="23">
                  <c:v>7.2947999999999999E-2</c:v>
                </c:pt>
                <c:pt idx="24">
                  <c:v>7.3148000000000005E-2</c:v>
                </c:pt>
                <c:pt idx="25">
                  <c:v>7.3347999999999997E-2</c:v>
                </c:pt>
                <c:pt idx="26">
                  <c:v>7.3548000000000002E-2</c:v>
                </c:pt>
                <c:pt idx="27">
                  <c:v>7.3747999999999994E-2</c:v>
                </c:pt>
                <c:pt idx="28">
                  <c:v>7.3948E-2</c:v>
                </c:pt>
                <c:pt idx="29">
                  <c:v>7.4148000000000006E-2</c:v>
                </c:pt>
                <c:pt idx="30">
                  <c:v>7.4347999999999997E-2</c:v>
                </c:pt>
                <c:pt idx="31">
                  <c:v>7.4548000000000003E-2</c:v>
                </c:pt>
                <c:pt idx="32">
                  <c:v>7.4747999999999995E-2</c:v>
                </c:pt>
                <c:pt idx="33">
                  <c:v>7.4948000000000001E-2</c:v>
                </c:pt>
                <c:pt idx="34">
                  <c:v>7.5148000000000006E-2</c:v>
                </c:pt>
                <c:pt idx="35">
                  <c:v>7.5347999999999998E-2</c:v>
                </c:pt>
                <c:pt idx="36">
                  <c:v>7.5548000000000004E-2</c:v>
                </c:pt>
                <c:pt idx="37">
                  <c:v>7.5747999999999996E-2</c:v>
                </c:pt>
                <c:pt idx="38">
                  <c:v>7.5948000000000002E-2</c:v>
                </c:pt>
                <c:pt idx="39">
                  <c:v>7.6147999999999993E-2</c:v>
                </c:pt>
                <c:pt idx="40">
                  <c:v>7.6347999999999999E-2</c:v>
                </c:pt>
                <c:pt idx="41">
                  <c:v>7.6548000000000005E-2</c:v>
                </c:pt>
                <c:pt idx="42">
                  <c:v>7.6747999999999997E-2</c:v>
                </c:pt>
                <c:pt idx="43">
                  <c:v>7.6948000000000003E-2</c:v>
                </c:pt>
                <c:pt idx="44">
                  <c:v>7.7147999999999994E-2</c:v>
                </c:pt>
                <c:pt idx="45">
                  <c:v>7.7348E-2</c:v>
                </c:pt>
                <c:pt idx="46">
                  <c:v>7.7548000000000006E-2</c:v>
                </c:pt>
                <c:pt idx="47">
                  <c:v>7.7747999999999998E-2</c:v>
                </c:pt>
                <c:pt idx="48">
                  <c:v>7.7948000000000003E-2</c:v>
                </c:pt>
                <c:pt idx="49">
                  <c:v>7.8147999999999995E-2</c:v>
                </c:pt>
                <c:pt idx="50">
                  <c:v>7.8348000000000001E-2</c:v>
                </c:pt>
                <c:pt idx="51">
                  <c:v>7.8548000000000007E-2</c:v>
                </c:pt>
                <c:pt idx="52">
                  <c:v>7.8747999999999999E-2</c:v>
                </c:pt>
                <c:pt idx="53">
                  <c:v>7.8948000000000004E-2</c:v>
                </c:pt>
                <c:pt idx="54">
                  <c:v>7.9147999999999996E-2</c:v>
                </c:pt>
                <c:pt idx="55">
                  <c:v>7.9348000000000002E-2</c:v>
                </c:pt>
                <c:pt idx="56">
                  <c:v>7.9548000000000008E-2</c:v>
                </c:pt>
                <c:pt idx="57">
                  <c:v>7.9747999999999999E-2</c:v>
                </c:pt>
                <c:pt idx="58">
                  <c:v>7.9948000000000005E-2</c:v>
                </c:pt>
                <c:pt idx="59">
                  <c:v>8.0147999999999997E-2</c:v>
                </c:pt>
                <c:pt idx="60">
                  <c:v>8.0348000000000003E-2</c:v>
                </c:pt>
                <c:pt idx="61">
                  <c:v>8.0547999999999995E-2</c:v>
                </c:pt>
                <c:pt idx="62">
                  <c:v>8.0748E-2</c:v>
                </c:pt>
                <c:pt idx="63">
                  <c:v>8.0947999999999992E-2</c:v>
                </c:pt>
                <c:pt idx="64">
                  <c:v>8.1147999999999998E-2</c:v>
                </c:pt>
                <c:pt idx="65">
                  <c:v>8.1348000000000004E-2</c:v>
                </c:pt>
                <c:pt idx="66">
                  <c:v>8.1547999999999995E-2</c:v>
                </c:pt>
                <c:pt idx="67">
                  <c:v>8.1748000000000001E-2</c:v>
                </c:pt>
                <c:pt idx="68">
                  <c:v>8.1948000000000007E-2</c:v>
                </c:pt>
                <c:pt idx="69">
                  <c:v>8.2147999999999999E-2</c:v>
                </c:pt>
                <c:pt idx="70">
                  <c:v>8.2348000000000005E-2</c:v>
                </c:pt>
                <c:pt idx="71">
                  <c:v>8.2547999999999996E-2</c:v>
                </c:pt>
                <c:pt idx="72">
                  <c:v>8.2748000000000002E-2</c:v>
                </c:pt>
                <c:pt idx="73">
                  <c:v>8.2947999999999994E-2</c:v>
                </c:pt>
                <c:pt idx="74">
                  <c:v>8.3148E-2</c:v>
                </c:pt>
                <c:pt idx="75">
                  <c:v>8.3348000000000005E-2</c:v>
                </c:pt>
                <c:pt idx="76">
                  <c:v>8.3547999999999997E-2</c:v>
                </c:pt>
                <c:pt idx="77">
                  <c:v>8.3748000000000003E-2</c:v>
                </c:pt>
                <c:pt idx="78">
                  <c:v>8.3947999999999995E-2</c:v>
                </c:pt>
                <c:pt idx="79">
                  <c:v>8.4148000000000001E-2</c:v>
                </c:pt>
                <c:pt idx="80">
                  <c:v>8.4348000000000006E-2</c:v>
                </c:pt>
                <c:pt idx="81">
                  <c:v>8.4547999999999998E-2</c:v>
                </c:pt>
                <c:pt idx="82">
                  <c:v>8.4748000000000004E-2</c:v>
                </c:pt>
                <c:pt idx="83">
                  <c:v>8.4947999999999996E-2</c:v>
                </c:pt>
                <c:pt idx="84">
                  <c:v>8.5148000000000001E-2</c:v>
                </c:pt>
                <c:pt idx="85">
                  <c:v>8.5348000000000007E-2</c:v>
                </c:pt>
                <c:pt idx="86">
                  <c:v>8.5547999999999999E-2</c:v>
                </c:pt>
                <c:pt idx="87">
                  <c:v>8.5747999999999991E-2</c:v>
                </c:pt>
                <c:pt idx="88">
                  <c:v>8.5947999999999997E-2</c:v>
                </c:pt>
                <c:pt idx="89">
                  <c:v>8.6148000000000002E-2</c:v>
                </c:pt>
                <c:pt idx="90">
                  <c:v>8.6348000000000008E-2</c:v>
                </c:pt>
                <c:pt idx="91">
                  <c:v>8.6548E-2</c:v>
                </c:pt>
                <c:pt idx="92">
                  <c:v>8.6748000000000006E-2</c:v>
                </c:pt>
                <c:pt idx="93">
                  <c:v>8.6947999999999998E-2</c:v>
                </c:pt>
                <c:pt idx="94">
                  <c:v>8.7148000000000003E-2</c:v>
                </c:pt>
                <c:pt idx="95">
                  <c:v>8.7347999999999995E-2</c:v>
                </c:pt>
                <c:pt idx="96">
                  <c:v>8.7548000000000001E-2</c:v>
                </c:pt>
                <c:pt idx="97">
                  <c:v>8.7747999999999993E-2</c:v>
                </c:pt>
                <c:pt idx="98">
                  <c:v>8.7947999999999998E-2</c:v>
                </c:pt>
                <c:pt idx="99">
                  <c:v>8.8148000000000004E-2</c:v>
                </c:pt>
                <c:pt idx="100">
                  <c:v>8.8347999999999996E-2</c:v>
                </c:pt>
                <c:pt idx="101">
                  <c:v>8.8548000000000002E-2</c:v>
                </c:pt>
                <c:pt idx="102">
                  <c:v>8.8747999999999994E-2</c:v>
                </c:pt>
                <c:pt idx="103">
                  <c:v>8.8947999999999999E-2</c:v>
                </c:pt>
                <c:pt idx="104">
                  <c:v>8.9148000000000005E-2</c:v>
                </c:pt>
                <c:pt idx="105">
                  <c:v>8.9347999999999997E-2</c:v>
                </c:pt>
                <c:pt idx="106">
                  <c:v>8.9548000000000003E-2</c:v>
                </c:pt>
                <c:pt idx="107">
                  <c:v>8.9747999999999994E-2</c:v>
                </c:pt>
                <c:pt idx="108">
                  <c:v>8.9948E-2</c:v>
                </c:pt>
                <c:pt idx="109">
                  <c:v>9.0148000000000006E-2</c:v>
                </c:pt>
                <c:pt idx="110">
                  <c:v>9.0347999999999998E-2</c:v>
                </c:pt>
                <c:pt idx="111">
                  <c:v>9.0548000000000003E-2</c:v>
                </c:pt>
                <c:pt idx="112">
                  <c:v>9.0747999999999995E-2</c:v>
                </c:pt>
                <c:pt idx="113">
                  <c:v>9.0948000000000001E-2</c:v>
                </c:pt>
                <c:pt idx="114">
                  <c:v>9.1148000000000007E-2</c:v>
                </c:pt>
                <c:pt idx="115">
                  <c:v>9.1347999999999999E-2</c:v>
                </c:pt>
                <c:pt idx="116">
                  <c:v>9.1548000000000004E-2</c:v>
                </c:pt>
                <c:pt idx="117">
                  <c:v>9.1747999999999996E-2</c:v>
                </c:pt>
                <c:pt idx="118">
                  <c:v>9.1948000000000002E-2</c:v>
                </c:pt>
                <c:pt idx="119">
                  <c:v>9.2148000000000008E-2</c:v>
                </c:pt>
                <c:pt idx="120">
                  <c:v>9.2348E-2</c:v>
                </c:pt>
                <c:pt idx="121">
                  <c:v>9.2547999999999991E-2</c:v>
                </c:pt>
                <c:pt idx="122">
                  <c:v>9.2747999999999997E-2</c:v>
                </c:pt>
                <c:pt idx="123">
                  <c:v>9.2948000000000003E-2</c:v>
                </c:pt>
                <c:pt idx="124">
                  <c:v>9.3147999999999995E-2</c:v>
                </c:pt>
                <c:pt idx="125">
                  <c:v>9.3348E-2</c:v>
                </c:pt>
                <c:pt idx="126">
                  <c:v>9.3547999999999992E-2</c:v>
                </c:pt>
                <c:pt idx="127">
                  <c:v>9.3747999999999998E-2</c:v>
                </c:pt>
                <c:pt idx="128">
                  <c:v>9.3948000000000004E-2</c:v>
                </c:pt>
                <c:pt idx="129">
                  <c:v>9.4147999999999996E-2</c:v>
                </c:pt>
                <c:pt idx="130">
                  <c:v>9.4348000000000001E-2</c:v>
                </c:pt>
                <c:pt idx="131">
                  <c:v>9.4548000000000007E-2</c:v>
                </c:pt>
                <c:pt idx="132">
                  <c:v>9.4747999999999999E-2</c:v>
                </c:pt>
                <c:pt idx="133">
                  <c:v>9.4948000000000005E-2</c:v>
                </c:pt>
                <c:pt idx="134">
                  <c:v>9.514800000000001E-2</c:v>
                </c:pt>
                <c:pt idx="135">
                  <c:v>9.5348000000000002E-2</c:v>
                </c:pt>
                <c:pt idx="136">
                  <c:v>9.5547999999999994E-2</c:v>
                </c:pt>
                <c:pt idx="137">
                  <c:v>9.5748E-2</c:v>
                </c:pt>
                <c:pt idx="138">
                  <c:v>9.5948000000000006E-2</c:v>
                </c:pt>
                <c:pt idx="139">
                  <c:v>9.6147999999999997E-2</c:v>
                </c:pt>
                <c:pt idx="140">
                  <c:v>9.6348000000000003E-2</c:v>
                </c:pt>
                <c:pt idx="141">
                  <c:v>9.6547999999999995E-2</c:v>
                </c:pt>
                <c:pt idx="142">
                  <c:v>9.6748000000000001E-2</c:v>
                </c:pt>
                <c:pt idx="143">
                  <c:v>9.6948000000000006E-2</c:v>
                </c:pt>
                <c:pt idx="144">
                  <c:v>9.7147999999999998E-2</c:v>
                </c:pt>
                <c:pt idx="145">
                  <c:v>9.734799999999999E-2</c:v>
                </c:pt>
                <c:pt idx="146">
                  <c:v>9.7547999999999996E-2</c:v>
                </c:pt>
                <c:pt idx="147">
                  <c:v>9.7748000000000002E-2</c:v>
                </c:pt>
                <c:pt idx="148">
                  <c:v>9.7947999999999993E-2</c:v>
                </c:pt>
                <c:pt idx="149">
                  <c:v>9.8147999999999999E-2</c:v>
                </c:pt>
              </c:numCache>
            </c:numRef>
          </c:yVal>
          <c:smooth val="1"/>
          <c:extLst>
            <c:ext xmlns:c16="http://schemas.microsoft.com/office/drawing/2014/chart" uri="{C3380CC4-5D6E-409C-BE32-E72D297353CC}">
              <c16:uniqueId val="{00000003-6250-418B-870F-DFA6B9A805A0}"/>
            </c:ext>
          </c:extLst>
        </c:ser>
        <c:ser>
          <c:idx val="4"/>
          <c:order val="4"/>
          <c:tx>
            <c:v>D2</c:v>
          </c:tx>
          <c:marker>
            <c:symbol val="none"/>
          </c:marker>
          <c:xVal>
            <c:numRef>
              <c:f>Eff_vs_IOUT!$R$8:$R$157</c:f>
              <c:numCache>
                <c:formatCode>General</c:formatCode>
                <c:ptCount val="150"/>
                <c:pt idx="0">
                  <c:v>0.01</c:v>
                </c:pt>
                <c:pt idx="1">
                  <c:v>0.02</c:v>
                </c:pt>
                <c:pt idx="2">
                  <c:v>0.03</c:v>
                </c:pt>
                <c:pt idx="3">
                  <c:v>0.04</c:v>
                </c:pt>
                <c:pt idx="4">
                  <c:v>0.05</c:v>
                </c:pt>
                <c:pt idx="5">
                  <c:v>0.06</c:v>
                </c:pt>
                <c:pt idx="6">
                  <c:v>7.0000000000000007E-2</c:v>
                </c:pt>
                <c:pt idx="7">
                  <c:v>0.08</c:v>
                </c:pt>
                <c:pt idx="8">
                  <c:v>0.09</c:v>
                </c:pt>
                <c:pt idx="9">
                  <c:v>0.1</c:v>
                </c:pt>
                <c:pt idx="10">
                  <c:v>0.11</c:v>
                </c:pt>
                <c:pt idx="11">
                  <c:v>0.12</c:v>
                </c:pt>
                <c:pt idx="12">
                  <c:v>0.13</c:v>
                </c:pt>
                <c:pt idx="13">
                  <c:v>0.14000000000000001</c:v>
                </c:pt>
                <c:pt idx="14">
                  <c:v>0.15</c:v>
                </c:pt>
                <c:pt idx="15">
                  <c:v>0.16</c:v>
                </c:pt>
                <c:pt idx="16">
                  <c:v>0.17</c:v>
                </c:pt>
                <c:pt idx="17">
                  <c:v>0.18</c:v>
                </c:pt>
                <c:pt idx="18">
                  <c:v>0.19</c:v>
                </c:pt>
                <c:pt idx="19">
                  <c:v>0.2</c:v>
                </c:pt>
                <c:pt idx="20">
                  <c:v>0.21</c:v>
                </c:pt>
                <c:pt idx="21">
                  <c:v>0.22</c:v>
                </c:pt>
                <c:pt idx="22">
                  <c:v>0.23</c:v>
                </c:pt>
                <c:pt idx="23">
                  <c:v>0.24</c:v>
                </c:pt>
                <c:pt idx="24">
                  <c:v>0.25</c:v>
                </c:pt>
                <c:pt idx="25">
                  <c:v>0.26</c:v>
                </c:pt>
                <c:pt idx="26">
                  <c:v>0.27</c:v>
                </c:pt>
                <c:pt idx="27">
                  <c:v>0.28000000000000003</c:v>
                </c:pt>
                <c:pt idx="28">
                  <c:v>0.28999999999999998</c:v>
                </c:pt>
                <c:pt idx="29">
                  <c:v>0.3</c:v>
                </c:pt>
                <c:pt idx="30">
                  <c:v>0.31</c:v>
                </c:pt>
                <c:pt idx="31">
                  <c:v>0.32</c:v>
                </c:pt>
                <c:pt idx="32">
                  <c:v>0.33</c:v>
                </c:pt>
                <c:pt idx="33">
                  <c:v>0.34</c:v>
                </c:pt>
                <c:pt idx="34">
                  <c:v>0.35000000000000003</c:v>
                </c:pt>
                <c:pt idx="35">
                  <c:v>0.36</c:v>
                </c:pt>
                <c:pt idx="36">
                  <c:v>0.37</c:v>
                </c:pt>
                <c:pt idx="37">
                  <c:v>0.38</c:v>
                </c:pt>
                <c:pt idx="38">
                  <c:v>0.39</c:v>
                </c:pt>
                <c:pt idx="39">
                  <c:v>0.4</c:v>
                </c:pt>
                <c:pt idx="40">
                  <c:v>0.41000000000000003</c:v>
                </c:pt>
                <c:pt idx="41">
                  <c:v>0.42</c:v>
                </c:pt>
                <c:pt idx="42">
                  <c:v>0.43</c:v>
                </c:pt>
                <c:pt idx="43">
                  <c:v>0.44</c:v>
                </c:pt>
                <c:pt idx="44">
                  <c:v>0.45</c:v>
                </c:pt>
                <c:pt idx="45">
                  <c:v>0.46</c:v>
                </c:pt>
                <c:pt idx="46">
                  <c:v>0.47000000000000003</c:v>
                </c:pt>
                <c:pt idx="47">
                  <c:v>0.48</c:v>
                </c:pt>
                <c:pt idx="48">
                  <c:v>0.49</c:v>
                </c:pt>
                <c:pt idx="49">
                  <c:v>0.5</c:v>
                </c:pt>
                <c:pt idx="50">
                  <c:v>0.51</c:v>
                </c:pt>
                <c:pt idx="51">
                  <c:v>0.52</c:v>
                </c:pt>
                <c:pt idx="52">
                  <c:v>0.53</c:v>
                </c:pt>
                <c:pt idx="53">
                  <c:v>0.54</c:v>
                </c:pt>
                <c:pt idx="54">
                  <c:v>0.55000000000000004</c:v>
                </c:pt>
                <c:pt idx="55">
                  <c:v>0.56000000000000005</c:v>
                </c:pt>
                <c:pt idx="56">
                  <c:v>0.57000000000000006</c:v>
                </c:pt>
                <c:pt idx="57">
                  <c:v>0.57999999999999996</c:v>
                </c:pt>
                <c:pt idx="58">
                  <c:v>0.59</c:v>
                </c:pt>
                <c:pt idx="59">
                  <c:v>0.6</c:v>
                </c:pt>
                <c:pt idx="60">
                  <c:v>0.61</c:v>
                </c:pt>
                <c:pt idx="61">
                  <c:v>0.62</c:v>
                </c:pt>
                <c:pt idx="62">
                  <c:v>0.63</c:v>
                </c:pt>
                <c:pt idx="63">
                  <c:v>0.64</c:v>
                </c:pt>
                <c:pt idx="64">
                  <c:v>0.65</c:v>
                </c:pt>
                <c:pt idx="65">
                  <c:v>0.66</c:v>
                </c:pt>
                <c:pt idx="66">
                  <c:v>0.67</c:v>
                </c:pt>
                <c:pt idx="67">
                  <c:v>0.68</c:v>
                </c:pt>
                <c:pt idx="68">
                  <c:v>0.69000000000000006</c:v>
                </c:pt>
                <c:pt idx="69">
                  <c:v>0.70000000000000007</c:v>
                </c:pt>
                <c:pt idx="70">
                  <c:v>0.71</c:v>
                </c:pt>
                <c:pt idx="71">
                  <c:v>0.72</c:v>
                </c:pt>
                <c:pt idx="72">
                  <c:v>0.73</c:v>
                </c:pt>
                <c:pt idx="73">
                  <c:v>0.74</c:v>
                </c:pt>
                <c:pt idx="74">
                  <c:v>0.75</c:v>
                </c:pt>
                <c:pt idx="75">
                  <c:v>0.76</c:v>
                </c:pt>
                <c:pt idx="76">
                  <c:v>0.77</c:v>
                </c:pt>
                <c:pt idx="77">
                  <c:v>0.78</c:v>
                </c:pt>
                <c:pt idx="78">
                  <c:v>0.79</c:v>
                </c:pt>
                <c:pt idx="79">
                  <c:v>0.8</c:v>
                </c:pt>
                <c:pt idx="80">
                  <c:v>0.81</c:v>
                </c:pt>
                <c:pt idx="81">
                  <c:v>0.82000000000000006</c:v>
                </c:pt>
                <c:pt idx="82">
                  <c:v>0.83000000000000007</c:v>
                </c:pt>
                <c:pt idx="83">
                  <c:v>0.84</c:v>
                </c:pt>
                <c:pt idx="84">
                  <c:v>0.85</c:v>
                </c:pt>
                <c:pt idx="85">
                  <c:v>0.86</c:v>
                </c:pt>
                <c:pt idx="86">
                  <c:v>0.87</c:v>
                </c:pt>
                <c:pt idx="87">
                  <c:v>0.88</c:v>
                </c:pt>
                <c:pt idx="88">
                  <c:v>0.89</c:v>
                </c:pt>
                <c:pt idx="89">
                  <c:v>0.9</c:v>
                </c:pt>
                <c:pt idx="90">
                  <c:v>0.91</c:v>
                </c:pt>
                <c:pt idx="91">
                  <c:v>0.92</c:v>
                </c:pt>
                <c:pt idx="92">
                  <c:v>0.93</c:v>
                </c:pt>
                <c:pt idx="93">
                  <c:v>0.94000000000000006</c:v>
                </c:pt>
                <c:pt idx="94">
                  <c:v>0.95000000000000007</c:v>
                </c:pt>
                <c:pt idx="95">
                  <c:v>0.96</c:v>
                </c:pt>
                <c:pt idx="96">
                  <c:v>0.97</c:v>
                </c:pt>
                <c:pt idx="97">
                  <c:v>0.98</c:v>
                </c:pt>
                <c:pt idx="98">
                  <c:v>0.99</c:v>
                </c:pt>
                <c:pt idx="99">
                  <c:v>1</c:v>
                </c:pt>
                <c:pt idx="100">
                  <c:v>1.01</c:v>
                </c:pt>
                <c:pt idx="101">
                  <c:v>1.02</c:v>
                </c:pt>
                <c:pt idx="102">
                  <c:v>1.03</c:v>
                </c:pt>
                <c:pt idx="103">
                  <c:v>1.04</c:v>
                </c:pt>
                <c:pt idx="104">
                  <c:v>1.05</c:v>
                </c:pt>
                <c:pt idx="105">
                  <c:v>1.06</c:v>
                </c:pt>
                <c:pt idx="106">
                  <c:v>1.07</c:v>
                </c:pt>
                <c:pt idx="107">
                  <c:v>1.08</c:v>
                </c:pt>
                <c:pt idx="108">
                  <c:v>1.0900000000000001</c:v>
                </c:pt>
                <c:pt idx="109">
                  <c:v>1.1000000000000001</c:v>
                </c:pt>
                <c:pt idx="110">
                  <c:v>1.1100000000000001</c:v>
                </c:pt>
                <c:pt idx="111">
                  <c:v>1.1200000000000001</c:v>
                </c:pt>
                <c:pt idx="112">
                  <c:v>1.1300000000000001</c:v>
                </c:pt>
                <c:pt idx="113">
                  <c:v>1.1400000000000001</c:v>
                </c:pt>
                <c:pt idx="114">
                  <c:v>1.1500000000000001</c:v>
                </c:pt>
                <c:pt idx="115">
                  <c:v>1.1599999999999999</c:v>
                </c:pt>
                <c:pt idx="116">
                  <c:v>1.17</c:v>
                </c:pt>
                <c:pt idx="117">
                  <c:v>1.18</c:v>
                </c:pt>
                <c:pt idx="118">
                  <c:v>1.19</c:v>
                </c:pt>
                <c:pt idx="119">
                  <c:v>1.2</c:v>
                </c:pt>
                <c:pt idx="120">
                  <c:v>1.21</c:v>
                </c:pt>
                <c:pt idx="121">
                  <c:v>1.22</c:v>
                </c:pt>
                <c:pt idx="122">
                  <c:v>1.23</c:v>
                </c:pt>
                <c:pt idx="123">
                  <c:v>1.24</c:v>
                </c:pt>
                <c:pt idx="124">
                  <c:v>1.25</c:v>
                </c:pt>
                <c:pt idx="125">
                  <c:v>1.26</c:v>
                </c:pt>
                <c:pt idx="126">
                  <c:v>1.27</c:v>
                </c:pt>
                <c:pt idx="127">
                  <c:v>1.28</c:v>
                </c:pt>
                <c:pt idx="128">
                  <c:v>1.29</c:v>
                </c:pt>
                <c:pt idx="129">
                  <c:v>1.3</c:v>
                </c:pt>
                <c:pt idx="130">
                  <c:v>1.31</c:v>
                </c:pt>
                <c:pt idx="131">
                  <c:v>1.32</c:v>
                </c:pt>
                <c:pt idx="132">
                  <c:v>1.33</c:v>
                </c:pt>
                <c:pt idx="133">
                  <c:v>1.34</c:v>
                </c:pt>
                <c:pt idx="134">
                  <c:v>1.35</c:v>
                </c:pt>
                <c:pt idx="135">
                  <c:v>1.36</c:v>
                </c:pt>
                <c:pt idx="136">
                  <c:v>1.37</c:v>
                </c:pt>
                <c:pt idx="137">
                  <c:v>1.3800000000000001</c:v>
                </c:pt>
                <c:pt idx="138">
                  <c:v>1.3900000000000001</c:v>
                </c:pt>
                <c:pt idx="139">
                  <c:v>1.4000000000000001</c:v>
                </c:pt>
                <c:pt idx="140">
                  <c:v>1.41</c:v>
                </c:pt>
                <c:pt idx="141">
                  <c:v>1.42</c:v>
                </c:pt>
                <c:pt idx="142">
                  <c:v>1.43</c:v>
                </c:pt>
                <c:pt idx="143">
                  <c:v>1.44</c:v>
                </c:pt>
                <c:pt idx="144">
                  <c:v>1.45</c:v>
                </c:pt>
                <c:pt idx="145">
                  <c:v>1.46</c:v>
                </c:pt>
                <c:pt idx="146">
                  <c:v>1.47</c:v>
                </c:pt>
                <c:pt idx="147">
                  <c:v>1.48</c:v>
                </c:pt>
                <c:pt idx="148">
                  <c:v>1.49</c:v>
                </c:pt>
                <c:pt idx="149">
                  <c:v>1.5</c:v>
                </c:pt>
              </c:numCache>
            </c:numRef>
          </c:xVal>
          <c:yVal>
            <c:numRef>
              <c:f>Eff_vs_IOUT!$BI$8:$BI$157</c:f>
              <c:numCache>
                <c:formatCode>General</c:formatCode>
                <c:ptCount val="15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numCache>
            </c:numRef>
          </c:yVal>
          <c:smooth val="1"/>
          <c:extLst>
            <c:ext xmlns:c16="http://schemas.microsoft.com/office/drawing/2014/chart" uri="{C3380CC4-5D6E-409C-BE32-E72D297353CC}">
              <c16:uniqueId val="{00000004-6250-418B-870F-DFA6B9A805A0}"/>
            </c:ext>
          </c:extLst>
        </c:ser>
        <c:dLbls>
          <c:showLegendKey val="0"/>
          <c:showVal val="0"/>
          <c:showCatName val="0"/>
          <c:showSerName val="0"/>
          <c:showPercent val="0"/>
          <c:showBubbleSize val="0"/>
        </c:dLbls>
        <c:axId val="582788608"/>
        <c:axId val="582786432"/>
      </c:scatterChart>
      <c:valAx>
        <c:axId val="582782976"/>
        <c:scaling>
          <c:orientation val="minMax"/>
        </c:scaling>
        <c:delete val="0"/>
        <c:axPos val="b"/>
        <c:majorGridlines/>
        <c:numFmt formatCode="General" sourceLinked="1"/>
        <c:majorTickMark val="out"/>
        <c:minorTickMark val="none"/>
        <c:tickLblPos val="nextTo"/>
        <c:crossAx val="582784512"/>
        <c:crosses val="autoZero"/>
        <c:crossBetween val="midCat"/>
      </c:valAx>
      <c:valAx>
        <c:axId val="582784512"/>
        <c:scaling>
          <c:orientation val="minMax"/>
          <c:max val="100"/>
          <c:min val="60"/>
        </c:scaling>
        <c:delete val="0"/>
        <c:axPos val="l"/>
        <c:majorGridlines/>
        <c:title>
          <c:tx>
            <c:rich>
              <a:bodyPr rot="-5400000" vert="horz"/>
              <a:lstStyle/>
              <a:p>
                <a:pPr>
                  <a:defRPr sz="1400"/>
                </a:pPr>
                <a:r>
                  <a:rPr lang="en-US" sz="1400"/>
                  <a:t>Efficiency</a:t>
                </a:r>
                <a:r>
                  <a:rPr lang="en-US" sz="1400" baseline="0"/>
                  <a:t> (%)</a:t>
                </a:r>
                <a:endParaRPr lang="en-US" sz="1400"/>
              </a:p>
            </c:rich>
          </c:tx>
          <c:overlay val="0"/>
        </c:title>
        <c:numFmt formatCode="General" sourceLinked="1"/>
        <c:majorTickMark val="out"/>
        <c:minorTickMark val="none"/>
        <c:tickLblPos val="nextTo"/>
        <c:crossAx val="582782976"/>
        <c:crosses val="autoZero"/>
        <c:crossBetween val="midCat"/>
      </c:valAx>
      <c:valAx>
        <c:axId val="582786432"/>
        <c:scaling>
          <c:orientation val="minMax"/>
        </c:scaling>
        <c:delete val="0"/>
        <c:axPos val="r"/>
        <c:title>
          <c:tx>
            <c:rich>
              <a:bodyPr rot="-5400000" vert="horz"/>
              <a:lstStyle/>
              <a:p>
                <a:pPr>
                  <a:defRPr sz="1400"/>
                </a:pPr>
                <a:r>
                  <a:rPr lang="en-US" sz="1400"/>
                  <a:t>Losses</a:t>
                </a:r>
                <a:r>
                  <a:rPr lang="en-US" sz="1400" baseline="0"/>
                  <a:t> (W)</a:t>
                </a:r>
                <a:endParaRPr lang="en-US" sz="1400"/>
              </a:p>
            </c:rich>
          </c:tx>
          <c:overlay val="0"/>
        </c:title>
        <c:numFmt formatCode="General" sourceLinked="1"/>
        <c:majorTickMark val="out"/>
        <c:minorTickMark val="none"/>
        <c:tickLblPos val="nextTo"/>
        <c:crossAx val="582788608"/>
        <c:crosses val="max"/>
        <c:crossBetween val="midCat"/>
      </c:valAx>
      <c:valAx>
        <c:axId val="582788608"/>
        <c:scaling>
          <c:orientation val="minMax"/>
        </c:scaling>
        <c:delete val="1"/>
        <c:axPos val="b"/>
        <c:title>
          <c:tx>
            <c:rich>
              <a:bodyPr/>
              <a:lstStyle/>
              <a:p>
                <a:pPr>
                  <a:defRPr/>
                </a:pPr>
                <a:r>
                  <a:rPr lang="en-US"/>
                  <a:t>Loac</a:t>
                </a:r>
                <a:r>
                  <a:rPr lang="en-US" baseline="0"/>
                  <a:t> Current (A)</a:t>
                </a:r>
                <a:endParaRPr lang="en-US"/>
              </a:p>
            </c:rich>
          </c:tx>
          <c:overlay val="0"/>
        </c:title>
        <c:numFmt formatCode="General" sourceLinked="1"/>
        <c:majorTickMark val="out"/>
        <c:minorTickMark val="none"/>
        <c:tickLblPos val="nextTo"/>
        <c:crossAx val="582786432"/>
        <c:crosses val="autoZero"/>
        <c:crossBetween val="midCat"/>
      </c:valAx>
    </c:plotArea>
    <c:legend>
      <c:legendPos val="r"/>
      <c:layout>
        <c:manualLayout>
          <c:xMode val="edge"/>
          <c:yMode val="edge"/>
          <c:x val="0.49339941826540429"/>
          <c:y val="6.4862204724409449E-3"/>
          <c:w val="0.42227913565687919"/>
          <c:h val="0.1165233360670469"/>
        </c:manualLayout>
      </c:layout>
      <c:overlay val="1"/>
    </c:legend>
    <c:plotVisOnly val="1"/>
    <c:dispBlanksAs val="gap"/>
    <c:showDLblsOverMax val="0"/>
  </c:chart>
  <c:spPr>
    <a:ln>
      <a:noFill/>
    </a:ln>
  </c:sp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lgn="l">
              <a:defRPr sz="2400"/>
            </a:pPr>
            <a:r>
              <a:rPr lang="el-GR" sz="2400"/>
              <a:t>η</a:t>
            </a:r>
            <a:endParaRPr lang="en-US" sz="2400"/>
          </a:p>
        </c:rich>
      </c:tx>
      <c:layout>
        <c:manualLayout>
          <c:xMode val="edge"/>
          <c:yMode val="edge"/>
          <c:x val="9.2321838295158831E-2"/>
          <c:y val="6.7069081153588199E-3"/>
        </c:manualLayout>
      </c:layout>
      <c:overlay val="1"/>
    </c:title>
    <c:autoTitleDeleted val="0"/>
    <c:plotArea>
      <c:layout>
        <c:manualLayout>
          <c:layoutTarget val="inner"/>
          <c:xMode val="edge"/>
          <c:yMode val="edge"/>
          <c:x val="9.4343575816580413E-2"/>
          <c:y val="0.12777504924560487"/>
          <c:w val="0.82170691922728745"/>
          <c:h val="0.74982770867653059"/>
        </c:manualLayout>
      </c:layout>
      <c:scatterChart>
        <c:scatterStyle val="smoothMarker"/>
        <c:varyColors val="0"/>
        <c:ser>
          <c:idx val="0"/>
          <c:order val="0"/>
          <c:tx>
            <c:v>Eff</c:v>
          </c:tx>
          <c:spPr>
            <a:ln>
              <a:solidFill>
                <a:srgbClr val="FF0000"/>
              </a:solidFill>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Eff_vs_IOUT!$BZ$7:$BZ$157</c:f>
              <c:numCache>
                <c:formatCode>General</c:formatCode>
                <c:ptCount val="151"/>
                <c:pt idx="0">
                  <c:v>0</c:v>
                </c:pt>
                <c:pt idx="1">
                  <c:v>6.9104349545433763</c:v>
                </c:pt>
                <c:pt idx="2">
                  <c:v>12.823387718048037</c:v>
                </c:pt>
                <c:pt idx="3">
                  <c:v>17.936188279221803</c:v>
                </c:pt>
                <c:pt idx="4">
                  <c:v>22.39533017891296</c:v>
                </c:pt>
                <c:pt idx="5">
                  <c:v>26.31372330334824</c:v>
                </c:pt>
                <c:pt idx="6">
                  <c:v>29.779916078636436</c:v>
                </c:pt>
                <c:pt idx="7">
                  <c:v>32.86432486734271</c:v>
                </c:pt>
                <c:pt idx="8">
                  <c:v>35.623629433264171</c:v>
                </c:pt>
                <c:pt idx="9">
                  <c:v>38.103948620865765</c:v>
                </c:pt>
                <c:pt idx="10">
                  <c:v>40.343176127472312</c:v>
                </c:pt>
                <c:pt idx="11">
                  <c:v>42.372724757692545</c:v>
                </c:pt>
                <c:pt idx="12">
                  <c:v>44.218846584222696</c:v>
                </c:pt>
                <c:pt idx="13">
                  <c:v>45.903644339307306</c:v>
                </c:pt>
                <c:pt idx="14">
                  <c:v>47.445854894128217</c:v>
                </c:pt>
                <c:pt idx="15">
                  <c:v>48.861462399161283</c:v>
                </c:pt>
                <c:pt idx="16">
                  <c:v>50.164182651357912</c:v>
                </c:pt>
                <c:pt idx="17">
                  <c:v>51.365849079078593</c:v>
                </c:pt>
                <c:pt idx="18">
                  <c:v>52.476722825238006</c:v>
                </c:pt>
                <c:pt idx="19">
                  <c:v>53.505743737850977</c:v>
                </c:pt>
                <c:pt idx="20">
                  <c:v>54.46073496321624</c:v>
                </c:pt>
                <c:pt idx="21">
                  <c:v>55.348570819959953</c:v>
                </c:pt>
                <c:pt idx="22">
                  <c:v>56.175315396956414</c:v>
                </c:pt>
                <c:pt idx="23">
                  <c:v>56.946337646304315</c:v>
                </c:pt>
                <c:pt idx="24">
                  <c:v>57.666407480843262</c:v>
                </c:pt>
                <c:pt idx="25">
                  <c:v>58.3397764254903</c:v>
                </c:pt>
                <c:pt idx="26">
                  <c:v>58.970245635108675</c:v>
                </c:pt>
                <c:pt idx="27">
                  <c:v>59.561223522364891</c:v>
                </c:pt>
                <c:pt idx="28">
                  <c:v>60.115774795960995</c:v>
                </c:pt>
                <c:pt idx="29">
                  <c:v>60.636662362460456</c:v>
                </c:pt>
                <c:pt idx="30">
                  <c:v>61.126383271168628</c:v>
                </c:pt>
                <c:pt idx="31">
                  <c:v>61.587199664356106</c:v>
                </c:pt>
                <c:pt idx="32">
                  <c:v>62.021165521839848</c:v>
                </c:pt>
                <c:pt idx="33">
                  <c:v>62.430149849931837</c:v>
                </c:pt>
                <c:pt idx="34">
                  <c:v>62.815856852673058</c:v>
                </c:pt>
                <c:pt idx="35">
                  <c:v>63.179843532428436</c:v>
                </c:pt>
                <c:pt idx="36">
                  <c:v>63.523535092951533</c:v>
                </c:pt>
                <c:pt idx="37">
                  <c:v>63.84823845752593</c:v>
                </c:pt>
                <c:pt idx="38">
                  <c:v>64.155154165088561</c:v>
                </c:pt>
                <c:pt idx="39">
                  <c:v>64.445386866240824</c:v>
                </c:pt>
                <c:pt idx="40">
                  <c:v>64.719954607097392</c:v>
                </c:pt>
                <c:pt idx="41">
                  <c:v>64.979797060693329</c:v>
                </c:pt>
                <c:pt idx="42">
                  <c:v>65.225782842114683</c:v>
                </c:pt>
                <c:pt idx="43">
                  <c:v>65.458716023793571</c:v>
                </c:pt>
                <c:pt idx="44">
                  <c:v>65.679341950836388</c:v>
                </c:pt>
                <c:pt idx="45">
                  <c:v>65.888352442284173</c:v>
                </c:pt>
                <c:pt idx="46">
                  <c:v>66.086390452391569</c:v>
                </c:pt>
                <c:pt idx="47">
                  <c:v>66.274054255991516</c:v>
                </c:pt>
                <c:pt idx="48">
                  <c:v>66.451901213490302</c:v>
                </c:pt>
                <c:pt idx="49">
                  <c:v>66.620025168744064</c:v>
                </c:pt>
                <c:pt idx="50">
                  <c:v>66.773980927015359</c:v>
                </c:pt>
                <c:pt idx="51">
                  <c:v>66.918005739604297</c:v>
                </c:pt>
                <c:pt idx="52">
                  <c:v>67.052582819143211</c:v>
                </c:pt>
                <c:pt idx="53">
                  <c:v>67.178166387681856</c:v>
                </c:pt>
                <c:pt idx="54">
                  <c:v>67.295183800111232</c:v>
                </c:pt>
                <c:pt idx="55">
                  <c:v>67.40403748388195</c:v>
                </c:pt>
                <c:pt idx="56">
                  <c:v>67.505106713291866</c:v>
                </c:pt>
                <c:pt idx="57">
                  <c:v>67.598749234569368</c:v>
                </c:pt>
                <c:pt idx="58">
                  <c:v>67.685302756184711</c:v>
                </c:pt>
                <c:pt idx="59">
                  <c:v>67.765086317248475</c:v>
                </c:pt>
                <c:pt idx="60">
                  <c:v>67.838401545472635</c:v>
                </c:pt>
                <c:pt idx="61">
                  <c:v>67.905533814952022</c:v>
                </c:pt>
                <c:pt idx="62">
                  <c:v>67.966753312948768</c:v>
                </c:pt>
                <c:pt idx="63">
                  <c:v>68.02231602391366</c:v>
                </c:pt>
                <c:pt idx="64">
                  <c:v>68.072464638137092</c:v>
                </c:pt>
                <c:pt idx="65">
                  <c:v>68.117429391677646</c:v>
                </c:pt>
                <c:pt idx="66">
                  <c:v>68.15742884355403</c:v>
                </c:pt>
                <c:pt idx="67">
                  <c:v>68.192670595598386</c:v>
                </c:pt>
                <c:pt idx="68">
                  <c:v>68.223351959843697</c:v>
                </c:pt>
                <c:pt idx="69">
                  <c:v>68.249660577851628</c:v>
                </c:pt>
                <c:pt idx="70">
                  <c:v>68.271774995967888</c:v>
                </c:pt>
                <c:pt idx="71">
                  <c:v>68.289865200120076</c:v>
                </c:pt>
                <c:pt idx="72">
                  <c:v>68.304093113436807</c:v>
                </c:pt>
                <c:pt idx="73">
                  <c:v>68.314613059667522</c:v>
                </c:pt>
                <c:pt idx="74">
                  <c:v>68.321572195112651</c:v>
                </c:pt>
                <c:pt idx="75">
                  <c:v>68.325110911530118</c:v>
                </c:pt>
                <c:pt idx="76">
                  <c:v>68.325363212267973</c:v>
                </c:pt>
                <c:pt idx="77">
                  <c:v>68.322457063673482</c:v>
                </c:pt>
                <c:pt idx="78">
                  <c:v>68.316514723653398</c:v>
                </c:pt>
                <c:pt idx="79">
                  <c:v>68.307653049098647</c:v>
                </c:pt>
                <c:pt idx="80">
                  <c:v>68.295983783741093</c:v>
                </c:pt>
                <c:pt idx="81">
                  <c:v>68.281613827879497</c:v>
                </c:pt>
                <c:pt idx="82">
                  <c:v>68.264645491291645</c:v>
                </c:pt>
                <c:pt idx="83">
                  <c:v>68.245176730541758</c:v>
                </c:pt>
                <c:pt idx="84">
                  <c:v>68.223301371793909</c:v>
                </c:pt>
                <c:pt idx="85">
                  <c:v>68.1991093201528</c:v>
                </c:pt>
                <c:pt idx="86">
                  <c:v>68.172686756471734</c:v>
                </c:pt>
                <c:pt idx="87">
                  <c:v>68.144116322493488</c:v>
                </c:pt>
                <c:pt idx="88">
                  <c:v>68.113477295122209</c:v>
                </c:pt>
                <c:pt idx="89">
                  <c:v>68.080845750562517</c:v>
                </c:pt>
                <c:pt idx="90">
                  <c:v>68.046294719005743</c:v>
                </c:pt>
                <c:pt idx="91">
                  <c:v>68.009894330491534</c:v>
                </c:pt>
                <c:pt idx="92">
                  <c:v>67.971711952525609</c:v>
                </c:pt>
                <c:pt idx="93">
                  <c:v>67.931812319991664</c:v>
                </c:pt>
                <c:pt idx="94">
                  <c:v>67.890257657855187</c:v>
                </c:pt>
                <c:pt idx="95">
                  <c:v>67.8471077971207</c:v>
                </c:pt>
                <c:pt idx="96">
                  <c:v>67.802420284470728</c:v>
                </c:pt>
                <c:pt idx="97">
                  <c:v>67.756250485983642</c:v>
                </c:pt>
                <c:pt idx="98">
                  <c:v>67.708651685299586</c:v>
                </c:pt>
                <c:pt idx="99">
                  <c:v>67.659675176577352</c:v>
                </c:pt>
                <c:pt idx="100">
                  <c:v>67.6093703525612</c:v>
                </c:pt>
                <c:pt idx="101">
                  <c:v>67.557784788054775</c:v>
                </c:pt>
                <c:pt idx="102">
                  <c:v>67.504964319078169</c:v>
                </c:pt>
                <c:pt idx="103">
                  <c:v>67.450953117966108</c:v>
                </c:pt>
                <c:pt idx="104">
                  <c:v>67.395793764647337</c:v>
                </c:pt>
                <c:pt idx="105">
                  <c:v>67.339527314329246</c:v>
                </c:pt>
                <c:pt idx="106">
                  <c:v>67.282193361797098</c:v>
                </c:pt>
                <c:pt idx="107">
                  <c:v>67.223830102523152</c:v>
                </c:pt>
                <c:pt idx="108">
                  <c:v>67.164474390768319</c:v>
                </c:pt>
                <c:pt idx="109">
                  <c:v>67.104161794847315</c:v>
                </c:pt>
                <c:pt idx="110">
                  <c:v>67.042926649716932</c:v>
                </c:pt>
                <c:pt idx="111">
                  <c:v>66.980802107037007</c:v>
                </c:pt>
                <c:pt idx="112">
                  <c:v>66.917820182844451</c:v>
                </c:pt>
                <c:pt idx="113">
                  <c:v>66.854011802971471</c:v>
                </c:pt>
                <c:pt idx="114">
                  <c:v>66.78940684633109</c:v>
                </c:pt>
                <c:pt idx="115">
                  <c:v>66.724034186185818</c:v>
                </c:pt>
                <c:pt idx="116">
                  <c:v>66.657921729507308</c:v>
                </c:pt>
                <c:pt idx="117">
                  <c:v>66.591096454529591</c:v>
                </c:pt>
                <c:pt idx="118">
                  <c:v>66.52358444659086</c:v>
                </c:pt>
                <c:pt idx="119">
                  <c:v>66.455410932354155</c:v>
                </c:pt>
                <c:pt idx="120">
                  <c:v>66.386600312491353</c:v>
                </c:pt>
                <c:pt idx="121">
                  <c:v>66.317176192910239</c:v>
                </c:pt>
                <c:pt idx="122">
                  <c:v>66.247161414599191</c:v>
                </c:pt>
                <c:pt idx="123">
                  <c:v>66.176578082160333</c:v>
                </c:pt>
                <c:pt idx="124">
                  <c:v>66.105447591097672</c:v>
                </c:pt>
                <c:pt idx="125">
                  <c:v>66.03379065392248</c:v>
                </c:pt>
                <c:pt idx="126">
                  <c:v>65.96162732513541</c:v>
                </c:pt>
                <c:pt idx="127">
                  <c:v>65.88897702514079</c:v>
                </c:pt>
                <c:pt idx="128">
                  <c:v>65.815858563145881</c:v>
                </c:pt>
                <c:pt idx="129">
                  <c:v>65.742290159094651</c:v>
                </c:pt>
                <c:pt idx="130">
                  <c:v>65.668289464682928</c:v>
                </c:pt>
                <c:pt idx="131">
                  <c:v>65.593873583499445</c:v>
                </c:pt>
                <c:pt idx="132">
                  <c:v>65.519059090334466</c:v>
                </c:pt>
                <c:pt idx="133">
                  <c:v>65.443862049695682</c:v>
                </c:pt>
                <c:pt idx="134">
                  <c:v>65.368298033569005</c:v>
                </c:pt>
                <c:pt idx="135">
                  <c:v>65.292382138459516</c:v>
                </c:pt>
                <c:pt idx="136">
                  <c:v>65.216129001746268</c:v>
                </c:pt>
                <c:pt idx="137">
                  <c:v>65.139552817382778</c:v>
                </c:pt>
                <c:pt idx="138">
                  <c:v>65.062667350973243</c:v>
                </c:pt>
                <c:pt idx="139">
                  <c:v>64.985485954253292</c:v>
                </c:pt>
                <c:pt idx="140">
                  <c:v>64.908021579001911</c:v>
                </c:pt>
                <c:pt idx="141">
                  <c:v>64.830286790410753</c:v>
                </c:pt>
                <c:pt idx="142">
                  <c:v>64.752293779934831</c:v>
                </c:pt>
                <c:pt idx="143">
                  <c:v>64.674054377647849</c:v>
                </c:pt>
                <c:pt idx="144">
                  <c:v>64.595580064124263</c:v>
                </c:pt>
                <c:pt idx="145">
                  <c:v>64.516881981868664</c:v>
                </c:pt>
                <c:pt idx="146">
                  <c:v>64.437970946312504</c:v>
                </c:pt>
                <c:pt idx="147">
                  <c:v>64.358857456396919</c:v>
                </c:pt>
                <c:pt idx="148">
                  <c:v>64.279551704759754</c:v>
                </c:pt>
                <c:pt idx="149">
                  <c:v>64.20006358754334</c:v>
                </c:pt>
                <c:pt idx="150">
                  <c:v>64.120402713839837</c:v>
                </c:pt>
              </c:numCache>
            </c:numRef>
          </c:yVal>
          <c:smooth val="0"/>
          <c:extLst>
            <c:ext xmlns:c16="http://schemas.microsoft.com/office/drawing/2014/chart" uri="{C3380CC4-5D6E-409C-BE32-E72D297353CC}">
              <c16:uniqueId val="{00000000-EBD5-4EA3-9906-2A505EEC4521}"/>
            </c:ext>
          </c:extLst>
        </c:ser>
        <c:dLbls>
          <c:showLegendKey val="0"/>
          <c:showVal val="0"/>
          <c:showCatName val="0"/>
          <c:showSerName val="0"/>
          <c:showPercent val="0"/>
          <c:showBubbleSize val="0"/>
        </c:dLbls>
        <c:axId val="582892544"/>
        <c:axId val="582902528"/>
      </c:scatterChart>
      <c:scatterChart>
        <c:scatterStyle val="smoothMarker"/>
        <c:varyColors val="0"/>
        <c:ser>
          <c:idx val="1"/>
          <c:order val="1"/>
          <c:tx>
            <c:v>MOSFET</c:v>
          </c:tx>
          <c:spPr>
            <a:ln>
              <a:solidFill>
                <a:schemeClr val="tx2">
                  <a:lumMod val="75000"/>
                </a:schemeClr>
              </a:solidFill>
              <a:prstDash val="dash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Eff_vs_IOUT!$AJ$7:$AJ$157</c:f>
              <c:numCache>
                <c:formatCode>General</c:formatCode>
                <c:ptCount val="151"/>
                <c:pt idx="0">
                  <c:v>0</c:v>
                </c:pt>
                <c:pt idx="1">
                  <c:v>7.4557462442911371E-4</c:v>
                </c:pt>
                <c:pt idx="2">
                  <c:v>1.0545451610377296E-3</c:v>
                </c:pt>
                <c:pt idx="3">
                  <c:v>1.2917244249182444E-3</c:v>
                </c:pt>
                <c:pt idx="4">
                  <c:v>1.4917577089069744E-3</c:v>
                </c:pt>
                <c:pt idx="5">
                  <c:v>1.6680625812094346E-3</c:v>
                </c:pt>
                <c:pt idx="6">
                  <c:v>1.8275194088921171E-3</c:v>
                </c:pt>
                <c:pt idx="7">
                  <c:v>1.9742148740515201E-3</c:v>
                </c:pt>
                <c:pt idx="8">
                  <c:v>2.110811306981659E-3</c:v>
                </c:pt>
                <c:pt idx="9">
                  <c:v>2.2391577134823295E-3</c:v>
                </c:pt>
                <c:pt idx="10">
                  <c:v>2.3606001582495021E-3</c:v>
                </c:pt>
                <c:pt idx="11">
                  <c:v>2.4761546719108737E-3</c:v>
                </c:pt>
                <c:pt idx="12">
                  <c:v>2.5866105009929048E-3</c:v>
                </c:pt>
                <c:pt idx="13">
                  <c:v>2.6925952058736323E-3</c:v>
                </c:pt>
                <c:pt idx="14">
                  <c:v>2.7946175404642937E-3</c:v>
                </c:pt>
                <c:pt idx="15">
                  <c:v>2.8930967335852745E-3</c:v>
                </c:pt>
                <c:pt idx="16">
                  <c:v>2.9883830982039227E-3</c:v>
                </c:pt>
                <c:pt idx="17">
                  <c:v>3.0807729151013244E-3</c:v>
                </c:pt>
                <c:pt idx="18">
                  <c:v>3.1705194227379875E-3</c:v>
                </c:pt>
                <c:pt idx="19">
                  <c:v>3.257841090345806E-3</c:v>
                </c:pt>
                <c:pt idx="20">
                  <c:v>3.3429279525718225E-3</c:v>
                </c:pt>
                <c:pt idx="21">
                  <c:v>3.425946533453815E-3</c:v>
                </c:pt>
                <c:pt idx="22">
                  <c:v>3.5070437256532775E-3</c:v>
                </c:pt>
                <c:pt idx="23">
                  <c:v>3.5863498837215256E-3</c:v>
                </c:pt>
                <c:pt idx="24">
                  <c:v>3.6639813176740257E-3</c:v>
                </c:pt>
                <c:pt idx="25">
                  <c:v>3.7400423231205055E-3</c:v>
                </c:pt>
                <c:pt idx="26">
                  <c:v>3.8146268490611697E-3</c:v>
                </c:pt>
                <c:pt idx="27">
                  <c:v>3.887819879380396E-3</c:v>
                </c:pt>
                <c:pt idx="28">
                  <c:v>3.9596985859049558E-3</c:v>
                </c:pt>
                <c:pt idx="29">
                  <c:v>4.0303332975597959E-3</c:v>
                </c:pt>
                <c:pt idx="30">
                  <c:v>4.0997883202445792E-3</c:v>
                </c:pt>
                <c:pt idx="31">
                  <c:v>4.1681226346048901E-3</c:v>
                </c:pt>
                <c:pt idx="32">
                  <c:v>4.2353904932129162E-3</c:v>
                </c:pt>
                <c:pt idx="33">
                  <c:v>4.3016419343311282E-3</c:v>
                </c:pt>
                <c:pt idx="34">
                  <c:v>4.3669232260714922E-3</c:v>
                </c:pt>
                <c:pt idx="35">
                  <c:v>4.4312772521387196E-3</c:v>
                </c:pt>
                <c:pt idx="36">
                  <c:v>4.4947438482808222E-3</c:v>
                </c:pt>
                <c:pt idx="37">
                  <c:v>4.5573600969327837E-3</c:v>
                </c:pt>
                <c:pt idx="38">
                  <c:v>4.6191605862317391E-3</c:v>
                </c:pt>
                <c:pt idx="39">
                  <c:v>4.6801776385311383E-3</c:v>
                </c:pt>
                <c:pt idx="40">
                  <c:v>4.740441512691573E-3</c:v>
                </c:pt>
                <c:pt idx="41">
                  <c:v>4.7999805837345534E-3</c:v>
                </c:pt>
                <c:pt idx="42">
                  <c:v>4.8588215028799158E-3</c:v>
                </c:pt>
                <c:pt idx="43">
                  <c:v>4.9169893405225235E-3</c:v>
                </c:pt>
                <c:pt idx="44">
                  <c:v>4.9745077143195059E-3</c:v>
                </c:pt>
                <c:pt idx="45">
                  <c:v>5.0313989042401171E-3</c:v>
                </c:pt>
                <c:pt idx="46">
                  <c:v>5.0876839561640585E-3</c:v>
                </c:pt>
                <c:pt idx="47">
                  <c:v>5.1433827753910944E-3</c:v>
                </c:pt>
                <c:pt idx="48">
                  <c:v>5.1985142112371359E-3</c:v>
                </c:pt>
                <c:pt idx="49">
                  <c:v>5.2577269379148117E-3</c:v>
                </c:pt>
                <c:pt idx="50">
                  <c:v>5.3653942417740191E-3</c:v>
                </c:pt>
                <c:pt idx="51">
                  <c:v>5.4730832956332272E-3</c:v>
                </c:pt>
                <c:pt idx="52">
                  <c:v>5.5807940994924343E-3</c:v>
                </c:pt>
                <c:pt idx="53">
                  <c:v>5.6885266533516421E-3</c:v>
                </c:pt>
                <c:pt idx="54">
                  <c:v>5.7962809572108497E-3</c:v>
                </c:pt>
                <c:pt idx="55">
                  <c:v>5.9040570110700579E-3</c:v>
                </c:pt>
                <c:pt idx="56">
                  <c:v>6.0118548149292652E-3</c:v>
                </c:pt>
                <c:pt idx="57">
                  <c:v>6.1196743687884731E-3</c:v>
                </c:pt>
                <c:pt idx="58">
                  <c:v>6.2275156726476801E-3</c:v>
                </c:pt>
                <c:pt idx="59">
                  <c:v>6.3353787265068885E-3</c:v>
                </c:pt>
                <c:pt idx="60">
                  <c:v>6.4432635303660933E-3</c:v>
                </c:pt>
                <c:pt idx="61">
                  <c:v>6.5511700842253023E-3</c:v>
                </c:pt>
                <c:pt idx="62">
                  <c:v>6.6590983880845112E-3</c:v>
                </c:pt>
                <c:pt idx="63">
                  <c:v>6.7670484419437181E-3</c:v>
                </c:pt>
                <c:pt idx="64">
                  <c:v>6.8750202458029265E-3</c:v>
                </c:pt>
                <c:pt idx="65">
                  <c:v>6.9830137996621348E-3</c:v>
                </c:pt>
                <c:pt idx="66">
                  <c:v>7.0910291035213404E-3</c:v>
                </c:pt>
                <c:pt idx="67">
                  <c:v>7.1990661573805483E-3</c:v>
                </c:pt>
                <c:pt idx="68">
                  <c:v>7.3071249612397552E-3</c:v>
                </c:pt>
                <c:pt idx="69">
                  <c:v>7.4152055150989637E-3</c:v>
                </c:pt>
                <c:pt idx="70">
                  <c:v>7.5233078189581729E-3</c:v>
                </c:pt>
                <c:pt idx="71">
                  <c:v>7.6314318728173784E-3</c:v>
                </c:pt>
                <c:pt idx="72">
                  <c:v>7.7395776766765855E-3</c:v>
                </c:pt>
                <c:pt idx="73">
                  <c:v>7.8477452305357933E-3</c:v>
                </c:pt>
                <c:pt idx="74">
                  <c:v>7.9559345343950018E-3</c:v>
                </c:pt>
                <c:pt idx="75">
                  <c:v>8.0641455882542075E-3</c:v>
                </c:pt>
                <c:pt idx="76">
                  <c:v>8.1723783921134156E-3</c:v>
                </c:pt>
                <c:pt idx="77">
                  <c:v>8.2806329459726227E-3</c:v>
                </c:pt>
                <c:pt idx="78">
                  <c:v>8.3889092498318323E-3</c:v>
                </c:pt>
                <c:pt idx="79">
                  <c:v>8.4972073036910407E-3</c:v>
                </c:pt>
                <c:pt idx="80">
                  <c:v>8.6055271075502447E-3</c:v>
                </c:pt>
                <c:pt idx="81">
                  <c:v>8.7138686614094546E-3</c:v>
                </c:pt>
                <c:pt idx="82">
                  <c:v>8.8222319652686617E-3</c:v>
                </c:pt>
                <c:pt idx="83">
                  <c:v>8.9306170191278695E-3</c:v>
                </c:pt>
                <c:pt idx="84">
                  <c:v>9.039023822987078E-3</c:v>
                </c:pt>
                <c:pt idx="85">
                  <c:v>9.1474523768462854E-3</c:v>
                </c:pt>
                <c:pt idx="86">
                  <c:v>9.2559026807054936E-3</c:v>
                </c:pt>
                <c:pt idx="87">
                  <c:v>9.3643747345647007E-3</c:v>
                </c:pt>
                <c:pt idx="88">
                  <c:v>9.4728685384239068E-3</c:v>
                </c:pt>
                <c:pt idx="89">
                  <c:v>9.5813840922831153E-3</c:v>
                </c:pt>
                <c:pt idx="90">
                  <c:v>9.6899213961423245E-3</c:v>
                </c:pt>
                <c:pt idx="91">
                  <c:v>9.7984804500015309E-3</c:v>
                </c:pt>
                <c:pt idx="92">
                  <c:v>9.9070612538607397E-3</c:v>
                </c:pt>
                <c:pt idx="93">
                  <c:v>1.0015663807719948E-2</c:v>
                </c:pt>
                <c:pt idx="94">
                  <c:v>1.0124288111579154E-2</c:v>
                </c:pt>
                <c:pt idx="95">
                  <c:v>1.0232934165438362E-2</c:v>
                </c:pt>
                <c:pt idx="96">
                  <c:v>1.0341601969297566E-2</c:v>
                </c:pt>
                <c:pt idx="97">
                  <c:v>1.0450291523156775E-2</c:v>
                </c:pt>
                <c:pt idx="98">
                  <c:v>1.0559002827015983E-2</c:v>
                </c:pt>
                <c:pt idx="99">
                  <c:v>1.0667735880875192E-2</c:v>
                </c:pt>
                <c:pt idx="100">
                  <c:v>1.0776490684734397E-2</c:v>
                </c:pt>
                <c:pt idx="101">
                  <c:v>1.0885267238593605E-2</c:v>
                </c:pt>
                <c:pt idx="102">
                  <c:v>1.0994065542452814E-2</c:v>
                </c:pt>
                <c:pt idx="103">
                  <c:v>1.1102885596312022E-2</c:v>
                </c:pt>
                <c:pt idx="104">
                  <c:v>1.1211727400171229E-2</c:v>
                </c:pt>
                <c:pt idx="105">
                  <c:v>1.1320590954030438E-2</c:v>
                </c:pt>
                <c:pt idx="106">
                  <c:v>1.1429476257889645E-2</c:v>
                </c:pt>
                <c:pt idx="107">
                  <c:v>1.1538383311748852E-2</c:v>
                </c:pt>
                <c:pt idx="108">
                  <c:v>1.164731211560806E-2</c:v>
                </c:pt>
                <c:pt idx="109">
                  <c:v>1.1756262669467266E-2</c:v>
                </c:pt>
                <c:pt idx="110">
                  <c:v>1.1865234973326476E-2</c:v>
                </c:pt>
                <c:pt idx="111">
                  <c:v>1.1974229027185682E-2</c:v>
                </c:pt>
                <c:pt idx="112">
                  <c:v>1.2083244831044891E-2</c:v>
                </c:pt>
                <c:pt idx="113">
                  <c:v>1.2192282384904097E-2</c:v>
                </c:pt>
                <c:pt idx="114">
                  <c:v>1.2301341688763307E-2</c:v>
                </c:pt>
                <c:pt idx="115">
                  <c:v>1.2410422742622515E-2</c:v>
                </c:pt>
                <c:pt idx="116">
                  <c:v>1.2519525546481719E-2</c:v>
                </c:pt>
                <c:pt idx="117">
                  <c:v>1.2628650100340928E-2</c:v>
                </c:pt>
                <c:pt idx="118">
                  <c:v>1.2737796404200138E-2</c:v>
                </c:pt>
                <c:pt idx="119">
                  <c:v>1.2846964458059341E-2</c:v>
                </c:pt>
                <c:pt idx="120">
                  <c:v>1.2956154261918547E-2</c:v>
                </c:pt>
                <c:pt idx="121">
                  <c:v>1.3065365815777759E-2</c:v>
                </c:pt>
                <c:pt idx="122">
                  <c:v>1.3174599119636964E-2</c:v>
                </c:pt>
                <c:pt idx="123">
                  <c:v>1.3283854173496172E-2</c:v>
                </c:pt>
                <c:pt idx="124">
                  <c:v>1.3393130977355382E-2</c:v>
                </c:pt>
                <c:pt idx="125">
                  <c:v>1.3502429531214589E-2</c:v>
                </c:pt>
                <c:pt idx="126">
                  <c:v>1.3611749835073796E-2</c:v>
                </c:pt>
                <c:pt idx="127">
                  <c:v>1.3721091888933005E-2</c:v>
                </c:pt>
                <c:pt idx="128">
                  <c:v>1.3830455692792213E-2</c:v>
                </c:pt>
                <c:pt idx="129">
                  <c:v>1.3939841246651419E-2</c:v>
                </c:pt>
                <c:pt idx="130">
                  <c:v>1.404924855051063E-2</c:v>
                </c:pt>
                <c:pt idx="131">
                  <c:v>1.4158677604369837E-2</c:v>
                </c:pt>
                <c:pt idx="132">
                  <c:v>1.4268128408229041E-2</c:v>
                </c:pt>
                <c:pt idx="133">
                  <c:v>1.4377600962088248E-2</c:v>
                </c:pt>
                <c:pt idx="134">
                  <c:v>1.4487095265947457E-2</c:v>
                </c:pt>
                <c:pt idx="135">
                  <c:v>1.4596611319806664E-2</c:v>
                </c:pt>
                <c:pt idx="136">
                  <c:v>1.4706149123665871E-2</c:v>
                </c:pt>
                <c:pt idx="137">
                  <c:v>1.4815708677525082E-2</c:v>
                </c:pt>
                <c:pt idx="138">
                  <c:v>1.4925289981384288E-2</c:v>
                </c:pt>
                <c:pt idx="139">
                  <c:v>1.5034893035243494E-2</c:v>
                </c:pt>
                <c:pt idx="140">
                  <c:v>1.5144517839102705E-2</c:v>
                </c:pt>
                <c:pt idx="141">
                  <c:v>1.5254164392961907E-2</c:v>
                </c:pt>
                <c:pt idx="142">
                  <c:v>1.5363832696821117E-2</c:v>
                </c:pt>
                <c:pt idx="143">
                  <c:v>1.5473522750680323E-2</c:v>
                </c:pt>
                <c:pt idx="144">
                  <c:v>1.558323455453953E-2</c:v>
                </c:pt>
                <c:pt idx="145">
                  <c:v>1.5692968108398739E-2</c:v>
                </c:pt>
                <c:pt idx="146">
                  <c:v>1.5802723412257948E-2</c:v>
                </c:pt>
                <c:pt idx="147">
                  <c:v>1.5912500466117155E-2</c:v>
                </c:pt>
                <c:pt idx="148">
                  <c:v>1.6022299269976361E-2</c:v>
                </c:pt>
                <c:pt idx="149">
                  <c:v>1.613211982383557E-2</c:v>
                </c:pt>
                <c:pt idx="150">
                  <c:v>1.6241962127694777E-2</c:v>
                </c:pt>
              </c:numCache>
            </c:numRef>
          </c:yVal>
          <c:smooth val="1"/>
          <c:extLst>
            <c:ext xmlns:c16="http://schemas.microsoft.com/office/drawing/2014/chart" uri="{C3380CC4-5D6E-409C-BE32-E72D297353CC}">
              <c16:uniqueId val="{00000001-EBD5-4EA3-9906-2A505EEC4521}"/>
            </c:ext>
          </c:extLst>
        </c:ser>
        <c:ser>
          <c:idx val="3"/>
          <c:order val="2"/>
          <c:tx>
            <c:v>RS</c:v>
          </c:tx>
          <c:spPr>
            <a:ln>
              <a:solidFill>
                <a:schemeClr val="accent5">
                  <a:lumMod val="75000"/>
                </a:schemeClr>
              </a:solidFill>
              <a:prstDash val="lgDashDotDot"/>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Eff_vs_IOUT!$BU$7:$BU$157</c:f>
              <c:numCache>
                <c:formatCode>General</c:formatCode>
                <c:ptCount val="151"/>
                <c:pt idx="0">
                  <c:v>0</c:v>
                </c:pt>
                <c:pt idx="1">
                  <c:v>2.3312645545853737E-7</c:v>
                </c:pt>
                <c:pt idx="2">
                  <c:v>6.5938119011486142E-7</c:v>
                </c:pt>
                <c:pt idx="3">
                  <c:v>1.2113605963278881E-6</c:v>
                </c:pt>
                <c:pt idx="4">
                  <c:v>1.8650116436682988E-6</c:v>
                </c:pt>
                <c:pt idx="5">
                  <c:v>2.6064330087943323E-6</c:v>
                </c:pt>
                <c:pt idx="6">
                  <c:v>3.4262451685025187E-6</c:v>
                </c:pt>
                <c:pt idx="7">
                  <c:v>4.3175623762128643E-6</c:v>
                </c:pt>
                <c:pt idx="8">
                  <c:v>5.2750495209188914E-6</c:v>
                </c:pt>
                <c:pt idx="9">
                  <c:v>6.2944142973805057E-6</c:v>
                </c:pt>
                <c:pt idx="10">
                  <c:v>7.3721058209077132E-6</c:v>
                </c:pt>
                <c:pt idx="11">
                  <c:v>8.5051227960761595E-6</c:v>
                </c:pt>
                <c:pt idx="12">
                  <c:v>9.6908847706231065E-6</c:v>
                </c:pt>
                <c:pt idx="13">
                  <c:v>1.0927142054698068E-5</c:v>
                </c:pt>
                <c:pt idx="14">
                  <c:v>1.2211910537664075E-5</c:v>
                </c:pt>
                <c:pt idx="15">
                  <c:v>1.3543423193269199E-5</c:v>
                </c:pt>
                <c:pt idx="16">
                  <c:v>1.4920093149346392E-5</c:v>
                </c:pt>
                <c:pt idx="17">
                  <c:v>1.6340484999683805E-5</c:v>
                </c:pt>
                <c:pt idx="18">
                  <c:v>1.7803292133101257E-5</c:v>
                </c:pt>
                <c:pt idx="19">
                  <c:v>1.9307318547782407E-5</c:v>
                </c:pt>
                <c:pt idx="20">
                  <c:v>2.0851464070354648E-5</c:v>
                </c:pt>
                <c:pt idx="21">
                  <c:v>2.2434712201345454E-5</c:v>
                </c:pt>
                <c:pt idx="22">
                  <c:v>2.4056120015718959E-5</c:v>
                </c:pt>
                <c:pt idx="23">
                  <c:v>2.5714809692142867E-5</c:v>
                </c:pt>
                <c:pt idx="24">
                  <c:v>2.7409961348020149E-5</c:v>
                </c:pt>
                <c:pt idx="25">
                  <c:v>2.9140806932317165E-5</c:v>
                </c:pt>
                <c:pt idx="26">
                  <c:v>3.0906624983462815E-5</c:v>
                </c:pt>
                <c:pt idx="27">
                  <c:v>3.2706736100852989E-5</c:v>
                </c:pt>
                <c:pt idx="28">
                  <c:v>3.4540499009702915E-5</c:v>
                </c:pt>
                <c:pt idx="29">
                  <c:v>3.6407307122872407E-5</c:v>
                </c:pt>
                <c:pt idx="30">
                  <c:v>3.8306585521759288E-5</c:v>
                </c:pt>
                <c:pt idx="31">
                  <c:v>4.0237788292782661E-5</c:v>
                </c:pt>
                <c:pt idx="32">
                  <c:v>4.2200396167351131E-5</c:v>
                </c:pt>
                <c:pt idx="33">
                  <c:v>4.4193914422248542E-5</c:v>
                </c:pt>
                <c:pt idx="34">
                  <c:v>4.6217871004613908E-5</c:v>
                </c:pt>
                <c:pt idx="35">
                  <c:v>4.82718148515374E-5</c:v>
                </c:pt>
                <c:pt idx="36">
                  <c:v>5.035531437904406E-5</c:v>
                </c:pt>
                <c:pt idx="37">
                  <c:v>5.246795611912382E-5</c:v>
                </c:pt>
                <c:pt idx="38">
                  <c:v>5.4609343486662973E-5</c:v>
                </c:pt>
                <c:pt idx="39">
                  <c:v>5.6779095660778886E-5</c:v>
                </c:pt>
                <c:pt idx="40">
                  <c:v>5.8976846567261712E-5</c:v>
                </c:pt>
                <c:pt idx="41">
                  <c:v>6.120224395066818E-5</c:v>
                </c:pt>
                <c:pt idx="42">
                  <c:v>6.3454948526159817E-5</c:v>
                </c:pt>
                <c:pt idx="43">
                  <c:v>6.5734633202484862E-5</c:v>
                </c:pt>
                <c:pt idx="44">
                  <c:v>6.8040982368609262E-5</c:v>
                </c:pt>
                <c:pt idx="45">
                  <c:v>7.0373691237446973E-5</c:v>
                </c:pt>
                <c:pt idx="46">
                  <c:v>7.2732465240943163E-5</c:v>
                </c:pt>
                <c:pt idx="47">
                  <c:v>7.5117019471456991E-5</c:v>
                </c:pt>
                <c:pt idx="48">
                  <c:v>7.7527078164984839E-5</c:v>
                </c:pt>
                <c:pt idx="49">
                  <c:v>7.9962468537103637E-5</c:v>
                </c:pt>
                <c:pt idx="50">
                  <c:v>8.243746853710363E-5</c:v>
                </c:pt>
                <c:pt idx="51">
                  <c:v>8.4962468537103596E-5</c:v>
                </c:pt>
                <c:pt idx="52">
                  <c:v>8.7537468537103605E-5</c:v>
                </c:pt>
                <c:pt idx="53">
                  <c:v>9.0162468537103628E-5</c:v>
                </c:pt>
                <c:pt idx="54">
                  <c:v>9.2837468537103652E-5</c:v>
                </c:pt>
                <c:pt idx="55">
                  <c:v>9.556246853710361E-5</c:v>
                </c:pt>
                <c:pt idx="56">
                  <c:v>9.8337468537103623E-5</c:v>
                </c:pt>
                <c:pt idx="57">
                  <c:v>1.0116246853710364E-4</c:v>
                </c:pt>
                <c:pt idx="58">
                  <c:v>1.0403746853710359E-4</c:v>
                </c:pt>
                <c:pt idx="59">
                  <c:v>1.0696246853710359E-4</c:v>
                </c:pt>
                <c:pt idx="60">
                  <c:v>1.0993746853710365E-4</c:v>
                </c:pt>
                <c:pt idx="61">
                  <c:v>1.1296246853710356E-4</c:v>
                </c:pt>
                <c:pt idx="62">
                  <c:v>1.1603746853710354E-4</c:v>
                </c:pt>
                <c:pt idx="63">
                  <c:v>1.1916246853710357E-4</c:v>
                </c:pt>
                <c:pt idx="64">
                  <c:v>1.223374685371036E-4</c:v>
                </c:pt>
                <c:pt idx="65">
                  <c:v>1.2556246853710363E-4</c:v>
                </c:pt>
                <c:pt idx="66">
                  <c:v>1.2883746853710367E-4</c:v>
                </c:pt>
                <c:pt idx="67">
                  <c:v>1.3216246853710361E-4</c:v>
                </c:pt>
                <c:pt idx="68">
                  <c:v>1.3553746853710362E-4</c:v>
                </c:pt>
                <c:pt idx="69">
                  <c:v>1.3896246853710363E-4</c:v>
                </c:pt>
                <c:pt idx="70">
                  <c:v>1.4243746853710362E-4</c:v>
                </c:pt>
                <c:pt idx="71">
                  <c:v>1.4596246853710359E-4</c:v>
                </c:pt>
                <c:pt idx="72">
                  <c:v>1.4953746853710358E-4</c:v>
                </c:pt>
                <c:pt idx="73">
                  <c:v>1.531624685371036E-4</c:v>
                </c:pt>
                <c:pt idx="74">
                  <c:v>1.5683746853710357E-4</c:v>
                </c:pt>
                <c:pt idx="75">
                  <c:v>1.6056246853710356E-4</c:v>
                </c:pt>
                <c:pt idx="76">
                  <c:v>1.6433746853710351E-4</c:v>
                </c:pt>
                <c:pt idx="77">
                  <c:v>1.6816246853710359E-4</c:v>
                </c:pt>
                <c:pt idx="78">
                  <c:v>1.7203746853710361E-4</c:v>
                </c:pt>
                <c:pt idx="79">
                  <c:v>1.7596246853710356E-4</c:v>
                </c:pt>
                <c:pt idx="80">
                  <c:v>1.7993746853710361E-4</c:v>
                </c:pt>
                <c:pt idx="81">
                  <c:v>1.8396246853710359E-4</c:v>
                </c:pt>
                <c:pt idx="82">
                  <c:v>1.8803746853710357E-4</c:v>
                </c:pt>
                <c:pt idx="83">
                  <c:v>1.9216246853710365E-4</c:v>
                </c:pt>
                <c:pt idx="84">
                  <c:v>1.9633746853710361E-4</c:v>
                </c:pt>
                <c:pt idx="85">
                  <c:v>2.0056246853710356E-4</c:v>
                </c:pt>
                <c:pt idx="86">
                  <c:v>2.0483746853710365E-4</c:v>
                </c:pt>
                <c:pt idx="87">
                  <c:v>2.0916246853710363E-4</c:v>
                </c:pt>
                <c:pt idx="88">
                  <c:v>2.1353746853710362E-4</c:v>
                </c:pt>
                <c:pt idx="89">
                  <c:v>2.1796246853710358E-4</c:v>
                </c:pt>
                <c:pt idx="90">
                  <c:v>2.2243746853710367E-4</c:v>
                </c:pt>
                <c:pt idx="91">
                  <c:v>2.2696246853710363E-4</c:v>
                </c:pt>
                <c:pt idx="92">
                  <c:v>2.3153746853710362E-4</c:v>
                </c:pt>
                <c:pt idx="93">
                  <c:v>2.3616246853710364E-4</c:v>
                </c:pt>
                <c:pt idx="94">
                  <c:v>2.4083746853710371E-4</c:v>
                </c:pt>
                <c:pt idx="95">
                  <c:v>2.4556246853710365E-4</c:v>
                </c:pt>
                <c:pt idx="96">
                  <c:v>2.5033746853710354E-4</c:v>
                </c:pt>
                <c:pt idx="97">
                  <c:v>2.551624685371035E-4</c:v>
                </c:pt>
                <c:pt idx="98">
                  <c:v>2.6003746853710356E-4</c:v>
                </c:pt>
                <c:pt idx="99">
                  <c:v>2.6496246853710358E-4</c:v>
                </c:pt>
                <c:pt idx="100">
                  <c:v>2.6993746853710358E-4</c:v>
                </c:pt>
                <c:pt idx="101">
                  <c:v>2.7496246853710361E-4</c:v>
                </c:pt>
                <c:pt idx="102">
                  <c:v>2.8003746853710361E-4</c:v>
                </c:pt>
                <c:pt idx="103">
                  <c:v>2.8516246853710364E-4</c:v>
                </c:pt>
                <c:pt idx="104">
                  <c:v>2.9033746853710359E-4</c:v>
                </c:pt>
                <c:pt idx="105">
                  <c:v>2.9556246853710357E-4</c:v>
                </c:pt>
                <c:pt idx="106">
                  <c:v>3.0083746853710357E-4</c:v>
                </c:pt>
                <c:pt idx="107">
                  <c:v>3.0616246853710361E-4</c:v>
                </c:pt>
                <c:pt idx="108">
                  <c:v>3.1153746853710372E-4</c:v>
                </c:pt>
                <c:pt idx="109">
                  <c:v>3.1696246853710376E-4</c:v>
                </c:pt>
                <c:pt idx="110">
                  <c:v>3.2243746853710355E-4</c:v>
                </c:pt>
                <c:pt idx="111">
                  <c:v>3.279624685371037E-4</c:v>
                </c:pt>
                <c:pt idx="112">
                  <c:v>3.3353746853710355E-4</c:v>
                </c:pt>
                <c:pt idx="113">
                  <c:v>3.391624685371037E-4</c:v>
                </c:pt>
                <c:pt idx="114">
                  <c:v>3.4483746853710372E-4</c:v>
                </c:pt>
                <c:pt idx="115">
                  <c:v>3.5056246853710355E-4</c:v>
                </c:pt>
                <c:pt idx="116">
                  <c:v>3.5633746853710362E-4</c:v>
                </c:pt>
                <c:pt idx="117">
                  <c:v>3.6216246853710361E-4</c:v>
                </c:pt>
                <c:pt idx="118">
                  <c:v>3.6803746853710358E-4</c:v>
                </c:pt>
                <c:pt idx="119">
                  <c:v>3.7396246853710341E-4</c:v>
                </c:pt>
                <c:pt idx="120">
                  <c:v>3.7993746853710354E-4</c:v>
                </c:pt>
                <c:pt idx="121">
                  <c:v>3.8596246853710354E-4</c:v>
                </c:pt>
                <c:pt idx="122">
                  <c:v>3.9203746853710351E-4</c:v>
                </c:pt>
                <c:pt idx="123">
                  <c:v>3.9816246853710362E-4</c:v>
                </c:pt>
                <c:pt idx="124">
                  <c:v>4.0433746853710359E-4</c:v>
                </c:pt>
                <c:pt idx="125">
                  <c:v>4.1056246853710381E-4</c:v>
                </c:pt>
                <c:pt idx="126">
                  <c:v>4.1683746853710346E-4</c:v>
                </c:pt>
                <c:pt idx="127">
                  <c:v>4.2316246853710341E-4</c:v>
                </c:pt>
                <c:pt idx="128">
                  <c:v>4.2953746853710366E-4</c:v>
                </c:pt>
                <c:pt idx="129">
                  <c:v>4.3596246853710345E-4</c:v>
                </c:pt>
                <c:pt idx="130">
                  <c:v>4.4243746853710349E-4</c:v>
                </c:pt>
                <c:pt idx="131">
                  <c:v>4.4896246853710366E-4</c:v>
                </c:pt>
                <c:pt idx="132">
                  <c:v>4.5553746853710375E-4</c:v>
                </c:pt>
                <c:pt idx="133">
                  <c:v>4.6216246853710371E-4</c:v>
                </c:pt>
                <c:pt idx="134">
                  <c:v>4.688374685371037E-4</c:v>
                </c:pt>
                <c:pt idx="135">
                  <c:v>4.7556246853710371E-4</c:v>
                </c:pt>
                <c:pt idx="136">
                  <c:v>4.823374685371037E-4</c:v>
                </c:pt>
                <c:pt idx="137">
                  <c:v>4.8916246853710355E-4</c:v>
                </c:pt>
                <c:pt idx="138">
                  <c:v>4.960374685371036E-4</c:v>
                </c:pt>
                <c:pt idx="139">
                  <c:v>5.0296246853710367E-4</c:v>
                </c:pt>
                <c:pt idx="140">
                  <c:v>5.0993746853710378E-4</c:v>
                </c:pt>
                <c:pt idx="141">
                  <c:v>5.1696246853710336E-4</c:v>
                </c:pt>
                <c:pt idx="142">
                  <c:v>5.240374685371033E-4</c:v>
                </c:pt>
                <c:pt idx="143">
                  <c:v>5.3116246853710349E-4</c:v>
                </c:pt>
                <c:pt idx="144">
                  <c:v>5.383374685371036E-4</c:v>
                </c:pt>
                <c:pt idx="145">
                  <c:v>5.4556246853710362E-4</c:v>
                </c:pt>
                <c:pt idx="146">
                  <c:v>5.5283746853710325E-4</c:v>
                </c:pt>
                <c:pt idx="147">
                  <c:v>5.6016246853710355E-4</c:v>
                </c:pt>
                <c:pt idx="148">
                  <c:v>5.6753746853710344E-4</c:v>
                </c:pt>
                <c:pt idx="149">
                  <c:v>5.7496246853710369E-4</c:v>
                </c:pt>
                <c:pt idx="150">
                  <c:v>5.8243746853710375E-4</c:v>
                </c:pt>
              </c:numCache>
            </c:numRef>
          </c:yVal>
          <c:smooth val="1"/>
          <c:extLst>
            <c:ext xmlns:c16="http://schemas.microsoft.com/office/drawing/2014/chart" uri="{C3380CC4-5D6E-409C-BE32-E72D297353CC}">
              <c16:uniqueId val="{00000002-EBD5-4EA3-9906-2A505EEC4521}"/>
            </c:ext>
          </c:extLst>
        </c:ser>
        <c:ser>
          <c:idx val="2"/>
          <c:order val="3"/>
          <c:tx>
            <c:v>D1</c:v>
          </c:tx>
          <c:spPr>
            <a:ln>
              <a:solidFill>
                <a:schemeClr val="bg2">
                  <a:lumMod val="50000"/>
                </a:schemeClr>
              </a:solidFill>
              <a:prstDash val="sysDash"/>
            </a:ln>
          </c:spPr>
          <c:marker>
            <c:symbol val="none"/>
          </c:marker>
          <c:xVal>
            <c:numRef>
              <c:f>Eff_vs_IOUT!$R$7:$R$157</c:f>
              <c:numCache>
                <c:formatCode>General</c:formatCode>
                <c:ptCount val="151"/>
                <c:pt idx="0">
                  <c:v>0</c:v>
                </c:pt>
                <c:pt idx="1">
                  <c:v>0.01</c:v>
                </c:pt>
                <c:pt idx="2">
                  <c:v>0.02</c:v>
                </c:pt>
                <c:pt idx="3">
                  <c:v>0.03</c:v>
                </c:pt>
                <c:pt idx="4">
                  <c:v>0.04</c:v>
                </c:pt>
                <c:pt idx="5">
                  <c:v>0.05</c:v>
                </c:pt>
                <c:pt idx="6">
                  <c:v>0.06</c:v>
                </c:pt>
                <c:pt idx="7">
                  <c:v>7.0000000000000007E-2</c:v>
                </c:pt>
                <c:pt idx="8">
                  <c:v>0.08</c:v>
                </c:pt>
                <c:pt idx="9">
                  <c:v>0.09</c:v>
                </c:pt>
                <c:pt idx="10">
                  <c:v>0.1</c:v>
                </c:pt>
                <c:pt idx="11">
                  <c:v>0.11</c:v>
                </c:pt>
                <c:pt idx="12">
                  <c:v>0.12</c:v>
                </c:pt>
                <c:pt idx="13">
                  <c:v>0.13</c:v>
                </c:pt>
                <c:pt idx="14">
                  <c:v>0.14000000000000001</c:v>
                </c:pt>
                <c:pt idx="15">
                  <c:v>0.15</c:v>
                </c:pt>
                <c:pt idx="16">
                  <c:v>0.16</c:v>
                </c:pt>
                <c:pt idx="17">
                  <c:v>0.17</c:v>
                </c:pt>
                <c:pt idx="18">
                  <c:v>0.18</c:v>
                </c:pt>
                <c:pt idx="19">
                  <c:v>0.19</c:v>
                </c:pt>
                <c:pt idx="20">
                  <c:v>0.2</c:v>
                </c:pt>
                <c:pt idx="21">
                  <c:v>0.21</c:v>
                </c:pt>
                <c:pt idx="22">
                  <c:v>0.22</c:v>
                </c:pt>
                <c:pt idx="23">
                  <c:v>0.23</c:v>
                </c:pt>
                <c:pt idx="24">
                  <c:v>0.24</c:v>
                </c:pt>
                <c:pt idx="25">
                  <c:v>0.25</c:v>
                </c:pt>
                <c:pt idx="26">
                  <c:v>0.26</c:v>
                </c:pt>
                <c:pt idx="27">
                  <c:v>0.27</c:v>
                </c:pt>
                <c:pt idx="28">
                  <c:v>0.28000000000000003</c:v>
                </c:pt>
                <c:pt idx="29">
                  <c:v>0.28999999999999998</c:v>
                </c:pt>
                <c:pt idx="30">
                  <c:v>0.3</c:v>
                </c:pt>
                <c:pt idx="31">
                  <c:v>0.31</c:v>
                </c:pt>
                <c:pt idx="32">
                  <c:v>0.32</c:v>
                </c:pt>
                <c:pt idx="33">
                  <c:v>0.33</c:v>
                </c:pt>
                <c:pt idx="34">
                  <c:v>0.34</c:v>
                </c:pt>
                <c:pt idx="35">
                  <c:v>0.35000000000000003</c:v>
                </c:pt>
                <c:pt idx="36">
                  <c:v>0.36</c:v>
                </c:pt>
                <c:pt idx="37">
                  <c:v>0.37</c:v>
                </c:pt>
                <c:pt idx="38">
                  <c:v>0.38</c:v>
                </c:pt>
                <c:pt idx="39">
                  <c:v>0.39</c:v>
                </c:pt>
                <c:pt idx="40">
                  <c:v>0.4</c:v>
                </c:pt>
                <c:pt idx="41">
                  <c:v>0.41000000000000003</c:v>
                </c:pt>
                <c:pt idx="42">
                  <c:v>0.42</c:v>
                </c:pt>
                <c:pt idx="43">
                  <c:v>0.43</c:v>
                </c:pt>
                <c:pt idx="44">
                  <c:v>0.44</c:v>
                </c:pt>
                <c:pt idx="45">
                  <c:v>0.45</c:v>
                </c:pt>
                <c:pt idx="46">
                  <c:v>0.46</c:v>
                </c:pt>
                <c:pt idx="47">
                  <c:v>0.47000000000000003</c:v>
                </c:pt>
                <c:pt idx="48">
                  <c:v>0.48</c:v>
                </c:pt>
                <c:pt idx="49">
                  <c:v>0.49</c:v>
                </c:pt>
                <c:pt idx="50">
                  <c:v>0.5</c:v>
                </c:pt>
                <c:pt idx="51">
                  <c:v>0.51</c:v>
                </c:pt>
                <c:pt idx="52">
                  <c:v>0.52</c:v>
                </c:pt>
                <c:pt idx="53">
                  <c:v>0.53</c:v>
                </c:pt>
                <c:pt idx="54">
                  <c:v>0.54</c:v>
                </c:pt>
                <c:pt idx="55">
                  <c:v>0.55000000000000004</c:v>
                </c:pt>
                <c:pt idx="56">
                  <c:v>0.56000000000000005</c:v>
                </c:pt>
                <c:pt idx="57">
                  <c:v>0.57000000000000006</c:v>
                </c:pt>
                <c:pt idx="58">
                  <c:v>0.57999999999999996</c:v>
                </c:pt>
                <c:pt idx="59">
                  <c:v>0.59</c:v>
                </c:pt>
                <c:pt idx="60">
                  <c:v>0.6</c:v>
                </c:pt>
                <c:pt idx="61">
                  <c:v>0.61</c:v>
                </c:pt>
                <c:pt idx="62">
                  <c:v>0.62</c:v>
                </c:pt>
                <c:pt idx="63">
                  <c:v>0.63</c:v>
                </c:pt>
                <c:pt idx="64">
                  <c:v>0.64</c:v>
                </c:pt>
                <c:pt idx="65">
                  <c:v>0.65</c:v>
                </c:pt>
                <c:pt idx="66">
                  <c:v>0.66</c:v>
                </c:pt>
                <c:pt idx="67">
                  <c:v>0.67</c:v>
                </c:pt>
                <c:pt idx="68">
                  <c:v>0.68</c:v>
                </c:pt>
                <c:pt idx="69">
                  <c:v>0.69000000000000006</c:v>
                </c:pt>
                <c:pt idx="70">
                  <c:v>0.70000000000000007</c:v>
                </c:pt>
                <c:pt idx="71">
                  <c:v>0.71</c:v>
                </c:pt>
                <c:pt idx="72">
                  <c:v>0.72</c:v>
                </c:pt>
                <c:pt idx="73">
                  <c:v>0.73</c:v>
                </c:pt>
                <c:pt idx="74">
                  <c:v>0.74</c:v>
                </c:pt>
                <c:pt idx="75">
                  <c:v>0.75</c:v>
                </c:pt>
                <c:pt idx="76">
                  <c:v>0.76</c:v>
                </c:pt>
                <c:pt idx="77">
                  <c:v>0.77</c:v>
                </c:pt>
                <c:pt idx="78">
                  <c:v>0.78</c:v>
                </c:pt>
                <c:pt idx="79">
                  <c:v>0.79</c:v>
                </c:pt>
                <c:pt idx="80">
                  <c:v>0.8</c:v>
                </c:pt>
                <c:pt idx="81">
                  <c:v>0.81</c:v>
                </c:pt>
                <c:pt idx="82">
                  <c:v>0.82000000000000006</c:v>
                </c:pt>
                <c:pt idx="83">
                  <c:v>0.83000000000000007</c:v>
                </c:pt>
                <c:pt idx="84">
                  <c:v>0.84</c:v>
                </c:pt>
                <c:pt idx="85">
                  <c:v>0.85</c:v>
                </c:pt>
                <c:pt idx="86">
                  <c:v>0.86</c:v>
                </c:pt>
                <c:pt idx="87">
                  <c:v>0.87</c:v>
                </c:pt>
                <c:pt idx="88">
                  <c:v>0.88</c:v>
                </c:pt>
                <c:pt idx="89">
                  <c:v>0.89</c:v>
                </c:pt>
                <c:pt idx="90">
                  <c:v>0.9</c:v>
                </c:pt>
                <c:pt idx="91">
                  <c:v>0.91</c:v>
                </c:pt>
                <c:pt idx="92">
                  <c:v>0.92</c:v>
                </c:pt>
                <c:pt idx="93">
                  <c:v>0.93</c:v>
                </c:pt>
                <c:pt idx="94">
                  <c:v>0.94000000000000006</c:v>
                </c:pt>
                <c:pt idx="95">
                  <c:v>0.95000000000000007</c:v>
                </c:pt>
                <c:pt idx="96">
                  <c:v>0.96</c:v>
                </c:pt>
                <c:pt idx="97">
                  <c:v>0.97</c:v>
                </c:pt>
                <c:pt idx="98">
                  <c:v>0.98</c:v>
                </c:pt>
                <c:pt idx="99">
                  <c:v>0.99</c:v>
                </c:pt>
                <c:pt idx="100">
                  <c:v>1</c:v>
                </c:pt>
                <c:pt idx="101">
                  <c:v>1.01</c:v>
                </c:pt>
                <c:pt idx="102">
                  <c:v>1.02</c:v>
                </c:pt>
                <c:pt idx="103">
                  <c:v>1.03</c:v>
                </c:pt>
                <c:pt idx="104">
                  <c:v>1.04</c:v>
                </c:pt>
                <c:pt idx="105">
                  <c:v>1.05</c:v>
                </c:pt>
                <c:pt idx="106">
                  <c:v>1.06</c:v>
                </c:pt>
                <c:pt idx="107">
                  <c:v>1.07</c:v>
                </c:pt>
                <c:pt idx="108">
                  <c:v>1.08</c:v>
                </c:pt>
                <c:pt idx="109">
                  <c:v>1.0900000000000001</c:v>
                </c:pt>
                <c:pt idx="110">
                  <c:v>1.1000000000000001</c:v>
                </c:pt>
                <c:pt idx="111">
                  <c:v>1.1100000000000001</c:v>
                </c:pt>
                <c:pt idx="112">
                  <c:v>1.1200000000000001</c:v>
                </c:pt>
                <c:pt idx="113">
                  <c:v>1.1300000000000001</c:v>
                </c:pt>
                <c:pt idx="114">
                  <c:v>1.1400000000000001</c:v>
                </c:pt>
                <c:pt idx="115">
                  <c:v>1.1500000000000001</c:v>
                </c:pt>
                <c:pt idx="116">
                  <c:v>1.1599999999999999</c:v>
                </c:pt>
                <c:pt idx="117">
                  <c:v>1.17</c:v>
                </c:pt>
                <c:pt idx="118">
                  <c:v>1.18</c:v>
                </c:pt>
                <c:pt idx="119">
                  <c:v>1.19</c:v>
                </c:pt>
                <c:pt idx="120">
                  <c:v>1.2</c:v>
                </c:pt>
                <c:pt idx="121">
                  <c:v>1.21</c:v>
                </c:pt>
                <c:pt idx="122">
                  <c:v>1.22</c:v>
                </c:pt>
                <c:pt idx="123">
                  <c:v>1.23</c:v>
                </c:pt>
                <c:pt idx="124">
                  <c:v>1.24</c:v>
                </c:pt>
                <c:pt idx="125">
                  <c:v>1.25</c:v>
                </c:pt>
                <c:pt idx="126">
                  <c:v>1.26</c:v>
                </c:pt>
                <c:pt idx="127">
                  <c:v>1.27</c:v>
                </c:pt>
                <c:pt idx="128">
                  <c:v>1.28</c:v>
                </c:pt>
                <c:pt idx="129">
                  <c:v>1.29</c:v>
                </c:pt>
                <c:pt idx="130">
                  <c:v>1.3</c:v>
                </c:pt>
                <c:pt idx="131">
                  <c:v>1.31</c:v>
                </c:pt>
                <c:pt idx="132">
                  <c:v>1.32</c:v>
                </c:pt>
                <c:pt idx="133">
                  <c:v>1.33</c:v>
                </c:pt>
                <c:pt idx="134">
                  <c:v>1.34</c:v>
                </c:pt>
                <c:pt idx="135">
                  <c:v>1.35</c:v>
                </c:pt>
                <c:pt idx="136">
                  <c:v>1.36</c:v>
                </c:pt>
                <c:pt idx="137">
                  <c:v>1.37</c:v>
                </c:pt>
                <c:pt idx="138">
                  <c:v>1.3800000000000001</c:v>
                </c:pt>
                <c:pt idx="139">
                  <c:v>1.3900000000000001</c:v>
                </c:pt>
                <c:pt idx="140">
                  <c:v>1.4000000000000001</c:v>
                </c:pt>
                <c:pt idx="141">
                  <c:v>1.41</c:v>
                </c:pt>
                <c:pt idx="142">
                  <c:v>1.42</c:v>
                </c:pt>
                <c:pt idx="143">
                  <c:v>1.43</c:v>
                </c:pt>
                <c:pt idx="144">
                  <c:v>1.44</c:v>
                </c:pt>
                <c:pt idx="145">
                  <c:v>1.45</c:v>
                </c:pt>
                <c:pt idx="146">
                  <c:v>1.46</c:v>
                </c:pt>
                <c:pt idx="147">
                  <c:v>1.47</c:v>
                </c:pt>
                <c:pt idx="148">
                  <c:v>1.48</c:v>
                </c:pt>
                <c:pt idx="149">
                  <c:v>1.49</c:v>
                </c:pt>
                <c:pt idx="150">
                  <c:v>1.5</c:v>
                </c:pt>
              </c:numCache>
            </c:numRef>
          </c:xVal>
          <c:yVal>
            <c:numRef>
              <c:f>Eff_vs_IOUT!$AY$8:$AY$157</c:f>
              <c:numCache>
                <c:formatCode>General</c:formatCode>
                <c:ptCount val="150"/>
                <c:pt idx="0">
                  <c:v>6.8348000000000006E-2</c:v>
                </c:pt>
                <c:pt idx="1">
                  <c:v>6.8547999999999998E-2</c:v>
                </c:pt>
                <c:pt idx="2">
                  <c:v>6.8748000000000004E-2</c:v>
                </c:pt>
                <c:pt idx="3">
                  <c:v>6.8947999999999995E-2</c:v>
                </c:pt>
                <c:pt idx="4">
                  <c:v>6.9148000000000001E-2</c:v>
                </c:pt>
                <c:pt idx="5">
                  <c:v>6.9348000000000007E-2</c:v>
                </c:pt>
                <c:pt idx="6">
                  <c:v>6.9547999999999999E-2</c:v>
                </c:pt>
                <c:pt idx="7">
                  <c:v>6.9748000000000004E-2</c:v>
                </c:pt>
                <c:pt idx="8">
                  <c:v>6.9947999999999996E-2</c:v>
                </c:pt>
                <c:pt idx="9">
                  <c:v>7.0148000000000002E-2</c:v>
                </c:pt>
                <c:pt idx="10">
                  <c:v>7.0347999999999994E-2</c:v>
                </c:pt>
                <c:pt idx="11">
                  <c:v>7.0548E-2</c:v>
                </c:pt>
                <c:pt idx="12">
                  <c:v>7.0748000000000005E-2</c:v>
                </c:pt>
                <c:pt idx="13">
                  <c:v>7.0947999999999997E-2</c:v>
                </c:pt>
                <c:pt idx="14">
                  <c:v>7.1148000000000003E-2</c:v>
                </c:pt>
                <c:pt idx="15">
                  <c:v>7.1347999999999995E-2</c:v>
                </c:pt>
                <c:pt idx="16">
                  <c:v>7.1548E-2</c:v>
                </c:pt>
                <c:pt idx="17">
                  <c:v>7.1748000000000006E-2</c:v>
                </c:pt>
                <c:pt idx="18">
                  <c:v>7.1947999999999998E-2</c:v>
                </c:pt>
                <c:pt idx="19">
                  <c:v>7.2148000000000004E-2</c:v>
                </c:pt>
                <c:pt idx="20">
                  <c:v>7.2347999999999996E-2</c:v>
                </c:pt>
                <c:pt idx="21">
                  <c:v>7.2548000000000001E-2</c:v>
                </c:pt>
                <c:pt idx="22">
                  <c:v>7.2748000000000007E-2</c:v>
                </c:pt>
                <c:pt idx="23">
                  <c:v>7.2947999999999999E-2</c:v>
                </c:pt>
                <c:pt idx="24">
                  <c:v>7.3148000000000005E-2</c:v>
                </c:pt>
                <c:pt idx="25">
                  <c:v>7.3347999999999997E-2</c:v>
                </c:pt>
                <c:pt idx="26">
                  <c:v>7.3548000000000002E-2</c:v>
                </c:pt>
                <c:pt idx="27">
                  <c:v>7.3747999999999994E-2</c:v>
                </c:pt>
                <c:pt idx="28">
                  <c:v>7.3948E-2</c:v>
                </c:pt>
                <c:pt idx="29">
                  <c:v>7.4148000000000006E-2</c:v>
                </c:pt>
                <c:pt idx="30">
                  <c:v>7.4347999999999997E-2</c:v>
                </c:pt>
                <c:pt idx="31">
                  <c:v>7.4548000000000003E-2</c:v>
                </c:pt>
                <c:pt idx="32">
                  <c:v>7.4747999999999995E-2</c:v>
                </c:pt>
                <c:pt idx="33">
                  <c:v>7.4948000000000001E-2</c:v>
                </c:pt>
                <c:pt idx="34">
                  <c:v>7.5148000000000006E-2</c:v>
                </c:pt>
                <c:pt idx="35">
                  <c:v>7.5347999999999998E-2</c:v>
                </c:pt>
                <c:pt idx="36">
                  <c:v>7.5548000000000004E-2</c:v>
                </c:pt>
                <c:pt idx="37">
                  <c:v>7.5747999999999996E-2</c:v>
                </c:pt>
                <c:pt idx="38">
                  <c:v>7.5948000000000002E-2</c:v>
                </c:pt>
                <c:pt idx="39">
                  <c:v>7.6147999999999993E-2</c:v>
                </c:pt>
                <c:pt idx="40">
                  <c:v>7.6347999999999999E-2</c:v>
                </c:pt>
                <c:pt idx="41">
                  <c:v>7.6548000000000005E-2</c:v>
                </c:pt>
                <c:pt idx="42">
                  <c:v>7.6747999999999997E-2</c:v>
                </c:pt>
                <c:pt idx="43">
                  <c:v>7.6948000000000003E-2</c:v>
                </c:pt>
                <c:pt idx="44">
                  <c:v>7.7147999999999994E-2</c:v>
                </c:pt>
                <c:pt idx="45">
                  <c:v>7.7348E-2</c:v>
                </c:pt>
                <c:pt idx="46">
                  <c:v>7.7548000000000006E-2</c:v>
                </c:pt>
                <c:pt idx="47">
                  <c:v>7.7747999999999998E-2</c:v>
                </c:pt>
                <c:pt idx="48">
                  <c:v>7.7948000000000003E-2</c:v>
                </c:pt>
                <c:pt idx="49">
                  <c:v>7.8147999999999995E-2</c:v>
                </c:pt>
                <c:pt idx="50">
                  <c:v>7.8348000000000001E-2</c:v>
                </c:pt>
                <c:pt idx="51">
                  <c:v>7.8548000000000007E-2</c:v>
                </c:pt>
                <c:pt idx="52">
                  <c:v>7.8747999999999999E-2</c:v>
                </c:pt>
                <c:pt idx="53">
                  <c:v>7.8948000000000004E-2</c:v>
                </c:pt>
                <c:pt idx="54">
                  <c:v>7.9147999999999996E-2</c:v>
                </c:pt>
                <c:pt idx="55">
                  <c:v>7.9348000000000002E-2</c:v>
                </c:pt>
                <c:pt idx="56">
                  <c:v>7.9548000000000008E-2</c:v>
                </c:pt>
                <c:pt idx="57">
                  <c:v>7.9747999999999999E-2</c:v>
                </c:pt>
                <c:pt idx="58">
                  <c:v>7.9948000000000005E-2</c:v>
                </c:pt>
                <c:pt idx="59">
                  <c:v>8.0147999999999997E-2</c:v>
                </c:pt>
                <c:pt idx="60">
                  <c:v>8.0348000000000003E-2</c:v>
                </c:pt>
                <c:pt idx="61">
                  <c:v>8.0547999999999995E-2</c:v>
                </c:pt>
                <c:pt idx="62">
                  <c:v>8.0748E-2</c:v>
                </c:pt>
                <c:pt idx="63">
                  <c:v>8.0947999999999992E-2</c:v>
                </c:pt>
                <c:pt idx="64">
                  <c:v>8.1147999999999998E-2</c:v>
                </c:pt>
                <c:pt idx="65">
                  <c:v>8.1348000000000004E-2</c:v>
                </c:pt>
                <c:pt idx="66">
                  <c:v>8.1547999999999995E-2</c:v>
                </c:pt>
                <c:pt idx="67">
                  <c:v>8.1748000000000001E-2</c:v>
                </c:pt>
                <c:pt idx="68">
                  <c:v>8.1948000000000007E-2</c:v>
                </c:pt>
                <c:pt idx="69">
                  <c:v>8.2147999999999999E-2</c:v>
                </c:pt>
                <c:pt idx="70">
                  <c:v>8.2348000000000005E-2</c:v>
                </c:pt>
                <c:pt idx="71">
                  <c:v>8.2547999999999996E-2</c:v>
                </c:pt>
                <c:pt idx="72">
                  <c:v>8.2748000000000002E-2</c:v>
                </c:pt>
                <c:pt idx="73">
                  <c:v>8.2947999999999994E-2</c:v>
                </c:pt>
                <c:pt idx="74">
                  <c:v>8.3148E-2</c:v>
                </c:pt>
                <c:pt idx="75">
                  <c:v>8.3348000000000005E-2</c:v>
                </c:pt>
                <c:pt idx="76">
                  <c:v>8.3547999999999997E-2</c:v>
                </c:pt>
                <c:pt idx="77">
                  <c:v>8.3748000000000003E-2</c:v>
                </c:pt>
                <c:pt idx="78">
                  <c:v>8.3947999999999995E-2</c:v>
                </c:pt>
                <c:pt idx="79">
                  <c:v>8.4148000000000001E-2</c:v>
                </c:pt>
                <c:pt idx="80">
                  <c:v>8.4348000000000006E-2</c:v>
                </c:pt>
                <c:pt idx="81">
                  <c:v>8.4547999999999998E-2</c:v>
                </c:pt>
                <c:pt idx="82">
                  <c:v>8.4748000000000004E-2</c:v>
                </c:pt>
                <c:pt idx="83">
                  <c:v>8.4947999999999996E-2</c:v>
                </c:pt>
                <c:pt idx="84">
                  <c:v>8.5148000000000001E-2</c:v>
                </c:pt>
                <c:pt idx="85">
                  <c:v>8.5348000000000007E-2</c:v>
                </c:pt>
                <c:pt idx="86">
                  <c:v>8.5547999999999999E-2</c:v>
                </c:pt>
                <c:pt idx="87">
                  <c:v>8.5747999999999991E-2</c:v>
                </c:pt>
                <c:pt idx="88">
                  <c:v>8.5947999999999997E-2</c:v>
                </c:pt>
                <c:pt idx="89">
                  <c:v>8.6148000000000002E-2</c:v>
                </c:pt>
                <c:pt idx="90">
                  <c:v>8.6348000000000008E-2</c:v>
                </c:pt>
                <c:pt idx="91">
                  <c:v>8.6548E-2</c:v>
                </c:pt>
                <c:pt idx="92">
                  <c:v>8.6748000000000006E-2</c:v>
                </c:pt>
                <c:pt idx="93">
                  <c:v>8.6947999999999998E-2</c:v>
                </c:pt>
                <c:pt idx="94">
                  <c:v>8.7148000000000003E-2</c:v>
                </c:pt>
                <c:pt idx="95">
                  <c:v>8.7347999999999995E-2</c:v>
                </c:pt>
                <c:pt idx="96">
                  <c:v>8.7548000000000001E-2</c:v>
                </c:pt>
                <c:pt idx="97">
                  <c:v>8.7747999999999993E-2</c:v>
                </c:pt>
                <c:pt idx="98">
                  <c:v>8.7947999999999998E-2</c:v>
                </c:pt>
                <c:pt idx="99">
                  <c:v>8.8148000000000004E-2</c:v>
                </c:pt>
                <c:pt idx="100">
                  <c:v>8.8347999999999996E-2</c:v>
                </c:pt>
                <c:pt idx="101">
                  <c:v>8.8548000000000002E-2</c:v>
                </c:pt>
                <c:pt idx="102">
                  <c:v>8.8747999999999994E-2</c:v>
                </c:pt>
                <c:pt idx="103">
                  <c:v>8.8947999999999999E-2</c:v>
                </c:pt>
                <c:pt idx="104">
                  <c:v>8.9148000000000005E-2</c:v>
                </c:pt>
                <c:pt idx="105">
                  <c:v>8.9347999999999997E-2</c:v>
                </c:pt>
                <c:pt idx="106">
                  <c:v>8.9548000000000003E-2</c:v>
                </c:pt>
                <c:pt idx="107">
                  <c:v>8.9747999999999994E-2</c:v>
                </c:pt>
                <c:pt idx="108">
                  <c:v>8.9948E-2</c:v>
                </c:pt>
                <c:pt idx="109">
                  <c:v>9.0148000000000006E-2</c:v>
                </c:pt>
                <c:pt idx="110">
                  <c:v>9.0347999999999998E-2</c:v>
                </c:pt>
                <c:pt idx="111">
                  <c:v>9.0548000000000003E-2</c:v>
                </c:pt>
                <c:pt idx="112">
                  <c:v>9.0747999999999995E-2</c:v>
                </c:pt>
                <c:pt idx="113">
                  <c:v>9.0948000000000001E-2</c:v>
                </c:pt>
                <c:pt idx="114">
                  <c:v>9.1148000000000007E-2</c:v>
                </c:pt>
                <c:pt idx="115">
                  <c:v>9.1347999999999999E-2</c:v>
                </c:pt>
                <c:pt idx="116">
                  <c:v>9.1548000000000004E-2</c:v>
                </c:pt>
                <c:pt idx="117">
                  <c:v>9.1747999999999996E-2</c:v>
                </c:pt>
                <c:pt idx="118">
                  <c:v>9.1948000000000002E-2</c:v>
                </c:pt>
                <c:pt idx="119">
                  <c:v>9.2148000000000008E-2</c:v>
                </c:pt>
                <c:pt idx="120">
                  <c:v>9.2348E-2</c:v>
                </c:pt>
                <c:pt idx="121">
                  <c:v>9.2547999999999991E-2</c:v>
                </c:pt>
                <c:pt idx="122">
                  <c:v>9.2747999999999997E-2</c:v>
                </c:pt>
                <c:pt idx="123">
                  <c:v>9.2948000000000003E-2</c:v>
                </c:pt>
                <c:pt idx="124">
                  <c:v>9.3147999999999995E-2</c:v>
                </c:pt>
                <c:pt idx="125">
                  <c:v>9.3348E-2</c:v>
                </c:pt>
                <c:pt idx="126">
                  <c:v>9.3547999999999992E-2</c:v>
                </c:pt>
                <c:pt idx="127">
                  <c:v>9.3747999999999998E-2</c:v>
                </c:pt>
                <c:pt idx="128">
                  <c:v>9.3948000000000004E-2</c:v>
                </c:pt>
                <c:pt idx="129">
                  <c:v>9.4147999999999996E-2</c:v>
                </c:pt>
                <c:pt idx="130">
                  <c:v>9.4348000000000001E-2</c:v>
                </c:pt>
                <c:pt idx="131">
                  <c:v>9.4548000000000007E-2</c:v>
                </c:pt>
                <c:pt idx="132">
                  <c:v>9.4747999999999999E-2</c:v>
                </c:pt>
                <c:pt idx="133">
                  <c:v>9.4948000000000005E-2</c:v>
                </c:pt>
                <c:pt idx="134">
                  <c:v>9.514800000000001E-2</c:v>
                </c:pt>
                <c:pt idx="135">
                  <c:v>9.5348000000000002E-2</c:v>
                </c:pt>
                <c:pt idx="136">
                  <c:v>9.5547999999999994E-2</c:v>
                </c:pt>
                <c:pt idx="137">
                  <c:v>9.5748E-2</c:v>
                </c:pt>
                <c:pt idx="138">
                  <c:v>9.5948000000000006E-2</c:v>
                </c:pt>
                <c:pt idx="139">
                  <c:v>9.6147999999999997E-2</c:v>
                </c:pt>
                <c:pt idx="140">
                  <c:v>9.6348000000000003E-2</c:v>
                </c:pt>
                <c:pt idx="141">
                  <c:v>9.6547999999999995E-2</c:v>
                </c:pt>
                <c:pt idx="142">
                  <c:v>9.6748000000000001E-2</c:v>
                </c:pt>
                <c:pt idx="143">
                  <c:v>9.6948000000000006E-2</c:v>
                </c:pt>
                <c:pt idx="144">
                  <c:v>9.7147999999999998E-2</c:v>
                </c:pt>
                <c:pt idx="145">
                  <c:v>9.734799999999999E-2</c:v>
                </c:pt>
                <c:pt idx="146">
                  <c:v>9.7547999999999996E-2</c:v>
                </c:pt>
                <c:pt idx="147">
                  <c:v>9.7748000000000002E-2</c:v>
                </c:pt>
                <c:pt idx="148">
                  <c:v>9.7947999999999993E-2</c:v>
                </c:pt>
                <c:pt idx="149">
                  <c:v>9.8147999999999999E-2</c:v>
                </c:pt>
              </c:numCache>
            </c:numRef>
          </c:yVal>
          <c:smooth val="1"/>
          <c:extLst>
            <c:ext xmlns:c16="http://schemas.microsoft.com/office/drawing/2014/chart" uri="{C3380CC4-5D6E-409C-BE32-E72D297353CC}">
              <c16:uniqueId val="{00000003-EBD5-4EA3-9906-2A505EEC4521}"/>
            </c:ext>
          </c:extLst>
        </c:ser>
        <c:ser>
          <c:idx val="4"/>
          <c:order val="4"/>
          <c:tx>
            <c:v>D2</c:v>
          </c:tx>
          <c:marker>
            <c:symbol val="none"/>
          </c:marker>
          <c:xVal>
            <c:numRef>
              <c:f>Eff_vs_IOUT!$R$8:$R$157</c:f>
              <c:numCache>
                <c:formatCode>General</c:formatCode>
                <c:ptCount val="150"/>
                <c:pt idx="0">
                  <c:v>0.01</c:v>
                </c:pt>
                <c:pt idx="1">
                  <c:v>0.02</c:v>
                </c:pt>
                <c:pt idx="2">
                  <c:v>0.03</c:v>
                </c:pt>
                <c:pt idx="3">
                  <c:v>0.04</c:v>
                </c:pt>
                <c:pt idx="4">
                  <c:v>0.05</c:v>
                </c:pt>
                <c:pt idx="5">
                  <c:v>0.06</c:v>
                </c:pt>
                <c:pt idx="6">
                  <c:v>7.0000000000000007E-2</c:v>
                </c:pt>
                <c:pt idx="7">
                  <c:v>0.08</c:v>
                </c:pt>
                <c:pt idx="8">
                  <c:v>0.09</c:v>
                </c:pt>
                <c:pt idx="9">
                  <c:v>0.1</c:v>
                </c:pt>
                <c:pt idx="10">
                  <c:v>0.11</c:v>
                </c:pt>
                <c:pt idx="11">
                  <c:v>0.12</c:v>
                </c:pt>
                <c:pt idx="12">
                  <c:v>0.13</c:v>
                </c:pt>
                <c:pt idx="13">
                  <c:v>0.14000000000000001</c:v>
                </c:pt>
                <c:pt idx="14">
                  <c:v>0.15</c:v>
                </c:pt>
                <c:pt idx="15">
                  <c:v>0.16</c:v>
                </c:pt>
                <c:pt idx="16">
                  <c:v>0.17</c:v>
                </c:pt>
                <c:pt idx="17">
                  <c:v>0.18</c:v>
                </c:pt>
                <c:pt idx="18">
                  <c:v>0.19</c:v>
                </c:pt>
                <c:pt idx="19">
                  <c:v>0.2</c:v>
                </c:pt>
                <c:pt idx="20">
                  <c:v>0.21</c:v>
                </c:pt>
                <c:pt idx="21">
                  <c:v>0.22</c:v>
                </c:pt>
                <c:pt idx="22">
                  <c:v>0.23</c:v>
                </c:pt>
                <c:pt idx="23">
                  <c:v>0.24</c:v>
                </c:pt>
                <c:pt idx="24">
                  <c:v>0.25</c:v>
                </c:pt>
                <c:pt idx="25">
                  <c:v>0.26</c:v>
                </c:pt>
                <c:pt idx="26">
                  <c:v>0.27</c:v>
                </c:pt>
                <c:pt idx="27">
                  <c:v>0.28000000000000003</c:v>
                </c:pt>
                <c:pt idx="28">
                  <c:v>0.28999999999999998</c:v>
                </c:pt>
                <c:pt idx="29">
                  <c:v>0.3</c:v>
                </c:pt>
                <c:pt idx="30">
                  <c:v>0.31</c:v>
                </c:pt>
                <c:pt idx="31">
                  <c:v>0.32</c:v>
                </c:pt>
                <c:pt idx="32">
                  <c:v>0.33</c:v>
                </c:pt>
                <c:pt idx="33">
                  <c:v>0.34</c:v>
                </c:pt>
                <c:pt idx="34">
                  <c:v>0.35000000000000003</c:v>
                </c:pt>
                <c:pt idx="35">
                  <c:v>0.36</c:v>
                </c:pt>
                <c:pt idx="36">
                  <c:v>0.37</c:v>
                </c:pt>
                <c:pt idx="37">
                  <c:v>0.38</c:v>
                </c:pt>
                <c:pt idx="38">
                  <c:v>0.39</c:v>
                </c:pt>
                <c:pt idx="39">
                  <c:v>0.4</c:v>
                </c:pt>
                <c:pt idx="40">
                  <c:v>0.41000000000000003</c:v>
                </c:pt>
                <c:pt idx="41">
                  <c:v>0.42</c:v>
                </c:pt>
                <c:pt idx="42">
                  <c:v>0.43</c:v>
                </c:pt>
                <c:pt idx="43">
                  <c:v>0.44</c:v>
                </c:pt>
                <c:pt idx="44">
                  <c:v>0.45</c:v>
                </c:pt>
                <c:pt idx="45">
                  <c:v>0.46</c:v>
                </c:pt>
                <c:pt idx="46">
                  <c:v>0.47000000000000003</c:v>
                </c:pt>
                <c:pt idx="47">
                  <c:v>0.48</c:v>
                </c:pt>
                <c:pt idx="48">
                  <c:v>0.49</c:v>
                </c:pt>
                <c:pt idx="49">
                  <c:v>0.5</c:v>
                </c:pt>
                <c:pt idx="50">
                  <c:v>0.51</c:v>
                </c:pt>
                <c:pt idx="51">
                  <c:v>0.52</c:v>
                </c:pt>
                <c:pt idx="52">
                  <c:v>0.53</c:v>
                </c:pt>
                <c:pt idx="53">
                  <c:v>0.54</c:v>
                </c:pt>
                <c:pt idx="54">
                  <c:v>0.55000000000000004</c:v>
                </c:pt>
                <c:pt idx="55">
                  <c:v>0.56000000000000005</c:v>
                </c:pt>
                <c:pt idx="56">
                  <c:v>0.57000000000000006</c:v>
                </c:pt>
                <c:pt idx="57">
                  <c:v>0.57999999999999996</c:v>
                </c:pt>
                <c:pt idx="58">
                  <c:v>0.59</c:v>
                </c:pt>
                <c:pt idx="59">
                  <c:v>0.6</c:v>
                </c:pt>
                <c:pt idx="60">
                  <c:v>0.61</c:v>
                </c:pt>
                <c:pt idx="61">
                  <c:v>0.62</c:v>
                </c:pt>
                <c:pt idx="62">
                  <c:v>0.63</c:v>
                </c:pt>
                <c:pt idx="63">
                  <c:v>0.64</c:v>
                </c:pt>
                <c:pt idx="64">
                  <c:v>0.65</c:v>
                </c:pt>
                <c:pt idx="65">
                  <c:v>0.66</c:v>
                </c:pt>
                <c:pt idx="66">
                  <c:v>0.67</c:v>
                </c:pt>
                <c:pt idx="67">
                  <c:v>0.68</c:v>
                </c:pt>
                <c:pt idx="68">
                  <c:v>0.69000000000000006</c:v>
                </c:pt>
                <c:pt idx="69">
                  <c:v>0.70000000000000007</c:v>
                </c:pt>
                <c:pt idx="70">
                  <c:v>0.71</c:v>
                </c:pt>
                <c:pt idx="71">
                  <c:v>0.72</c:v>
                </c:pt>
                <c:pt idx="72">
                  <c:v>0.73</c:v>
                </c:pt>
                <c:pt idx="73">
                  <c:v>0.74</c:v>
                </c:pt>
                <c:pt idx="74">
                  <c:v>0.75</c:v>
                </c:pt>
                <c:pt idx="75">
                  <c:v>0.76</c:v>
                </c:pt>
                <c:pt idx="76">
                  <c:v>0.77</c:v>
                </c:pt>
                <c:pt idx="77">
                  <c:v>0.78</c:v>
                </c:pt>
                <c:pt idx="78">
                  <c:v>0.79</c:v>
                </c:pt>
                <c:pt idx="79">
                  <c:v>0.8</c:v>
                </c:pt>
                <c:pt idx="80">
                  <c:v>0.81</c:v>
                </c:pt>
                <c:pt idx="81">
                  <c:v>0.82000000000000006</c:v>
                </c:pt>
                <c:pt idx="82">
                  <c:v>0.83000000000000007</c:v>
                </c:pt>
                <c:pt idx="83">
                  <c:v>0.84</c:v>
                </c:pt>
                <c:pt idx="84">
                  <c:v>0.85</c:v>
                </c:pt>
                <c:pt idx="85">
                  <c:v>0.86</c:v>
                </c:pt>
                <c:pt idx="86">
                  <c:v>0.87</c:v>
                </c:pt>
                <c:pt idx="87">
                  <c:v>0.88</c:v>
                </c:pt>
                <c:pt idx="88">
                  <c:v>0.89</c:v>
                </c:pt>
                <c:pt idx="89">
                  <c:v>0.9</c:v>
                </c:pt>
                <c:pt idx="90">
                  <c:v>0.91</c:v>
                </c:pt>
                <c:pt idx="91">
                  <c:v>0.92</c:v>
                </c:pt>
                <c:pt idx="92">
                  <c:v>0.93</c:v>
                </c:pt>
                <c:pt idx="93">
                  <c:v>0.94000000000000006</c:v>
                </c:pt>
                <c:pt idx="94">
                  <c:v>0.95000000000000007</c:v>
                </c:pt>
                <c:pt idx="95">
                  <c:v>0.96</c:v>
                </c:pt>
                <c:pt idx="96">
                  <c:v>0.97</c:v>
                </c:pt>
                <c:pt idx="97">
                  <c:v>0.98</c:v>
                </c:pt>
                <c:pt idx="98">
                  <c:v>0.99</c:v>
                </c:pt>
                <c:pt idx="99">
                  <c:v>1</c:v>
                </c:pt>
                <c:pt idx="100">
                  <c:v>1.01</c:v>
                </c:pt>
                <c:pt idx="101">
                  <c:v>1.02</c:v>
                </c:pt>
                <c:pt idx="102">
                  <c:v>1.03</c:v>
                </c:pt>
                <c:pt idx="103">
                  <c:v>1.04</c:v>
                </c:pt>
                <c:pt idx="104">
                  <c:v>1.05</c:v>
                </c:pt>
                <c:pt idx="105">
                  <c:v>1.06</c:v>
                </c:pt>
                <c:pt idx="106">
                  <c:v>1.07</c:v>
                </c:pt>
                <c:pt idx="107">
                  <c:v>1.08</c:v>
                </c:pt>
                <c:pt idx="108">
                  <c:v>1.0900000000000001</c:v>
                </c:pt>
                <c:pt idx="109">
                  <c:v>1.1000000000000001</c:v>
                </c:pt>
                <c:pt idx="110">
                  <c:v>1.1100000000000001</c:v>
                </c:pt>
                <c:pt idx="111">
                  <c:v>1.1200000000000001</c:v>
                </c:pt>
                <c:pt idx="112">
                  <c:v>1.1300000000000001</c:v>
                </c:pt>
                <c:pt idx="113">
                  <c:v>1.1400000000000001</c:v>
                </c:pt>
                <c:pt idx="114">
                  <c:v>1.1500000000000001</c:v>
                </c:pt>
                <c:pt idx="115">
                  <c:v>1.1599999999999999</c:v>
                </c:pt>
                <c:pt idx="116">
                  <c:v>1.17</c:v>
                </c:pt>
                <c:pt idx="117">
                  <c:v>1.18</c:v>
                </c:pt>
                <c:pt idx="118">
                  <c:v>1.19</c:v>
                </c:pt>
                <c:pt idx="119">
                  <c:v>1.2</c:v>
                </c:pt>
                <c:pt idx="120">
                  <c:v>1.21</c:v>
                </c:pt>
                <c:pt idx="121">
                  <c:v>1.22</c:v>
                </c:pt>
                <c:pt idx="122">
                  <c:v>1.23</c:v>
                </c:pt>
                <c:pt idx="123">
                  <c:v>1.24</c:v>
                </c:pt>
                <c:pt idx="124">
                  <c:v>1.25</c:v>
                </c:pt>
                <c:pt idx="125">
                  <c:v>1.26</c:v>
                </c:pt>
                <c:pt idx="126">
                  <c:v>1.27</c:v>
                </c:pt>
                <c:pt idx="127">
                  <c:v>1.28</c:v>
                </c:pt>
                <c:pt idx="128">
                  <c:v>1.29</c:v>
                </c:pt>
                <c:pt idx="129">
                  <c:v>1.3</c:v>
                </c:pt>
                <c:pt idx="130">
                  <c:v>1.31</c:v>
                </c:pt>
                <c:pt idx="131">
                  <c:v>1.32</c:v>
                </c:pt>
                <c:pt idx="132">
                  <c:v>1.33</c:v>
                </c:pt>
                <c:pt idx="133">
                  <c:v>1.34</c:v>
                </c:pt>
                <c:pt idx="134">
                  <c:v>1.35</c:v>
                </c:pt>
                <c:pt idx="135">
                  <c:v>1.36</c:v>
                </c:pt>
                <c:pt idx="136">
                  <c:v>1.37</c:v>
                </c:pt>
                <c:pt idx="137">
                  <c:v>1.3800000000000001</c:v>
                </c:pt>
                <c:pt idx="138">
                  <c:v>1.3900000000000001</c:v>
                </c:pt>
                <c:pt idx="139">
                  <c:v>1.4000000000000001</c:v>
                </c:pt>
                <c:pt idx="140">
                  <c:v>1.41</c:v>
                </c:pt>
                <c:pt idx="141">
                  <c:v>1.42</c:v>
                </c:pt>
                <c:pt idx="142">
                  <c:v>1.43</c:v>
                </c:pt>
                <c:pt idx="143">
                  <c:v>1.44</c:v>
                </c:pt>
                <c:pt idx="144">
                  <c:v>1.45</c:v>
                </c:pt>
                <c:pt idx="145">
                  <c:v>1.46</c:v>
                </c:pt>
                <c:pt idx="146">
                  <c:v>1.47</c:v>
                </c:pt>
                <c:pt idx="147">
                  <c:v>1.48</c:v>
                </c:pt>
                <c:pt idx="148">
                  <c:v>1.49</c:v>
                </c:pt>
                <c:pt idx="149">
                  <c:v>1.5</c:v>
                </c:pt>
              </c:numCache>
            </c:numRef>
          </c:xVal>
          <c:yVal>
            <c:numRef>
              <c:f>Eff_vs_IOUT!$BI$8:$BI$157</c:f>
              <c:numCache>
                <c:formatCode>General</c:formatCode>
                <c:ptCount val="15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numCache>
            </c:numRef>
          </c:yVal>
          <c:smooth val="1"/>
          <c:extLst>
            <c:ext xmlns:c16="http://schemas.microsoft.com/office/drawing/2014/chart" uri="{C3380CC4-5D6E-409C-BE32-E72D297353CC}">
              <c16:uniqueId val="{00000004-EBD5-4EA3-9906-2A505EEC4521}"/>
            </c:ext>
          </c:extLst>
        </c:ser>
        <c:ser>
          <c:idx val="5"/>
          <c:order val="5"/>
          <c:tx>
            <c:v>D3</c:v>
          </c:tx>
          <c:marker>
            <c:symbol val="none"/>
          </c:marker>
          <c:xVal>
            <c:numRef>
              <c:f>Eff_vs_IOUT!$R$8:$R$157</c:f>
              <c:numCache>
                <c:formatCode>General</c:formatCode>
                <c:ptCount val="150"/>
                <c:pt idx="0">
                  <c:v>0.01</c:v>
                </c:pt>
                <c:pt idx="1">
                  <c:v>0.02</c:v>
                </c:pt>
                <c:pt idx="2">
                  <c:v>0.03</c:v>
                </c:pt>
                <c:pt idx="3">
                  <c:v>0.04</c:v>
                </c:pt>
                <c:pt idx="4">
                  <c:v>0.05</c:v>
                </c:pt>
                <c:pt idx="5">
                  <c:v>0.06</c:v>
                </c:pt>
                <c:pt idx="6">
                  <c:v>7.0000000000000007E-2</c:v>
                </c:pt>
                <c:pt idx="7">
                  <c:v>0.08</c:v>
                </c:pt>
                <c:pt idx="8">
                  <c:v>0.09</c:v>
                </c:pt>
                <c:pt idx="9">
                  <c:v>0.1</c:v>
                </c:pt>
                <c:pt idx="10">
                  <c:v>0.11</c:v>
                </c:pt>
                <c:pt idx="11">
                  <c:v>0.12</c:v>
                </c:pt>
                <c:pt idx="12">
                  <c:v>0.13</c:v>
                </c:pt>
                <c:pt idx="13">
                  <c:v>0.14000000000000001</c:v>
                </c:pt>
                <c:pt idx="14">
                  <c:v>0.15</c:v>
                </c:pt>
                <c:pt idx="15">
                  <c:v>0.16</c:v>
                </c:pt>
                <c:pt idx="16">
                  <c:v>0.17</c:v>
                </c:pt>
                <c:pt idx="17">
                  <c:v>0.18</c:v>
                </c:pt>
                <c:pt idx="18">
                  <c:v>0.19</c:v>
                </c:pt>
                <c:pt idx="19">
                  <c:v>0.2</c:v>
                </c:pt>
                <c:pt idx="20">
                  <c:v>0.21</c:v>
                </c:pt>
                <c:pt idx="21">
                  <c:v>0.22</c:v>
                </c:pt>
                <c:pt idx="22">
                  <c:v>0.23</c:v>
                </c:pt>
                <c:pt idx="23">
                  <c:v>0.24</c:v>
                </c:pt>
                <c:pt idx="24">
                  <c:v>0.25</c:v>
                </c:pt>
                <c:pt idx="25">
                  <c:v>0.26</c:v>
                </c:pt>
                <c:pt idx="26">
                  <c:v>0.27</c:v>
                </c:pt>
                <c:pt idx="27">
                  <c:v>0.28000000000000003</c:v>
                </c:pt>
                <c:pt idx="28">
                  <c:v>0.28999999999999998</c:v>
                </c:pt>
                <c:pt idx="29">
                  <c:v>0.3</c:v>
                </c:pt>
                <c:pt idx="30">
                  <c:v>0.31</c:v>
                </c:pt>
                <c:pt idx="31">
                  <c:v>0.32</c:v>
                </c:pt>
                <c:pt idx="32">
                  <c:v>0.33</c:v>
                </c:pt>
                <c:pt idx="33">
                  <c:v>0.34</c:v>
                </c:pt>
                <c:pt idx="34">
                  <c:v>0.35000000000000003</c:v>
                </c:pt>
                <c:pt idx="35">
                  <c:v>0.36</c:v>
                </c:pt>
                <c:pt idx="36">
                  <c:v>0.37</c:v>
                </c:pt>
                <c:pt idx="37">
                  <c:v>0.38</c:v>
                </c:pt>
                <c:pt idx="38">
                  <c:v>0.39</c:v>
                </c:pt>
                <c:pt idx="39">
                  <c:v>0.4</c:v>
                </c:pt>
                <c:pt idx="40">
                  <c:v>0.41000000000000003</c:v>
                </c:pt>
                <c:pt idx="41">
                  <c:v>0.42</c:v>
                </c:pt>
                <c:pt idx="42">
                  <c:v>0.43</c:v>
                </c:pt>
                <c:pt idx="43">
                  <c:v>0.44</c:v>
                </c:pt>
                <c:pt idx="44">
                  <c:v>0.45</c:v>
                </c:pt>
                <c:pt idx="45">
                  <c:v>0.46</c:v>
                </c:pt>
                <c:pt idx="46">
                  <c:v>0.47000000000000003</c:v>
                </c:pt>
                <c:pt idx="47">
                  <c:v>0.48</c:v>
                </c:pt>
                <c:pt idx="48">
                  <c:v>0.49</c:v>
                </c:pt>
                <c:pt idx="49">
                  <c:v>0.5</c:v>
                </c:pt>
                <c:pt idx="50">
                  <c:v>0.51</c:v>
                </c:pt>
                <c:pt idx="51">
                  <c:v>0.52</c:v>
                </c:pt>
                <c:pt idx="52">
                  <c:v>0.53</c:v>
                </c:pt>
                <c:pt idx="53">
                  <c:v>0.54</c:v>
                </c:pt>
                <c:pt idx="54">
                  <c:v>0.55000000000000004</c:v>
                </c:pt>
                <c:pt idx="55">
                  <c:v>0.56000000000000005</c:v>
                </c:pt>
                <c:pt idx="56">
                  <c:v>0.57000000000000006</c:v>
                </c:pt>
                <c:pt idx="57">
                  <c:v>0.57999999999999996</c:v>
                </c:pt>
                <c:pt idx="58">
                  <c:v>0.59</c:v>
                </c:pt>
                <c:pt idx="59">
                  <c:v>0.6</c:v>
                </c:pt>
                <c:pt idx="60">
                  <c:v>0.61</c:v>
                </c:pt>
                <c:pt idx="61">
                  <c:v>0.62</c:v>
                </c:pt>
                <c:pt idx="62">
                  <c:v>0.63</c:v>
                </c:pt>
                <c:pt idx="63">
                  <c:v>0.64</c:v>
                </c:pt>
                <c:pt idx="64">
                  <c:v>0.65</c:v>
                </c:pt>
                <c:pt idx="65">
                  <c:v>0.66</c:v>
                </c:pt>
                <c:pt idx="66">
                  <c:v>0.67</c:v>
                </c:pt>
                <c:pt idx="67">
                  <c:v>0.68</c:v>
                </c:pt>
                <c:pt idx="68">
                  <c:v>0.69000000000000006</c:v>
                </c:pt>
                <c:pt idx="69">
                  <c:v>0.70000000000000007</c:v>
                </c:pt>
                <c:pt idx="70">
                  <c:v>0.71</c:v>
                </c:pt>
                <c:pt idx="71">
                  <c:v>0.72</c:v>
                </c:pt>
                <c:pt idx="72">
                  <c:v>0.73</c:v>
                </c:pt>
                <c:pt idx="73">
                  <c:v>0.74</c:v>
                </c:pt>
                <c:pt idx="74">
                  <c:v>0.75</c:v>
                </c:pt>
                <c:pt idx="75">
                  <c:v>0.76</c:v>
                </c:pt>
                <c:pt idx="76">
                  <c:v>0.77</c:v>
                </c:pt>
                <c:pt idx="77">
                  <c:v>0.78</c:v>
                </c:pt>
                <c:pt idx="78">
                  <c:v>0.79</c:v>
                </c:pt>
                <c:pt idx="79">
                  <c:v>0.8</c:v>
                </c:pt>
                <c:pt idx="80">
                  <c:v>0.81</c:v>
                </c:pt>
                <c:pt idx="81">
                  <c:v>0.82000000000000006</c:v>
                </c:pt>
                <c:pt idx="82">
                  <c:v>0.83000000000000007</c:v>
                </c:pt>
                <c:pt idx="83">
                  <c:v>0.84</c:v>
                </c:pt>
                <c:pt idx="84">
                  <c:v>0.85</c:v>
                </c:pt>
                <c:pt idx="85">
                  <c:v>0.86</c:v>
                </c:pt>
                <c:pt idx="86">
                  <c:v>0.87</c:v>
                </c:pt>
                <c:pt idx="87">
                  <c:v>0.88</c:v>
                </c:pt>
                <c:pt idx="88">
                  <c:v>0.89</c:v>
                </c:pt>
                <c:pt idx="89">
                  <c:v>0.9</c:v>
                </c:pt>
                <c:pt idx="90">
                  <c:v>0.91</c:v>
                </c:pt>
                <c:pt idx="91">
                  <c:v>0.92</c:v>
                </c:pt>
                <c:pt idx="92">
                  <c:v>0.93</c:v>
                </c:pt>
                <c:pt idx="93">
                  <c:v>0.94000000000000006</c:v>
                </c:pt>
                <c:pt idx="94">
                  <c:v>0.95000000000000007</c:v>
                </c:pt>
                <c:pt idx="95">
                  <c:v>0.96</c:v>
                </c:pt>
                <c:pt idx="96">
                  <c:v>0.97</c:v>
                </c:pt>
                <c:pt idx="97">
                  <c:v>0.98</c:v>
                </c:pt>
                <c:pt idx="98">
                  <c:v>0.99</c:v>
                </c:pt>
                <c:pt idx="99">
                  <c:v>1</c:v>
                </c:pt>
                <c:pt idx="100">
                  <c:v>1.01</c:v>
                </c:pt>
                <c:pt idx="101">
                  <c:v>1.02</c:v>
                </c:pt>
                <c:pt idx="102">
                  <c:v>1.03</c:v>
                </c:pt>
                <c:pt idx="103">
                  <c:v>1.04</c:v>
                </c:pt>
                <c:pt idx="104">
                  <c:v>1.05</c:v>
                </c:pt>
                <c:pt idx="105">
                  <c:v>1.06</c:v>
                </c:pt>
                <c:pt idx="106">
                  <c:v>1.07</c:v>
                </c:pt>
                <c:pt idx="107">
                  <c:v>1.08</c:v>
                </c:pt>
                <c:pt idx="108">
                  <c:v>1.0900000000000001</c:v>
                </c:pt>
                <c:pt idx="109">
                  <c:v>1.1000000000000001</c:v>
                </c:pt>
                <c:pt idx="110">
                  <c:v>1.1100000000000001</c:v>
                </c:pt>
                <c:pt idx="111">
                  <c:v>1.1200000000000001</c:v>
                </c:pt>
                <c:pt idx="112">
                  <c:v>1.1300000000000001</c:v>
                </c:pt>
                <c:pt idx="113">
                  <c:v>1.1400000000000001</c:v>
                </c:pt>
                <c:pt idx="114">
                  <c:v>1.1500000000000001</c:v>
                </c:pt>
                <c:pt idx="115">
                  <c:v>1.1599999999999999</c:v>
                </c:pt>
                <c:pt idx="116">
                  <c:v>1.17</c:v>
                </c:pt>
                <c:pt idx="117">
                  <c:v>1.18</c:v>
                </c:pt>
                <c:pt idx="118">
                  <c:v>1.19</c:v>
                </c:pt>
                <c:pt idx="119">
                  <c:v>1.2</c:v>
                </c:pt>
                <c:pt idx="120">
                  <c:v>1.21</c:v>
                </c:pt>
                <c:pt idx="121">
                  <c:v>1.22</c:v>
                </c:pt>
                <c:pt idx="122">
                  <c:v>1.23</c:v>
                </c:pt>
                <c:pt idx="123">
                  <c:v>1.24</c:v>
                </c:pt>
                <c:pt idx="124">
                  <c:v>1.25</c:v>
                </c:pt>
                <c:pt idx="125">
                  <c:v>1.26</c:v>
                </c:pt>
                <c:pt idx="126">
                  <c:v>1.27</c:v>
                </c:pt>
                <c:pt idx="127">
                  <c:v>1.28</c:v>
                </c:pt>
                <c:pt idx="128">
                  <c:v>1.29</c:v>
                </c:pt>
                <c:pt idx="129">
                  <c:v>1.3</c:v>
                </c:pt>
                <c:pt idx="130">
                  <c:v>1.31</c:v>
                </c:pt>
                <c:pt idx="131">
                  <c:v>1.32</c:v>
                </c:pt>
                <c:pt idx="132">
                  <c:v>1.33</c:v>
                </c:pt>
                <c:pt idx="133">
                  <c:v>1.34</c:v>
                </c:pt>
                <c:pt idx="134">
                  <c:v>1.35</c:v>
                </c:pt>
                <c:pt idx="135">
                  <c:v>1.36</c:v>
                </c:pt>
                <c:pt idx="136">
                  <c:v>1.37</c:v>
                </c:pt>
                <c:pt idx="137">
                  <c:v>1.3800000000000001</c:v>
                </c:pt>
                <c:pt idx="138">
                  <c:v>1.3900000000000001</c:v>
                </c:pt>
                <c:pt idx="139">
                  <c:v>1.4000000000000001</c:v>
                </c:pt>
                <c:pt idx="140">
                  <c:v>1.41</c:v>
                </c:pt>
                <c:pt idx="141">
                  <c:v>1.42</c:v>
                </c:pt>
                <c:pt idx="142">
                  <c:v>1.43</c:v>
                </c:pt>
                <c:pt idx="143">
                  <c:v>1.44</c:v>
                </c:pt>
                <c:pt idx="144">
                  <c:v>1.45</c:v>
                </c:pt>
                <c:pt idx="145">
                  <c:v>1.46</c:v>
                </c:pt>
                <c:pt idx="146">
                  <c:v>1.47</c:v>
                </c:pt>
                <c:pt idx="147">
                  <c:v>1.48</c:v>
                </c:pt>
                <c:pt idx="148">
                  <c:v>1.49</c:v>
                </c:pt>
                <c:pt idx="149">
                  <c:v>1.5</c:v>
                </c:pt>
              </c:numCache>
            </c:numRef>
          </c:xVal>
          <c:yVal>
            <c:numRef>
              <c:f>Eff_vs_IOUT!$BT$8:$BT$157</c:f>
              <c:numCache>
                <c:formatCode>General</c:formatCode>
                <c:ptCount val="15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0</c:v>
                </c:pt>
                <c:pt idx="137">
                  <c:v>0</c:v>
                </c:pt>
                <c:pt idx="138">
                  <c:v>0</c:v>
                </c:pt>
                <c:pt idx="139">
                  <c:v>0</c:v>
                </c:pt>
                <c:pt idx="140">
                  <c:v>0</c:v>
                </c:pt>
                <c:pt idx="141">
                  <c:v>0</c:v>
                </c:pt>
                <c:pt idx="142">
                  <c:v>0</c:v>
                </c:pt>
                <c:pt idx="143">
                  <c:v>0</c:v>
                </c:pt>
                <c:pt idx="144">
                  <c:v>0</c:v>
                </c:pt>
                <c:pt idx="145">
                  <c:v>0</c:v>
                </c:pt>
                <c:pt idx="146">
                  <c:v>0</c:v>
                </c:pt>
                <c:pt idx="147">
                  <c:v>0</c:v>
                </c:pt>
                <c:pt idx="148">
                  <c:v>0</c:v>
                </c:pt>
                <c:pt idx="149">
                  <c:v>0</c:v>
                </c:pt>
              </c:numCache>
            </c:numRef>
          </c:yVal>
          <c:smooth val="1"/>
          <c:extLst>
            <c:ext xmlns:c16="http://schemas.microsoft.com/office/drawing/2014/chart" uri="{C3380CC4-5D6E-409C-BE32-E72D297353CC}">
              <c16:uniqueId val="{00000005-EBD5-4EA3-9906-2A505EEC4521}"/>
            </c:ext>
          </c:extLst>
        </c:ser>
        <c:dLbls>
          <c:showLegendKey val="0"/>
          <c:showVal val="0"/>
          <c:showCatName val="0"/>
          <c:showSerName val="0"/>
          <c:showPercent val="0"/>
          <c:showBubbleSize val="0"/>
        </c:dLbls>
        <c:axId val="582914816"/>
        <c:axId val="582904448"/>
      </c:scatterChart>
      <c:valAx>
        <c:axId val="582892544"/>
        <c:scaling>
          <c:orientation val="minMax"/>
        </c:scaling>
        <c:delete val="0"/>
        <c:axPos val="b"/>
        <c:majorGridlines/>
        <c:numFmt formatCode="General" sourceLinked="1"/>
        <c:majorTickMark val="out"/>
        <c:minorTickMark val="none"/>
        <c:tickLblPos val="nextTo"/>
        <c:crossAx val="582902528"/>
        <c:crosses val="autoZero"/>
        <c:crossBetween val="midCat"/>
      </c:valAx>
      <c:valAx>
        <c:axId val="582902528"/>
        <c:scaling>
          <c:orientation val="minMax"/>
          <c:max val="100"/>
          <c:min val="60"/>
        </c:scaling>
        <c:delete val="0"/>
        <c:axPos val="l"/>
        <c:majorGridlines/>
        <c:title>
          <c:tx>
            <c:rich>
              <a:bodyPr rot="-5400000" vert="horz"/>
              <a:lstStyle/>
              <a:p>
                <a:pPr>
                  <a:defRPr sz="1400"/>
                </a:pPr>
                <a:r>
                  <a:rPr lang="en-US" sz="1400"/>
                  <a:t>Efficiency</a:t>
                </a:r>
                <a:r>
                  <a:rPr lang="en-US" sz="1400" baseline="0"/>
                  <a:t> (%)</a:t>
                </a:r>
                <a:endParaRPr lang="en-US" sz="1400"/>
              </a:p>
            </c:rich>
          </c:tx>
          <c:overlay val="0"/>
        </c:title>
        <c:numFmt formatCode="General" sourceLinked="1"/>
        <c:majorTickMark val="out"/>
        <c:minorTickMark val="none"/>
        <c:tickLblPos val="nextTo"/>
        <c:crossAx val="582892544"/>
        <c:crosses val="autoZero"/>
        <c:crossBetween val="midCat"/>
      </c:valAx>
      <c:valAx>
        <c:axId val="582904448"/>
        <c:scaling>
          <c:orientation val="minMax"/>
        </c:scaling>
        <c:delete val="0"/>
        <c:axPos val="r"/>
        <c:title>
          <c:tx>
            <c:rich>
              <a:bodyPr rot="-5400000" vert="horz"/>
              <a:lstStyle/>
              <a:p>
                <a:pPr>
                  <a:defRPr sz="1400"/>
                </a:pPr>
                <a:r>
                  <a:rPr lang="en-US" sz="1400"/>
                  <a:t>Losses</a:t>
                </a:r>
                <a:r>
                  <a:rPr lang="en-US" sz="1400" baseline="0"/>
                  <a:t> (W)</a:t>
                </a:r>
                <a:endParaRPr lang="en-US" sz="1400"/>
              </a:p>
            </c:rich>
          </c:tx>
          <c:overlay val="0"/>
        </c:title>
        <c:numFmt formatCode="General" sourceLinked="1"/>
        <c:majorTickMark val="out"/>
        <c:minorTickMark val="none"/>
        <c:tickLblPos val="nextTo"/>
        <c:crossAx val="582914816"/>
        <c:crosses val="max"/>
        <c:crossBetween val="midCat"/>
      </c:valAx>
      <c:valAx>
        <c:axId val="582914816"/>
        <c:scaling>
          <c:orientation val="minMax"/>
        </c:scaling>
        <c:delete val="1"/>
        <c:axPos val="b"/>
        <c:title>
          <c:tx>
            <c:rich>
              <a:bodyPr/>
              <a:lstStyle/>
              <a:p>
                <a:pPr>
                  <a:defRPr/>
                </a:pPr>
                <a:r>
                  <a:rPr lang="en-US"/>
                  <a:t>Loac</a:t>
                </a:r>
                <a:r>
                  <a:rPr lang="en-US" baseline="0"/>
                  <a:t> Current (A)</a:t>
                </a:r>
                <a:endParaRPr lang="en-US"/>
              </a:p>
            </c:rich>
          </c:tx>
          <c:overlay val="0"/>
        </c:title>
        <c:numFmt formatCode="General" sourceLinked="1"/>
        <c:majorTickMark val="out"/>
        <c:minorTickMark val="none"/>
        <c:tickLblPos val="nextTo"/>
        <c:crossAx val="582904448"/>
        <c:crosses val="autoZero"/>
        <c:crossBetween val="midCat"/>
      </c:valAx>
    </c:plotArea>
    <c:legend>
      <c:legendPos val="r"/>
      <c:layout>
        <c:manualLayout>
          <c:xMode val="edge"/>
          <c:yMode val="edge"/>
          <c:x val="0.49723111871774606"/>
          <c:y val="6.4861313959085187E-3"/>
          <c:w val="0.41972466868865133"/>
          <c:h val="0.12461147870492213"/>
        </c:manualLayout>
      </c:layout>
      <c:overlay val="1"/>
    </c:legend>
    <c:plotVisOnly val="1"/>
    <c:dispBlanksAs val="gap"/>
    <c:showDLblsOverMax val="0"/>
  </c:chart>
  <c:spPr>
    <a:ln>
      <a:noFill/>
    </a:ln>
  </c:spPr>
  <c:printSettings>
    <c:headerFooter/>
    <c:pageMargins b="0.75" l="0.7" r="0.7" t="0.75" header="0.3" footer="0.3"/>
    <c:pageSetup/>
  </c:printSettings>
</c:chartSpace>
</file>

<file path=xl/ctrlProps/ctrlProp1.xml><?xml version="1.0" encoding="utf-8"?>
<formControlPr xmlns="http://schemas.microsoft.com/office/spreadsheetml/2009/9/main" objectType="Spin" dx="20" fmlaLink="$H$8" max="45" noThreeD="1" page="10" val="12"/>
</file>

<file path=xl/ctrlProps/ctrlProp2.xml><?xml version="1.0" encoding="utf-8"?>
<formControlPr xmlns="http://schemas.microsoft.com/office/spreadsheetml/2009/9/main" objectType="Drop" dropLines="2" dropStyle="combo" dx="20" fmlaLink="Variable_Management!$B$175" fmlaRange="Lists!$I$2:$I$3" noThreeD="1" sel="1" val="0"/>
</file>

<file path=xl/ctrlProps/ctrlProp3.xml><?xml version="1.0" encoding="utf-8"?>
<formControlPr xmlns="http://schemas.microsoft.com/office/spreadsheetml/2009/9/main" objectType="Drop" dropLines="3" dropStyle="combo" dx="20" fmlaLink="Variable_Management!$B$13" fmlaRange="Lists!$L$2:$L$4" noThreeD="1" sel="1" val="0"/>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s>
</file>

<file path=xl/drawings/_rels/drawing2.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3.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chart" Target="../charts/chart4.xml"/><Relationship Id="rId5" Type="http://schemas.openxmlformats.org/officeDocument/2006/relationships/chart" Target="../charts/chart6.xml"/><Relationship Id="rId4" Type="http://schemas.openxmlformats.org/officeDocument/2006/relationships/chart" Target="../charts/chart5.xml"/></Relationships>
</file>

<file path=xl/drawings/_rels/drawing5.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3" Type="http://schemas.openxmlformats.org/officeDocument/2006/relationships/image" Target="../media/image14.emf"/><Relationship Id="rId2" Type="http://schemas.openxmlformats.org/officeDocument/2006/relationships/image" Target="../media/image13.png"/><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chart" Target="../charts/chart10.xml"/><Relationship Id="rId4" Type="http://schemas.openxmlformats.org/officeDocument/2006/relationships/image" Target="../media/image15.emf"/></Relationships>
</file>

<file path=xl/drawings/_rels/drawing8.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image" Target="../media/image17.emf"/><Relationship Id="rId1" Type="http://schemas.openxmlformats.org/officeDocument/2006/relationships/chart" Target="../charts/chart13.xml"/></Relationships>
</file>

<file path=xl/drawings/_rels/drawing9.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6.emf"/><Relationship Id="rId2" Type="http://schemas.openxmlformats.org/officeDocument/2006/relationships/image" Target="../media/image5.emf"/><Relationship Id="rId1" Type="http://schemas.openxmlformats.org/officeDocument/2006/relationships/image" Target="../media/image4.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7.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16.emf"/></Relationships>
</file>

<file path=xl/drawings/_rels/vmlDrawing7.vml.rels><?xml version="1.0" encoding="UTF-8" standalone="yes"?>
<Relationships xmlns="http://schemas.openxmlformats.org/package/2006/relationships"><Relationship Id="rId1" Type="http://schemas.openxmlformats.org/officeDocument/2006/relationships/image" Target="../media/image18.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17872</xdr:colOff>
          <xdr:row>57</xdr:row>
          <xdr:rowOff>241089</xdr:rowOff>
        </xdr:from>
        <xdr:to>
          <xdr:col>30</xdr:col>
          <xdr:colOff>586398</xdr:colOff>
          <xdr:row>84</xdr:row>
          <xdr:rowOff>188633</xdr:rowOff>
        </xdr:to>
        <xdr:pic>
          <xdr:nvPicPr>
            <xdr:cNvPr id="91" name="Picture 90">
              <a:extLst>
                <a:ext uri="{FF2B5EF4-FFF2-40B4-BE49-F238E27FC236}">
                  <a16:creationId xmlns:a16="http://schemas.microsoft.com/office/drawing/2014/main" id="{00000000-0008-0000-0000-00005B000000}"/>
                </a:ext>
              </a:extLst>
            </xdr:cNvPr>
            <xdr:cNvPicPr>
              <a:picLocks noChangeAspect="1" noChangeArrowheads="1"/>
              <a:extLst>
                <a:ext uri="{84589F7E-364E-4C9E-8A38-B11213B215E9}">
                  <a14:cameraTool cellRange="LoopLookup" spid="_x0000_s1728"/>
                </a:ext>
              </a:extLst>
            </xdr:cNvPicPr>
          </xdr:nvPicPr>
          <xdr:blipFill>
            <a:blip xmlns:r="http://schemas.openxmlformats.org/officeDocument/2006/relationships" r:embed="rId1"/>
            <a:srcRect/>
            <a:stretch>
              <a:fillRect/>
            </a:stretch>
          </xdr:blipFill>
          <xdr:spPr bwMode="auto">
            <a:xfrm>
              <a:off x="5237572" y="12937914"/>
              <a:ext cx="11979476" cy="5868919"/>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absolute">
        <xdr:from>
          <xdr:col>9</xdr:col>
          <xdr:colOff>131952</xdr:colOff>
          <xdr:row>89</xdr:row>
          <xdr:rowOff>282846</xdr:rowOff>
        </xdr:from>
        <xdr:to>
          <xdr:col>30</xdr:col>
          <xdr:colOff>132404</xdr:colOff>
          <xdr:row>119</xdr:row>
          <xdr:rowOff>153490</xdr:rowOff>
        </xdr:to>
        <xdr:pic>
          <xdr:nvPicPr>
            <xdr:cNvPr id="27" name="Picture 8888">
              <a:extLst>
                <a:ext uri="{FF2B5EF4-FFF2-40B4-BE49-F238E27FC236}">
                  <a16:creationId xmlns:a16="http://schemas.microsoft.com/office/drawing/2014/main" id="{00000000-0008-0000-0000-00001B000000}"/>
                </a:ext>
              </a:extLst>
            </xdr:cNvPr>
            <xdr:cNvPicPr>
              <a:picLocks noChangeAspect="1" noChangeArrowheads="1"/>
              <a:extLst>
                <a:ext uri="{84589F7E-364E-4C9E-8A38-B11213B215E9}">
                  <a14:cameraTool cellRange="display_eff" spid="_x0000_s1729"/>
                </a:ext>
              </a:extLst>
            </xdr:cNvPicPr>
          </xdr:nvPicPr>
          <xdr:blipFill>
            <a:blip xmlns:r="http://schemas.openxmlformats.org/officeDocument/2006/relationships" r:embed="rId2"/>
            <a:srcRect/>
            <a:stretch>
              <a:fillRect/>
            </a:stretch>
          </xdr:blipFill>
          <xdr:spPr bwMode="auto">
            <a:xfrm>
              <a:off x="5376305" y="19834309"/>
              <a:ext cx="11441658" cy="6199166"/>
            </a:xfrm>
            <a:prstGeom prst="rect">
              <a:avLst/>
            </a:prstGeom>
            <a:noFill/>
            <a:ln w="15875">
              <a:noFill/>
              <a:miter lim="800000"/>
              <a:headEnd/>
              <a:tailEnd/>
            </a:ln>
            <a:extLst>
              <a:ext uri="{909E8E84-426E-40DD-AFC4-6F175D3DCCD1}">
                <a14:hiddenFill>
                  <a:solidFill>
                    <a:srgbClr val="FFFFFF" mc:Ignorable="a14" a14:legacySpreadsheetColorIndex="65"/>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xdr:from>
          <xdr:col>8</xdr:col>
          <xdr:colOff>9525</xdr:colOff>
          <xdr:row>58</xdr:row>
          <xdr:rowOff>9525</xdr:rowOff>
        </xdr:from>
        <xdr:to>
          <xdr:col>9</xdr:col>
          <xdr:colOff>0</xdr:colOff>
          <xdr:row>59</xdr:row>
          <xdr:rowOff>95250</xdr:rowOff>
        </xdr:to>
        <xdr:sp macro="" textlink="">
          <xdr:nvSpPr>
            <xdr:cNvPr id="1060" name="Spinner 36" hidden="1">
              <a:extLst>
                <a:ext uri="{63B3BB69-23CF-44E3-9099-C40C66FF867C}">
                  <a14:compatExt spid="_x0000_s1060"/>
                </a:ext>
                <a:ext uri="{FF2B5EF4-FFF2-40B4-BE49-F238E27FC236}">
                  <a16:creationId xmlns:a16="http://schemas.microsoft.com/office/drawing/2014/main" id="{00000000-0008-0000-0000-000024040000}"/>
                </a:ext>
              </a:extLst>
            </xdr:cNvPr>
            <xdr:cNvSpPr/>
          </xdr:nvSpPr>
          <xdr:spPr bwMode="auto">
            <a:xfrm>
              <a:off x="0" y="0"/>
              <a:ext cx="0" cy="0"/>
            </a:xfrm>
            <a:prstGeom prst="rect">
              <a:avLst/>
            </a:prstGeom>
            <a:noFill/>
            <a:ln w="9525">
              <a:miter lim="800000"/>
              <a:headEnd/>
              <a:tailEnd/>
            </a:ln>
          </xdr:spPr>
        </xdr:sp>
        <xdr:clientData/>
      </xdr:twoCellAnchor>
    </mc:Choice>
    <mc:Fallback/>
  </mc:AlternateContent>
  <xdr:twoCellAnchor>
    <xdr:from>
      <xdr:col>14</xdr:col>
      <xdr:colOff>112060</xdr:colOff>
      <xdr:row>57</xdr:row>
      <xdr:rowOff>125987</xdr:rowOff>
    </xdr:from>
    <xdr:to>
      <xdr:col>16</xdr:col>
      <xdr:colOff>381002</xdr:colOff>
      <xdr:row>59</xdr:row>
      <xdr:rowOff>76044</xdr:rowOff>
    </xdr:to>
    <xdr:sp macro="" textlink="">
      <xdr:nvSpPr>
        <xdr:cNvPr id="4" name="TextBox 3">
          <a:extLst>
            <a:ext uri="{FF2B5EF4-FFF2-40B4-BE49-F238E27FC236}">
              <a16:creationId xmlns:a16="http://schemas.microsoft.com/office/drawing/2014/main" id="{00000000-0008-0000-0000-000004000000}"/>
            </a:ext>
          </a:extLst>
        </xdr:cNvPr>
        <xdr:cNvSpPr txBox="1"/>
      </xdr:nvSpPr>
      <xdr:spPr>
        <a:xfrm>
          <a:off x="9278472" y="12474869"/>
          <a:ext cx="784412" cy="42070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a:t>V</a:t>
          </a:r>
          <a:r>
            <a:rPr lang="en-US" sz="2400" baseline="-25000"/>
            <a:t>IN</a:t>
          </a:r>
          <a:r>
            <a:rPr lang="en-US" sz="2400"/>
            <a:t> =</a:t>
          </a:r>
        </a:p>
      </xdr:txBody>
    </xdr:sp>
    <xdr:clientData/>
  </xdr:twoCellAnchor>
  <xdr:twoCellAnchor>
    <xdr:from>
      <xdr:col>12</xdr:col>
      <xdr:colOff>6735</xdr:colOff>
      <xdr:row>90</xdr:row>
      <xdr:rowOff>145675</xdr:rowOff>
    </xdr:from>
    <xdr:to>
      <xdr:col>13</xdr:col>
      <xdr:colOff>598405</xdr:colOff>
      <xdr:row>93</xdr:row>
      <xdr:rowOff>67234</xdr:rowOff>
    </xdr:to>
    <xdr:sp macro="" textlink="">
      <xdr:nvSpPr>
        <xdr:cNvPr id="9" name="TextBox 8">
          <a:extLst>
            <a:ext uri="{FF2B5EF4-FFF2-40B4-BE49-F238E27FC236}">
              <a16:creationId xmlns:a16="http://schemas.microsoft.com/office/drawing/2014/main" id="{00000000-0008-0000-0000-000009000000}"/>
            </a:ext>
          </a:extLst>
        </xdr:cNvPr>
        <xdr:cNvSpPr txBox="1"/>
      </xdr:nvSpPr>
      <xdr:spPr>
        <a:xfrm>
          <a:off x="6887147" y="19655116"/>
          <a:ext cx="2014817" cy="5154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a:t>V</a:t>
          </a:r>
          <a:r>
            <a:rPr lang="en-US" sz="2400" baseline="-25000"/>
            <a:t>IN</a:t>
          </a:r>
          <a:r>
            <a:rPr lang="en-US" sz="2400"/>
            <a:t> =</a:t>
          </a:r>
        </a:p>
      </xdr:txBody>
    </xdr:sp>
    <xdr:clientData/>
  </xdr:twoCellAnchor>
  <xdr:twoCellAnchor>
    <xdr:from>
      <xdr:col>12</xdr:col>
      <xdr:colOff>657935</xdr:colOff>
      <xdr:row>90</xdr:row>
      <xdr:rowOff>145674</xdr:rowOff>
    </xdr:from>
    <xdr:to>
      <xdr:col>13</xdr:col>
      <xdr:colOff>320862</xdr:colOff>
      <xdr:row>93</xdr:row>
      <xdr:rowOff>67234</xdr:rowOff>
    </xdr:to>
    <xdr:sp macro="" textlink="VIN_nom">
      <xdr:nvSpPr>
        <xdr:cNvPr id="10" name="TextBox 9">
          <a:extLst>
            <a:ext uri="{FF2B5EF4-FFF2-40B4-BE49-F238E27FC236}">
              <a16:creationId xmlns:a16="http://schemas.microsoft.com/office/drawing/2014/main" id="{00000000-0008-0000-0000-00000A000000}"/>
            </a:ext>
          </a:extLst>
        </xdr:cNvPr>
        <xdr:cNvSpPr txBox="1"/>
      </xdr:nvSpPr>
      <xdr:spPr>
        <a:xfrm>
          <a:off x="7538347" y="19655115"/>
          <a:ext cx="1086074" cy="51547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B6E0D9B-34B5-4A81-8CB9-A88F658AFD78}" type="TxLink">
            <a:rPr lang="en-US" sz="2400" b="0" i="0" u="none" strike="noStrike">
              <a:solidFill>
                <a:srgbClr val="000000"/>
              </a:solidFill>
              <a:latin typeface="Calibri"/>
            </a:rPr>
            <a:pPr/>
            <a:t>12</a:t>
          </a:fld>
          <a:endParaRPr lang="en-US" sz="2400"/>
        </a:p>
      </xdr:txBody>
    </xdr:sp>
    <xdr:clientData/>
  </xdr:twoCellAnchor>
  <xdr:twoCellAnchor>
    <xdr:from>
      <xdr:col>12</xdr:col>
      <xdr:colOff>1077104</xdr:colOff>
      <xdr:row>90</xdr:row>
      <xdr:rowOff>145675</xdr:rowOff>
    </xdr:from>
    <xdr:to>
      <xdr:col>13</xdr:col>
      <xdr:colOff>495293</xdr:colOff>
      <xdr:row>93</xdr:row>
      <xdr:rowOff>67234</xdr:rowOff>
    </xdr:to>
    <xdr:sp macro="" textlink="">
      <xdr:nvSpPr>
        <xdr:cNvPr id="11" name="TextBox 10">
          <a:extLst>
            <a:ext uri="{FF2B5EF4-FFF2-40B4-BE49-F238E27FC236}">
              <a16:creationId xmlns:a16="http://schemas.microsoft.com/office/drawing/2014/main" id="{00000000-0008-0000-0000-00000B000000}"/>
            </a:ext>
          </a:extLst>
        </xdr:cNvPr>
        <xdr:cNvSpPr txBox="1"/>
      </xdr:nvSpPr>
      <xdr:spPr>
        <a:xfrm>
          <a:off x="7957516" y="19655116"/>
          <a:ext cx="841336" cy="5154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a:t>V</a:t>
          </a:r>
        </a:p>
      </xdr:txBody>
    </xdr:sp>
    <xdr:clientData/>
  </xdr:twoCellAnchor>
  <mc:AlternateContent xmlns:mc="http://schemas.openxmlformats.org/markup-compatibility/2006">
    <mc:Choice xmlns:a14="http://schemas.microsoft.com/office/drawing/2010/main" Requires="a14">
      <xdr:twoCellAnchor editAs="oneCell">
        <xdr:from>
          <xdr:col>7</xdr:col>
          <xdr:colOff>9525</xdr:colOff>
          <xdr:row>11</xdr:row>
          <xdr:rowOff>0</xdr:rowOff>
        </xdr:from>
        <xdr:to>
          <xdr:col>9</xdr:col>
          <xdr:colOff>9525</xdr:colOff>
          <xdr:row>12</xdr:row>
          <xdr:rowOff>104775</xdr:rowOff>
        </xdr:to>
        <xdr:sp macro="" textlink="">
          <xdr:nvSpPr>
            <xdr:cNvPr id="1064" name="Drop Down 40" hidden="1">
              <a:extLst>
                <a:ext uri="{63B3BB69-23CF-44E3-9099-C40C66FF867C}">
                  <a14:compatExt spid="_x0000_s1064"/>
                </a:ext>
                <a:ext uri="{FF2B5EF4-FFF2-40B4-BE49-F238E27FC236}">
                  <a16:creationId xmlns:a16="http://schemas.microsoft.com/office/drawing/2014/main" id="{00000000-0008-0000-0000-0000280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15</xdr:col>
          <xdr:colOff>61602</xdr:colOff>
          <xdr:row>4</xdr:row>
          <xdr:rowOff>179294</xdr:rowOff>
        </xdr:from>
        <xdr:to>
          <xdr:col>30</xdr:col>
          <xdr:colOff>529850</xdr:colOff>
          <xdr:row>36</xdr:row>
          <xdr:rowOff>55319</xdr:rowOff>
        </xdr:to>
        <xdr:pic>
          <xdr:nvPicPr>
            <xdr:cNvPr id="15" name="Picture 14">
              <a:extLst>
                <a:ext uri="{FF2B5EF4-FFF2-40B4-BE49-F238E27FC236}">
                  <a16:creationId xmlns:a16="http://schemas.microsoft.com/office/drawing/2014/main" id="{00000000-0008-0000-0000-00000F000000}"/>
                </a:ext>
              </a:extLst>
            </xdr:cNvPr>
            <xdr:cNvPicPr>
              <a:picLocks noChangeAspect="1"/>
              <a:extLst>
                <a:ext uri="{84589F7E-364E-4C9E-8A38-B11213B215E9}">
                  <a14:cameraTool cellRange="display_Sch" spid="_x0000_s1730"/>
                </a:ext>
              </a:extLst>
            </xdr:cNvPicPr>
          </xdr:nvPicPr>
          <xdr:blipFill rotWithShape="1">
            <a:blip xmlns:r="http://schemas.openxmlformats.org/officeDocument/2006/relationships" r:embed="rId3"/>
            <a:srcRect/>
            <a:stretch>
              <a:fillRect/>
            </a:stretch>
          </xdr:blipFill>
          <xdr:spPr>
            <a:xfrm>
              <a:off x="9485749" y="1333500"/>
              <a:ext cx="7726485" cy="6740001"/>
            </a:xfrm>
            <a:prstGeom prst="rect">
              <a:avLst/>
            </a:prstGeom>
          </xdr:spPr>
        </xdr:pic>
        <xdr:clientData/>
      </xdr:twoCellAnchor>
    </mc:Choice>
    <mc:Fallback/>
  </mc:AlternateContent>
  <xdr:twoCellAnchor>
    <xdr:from>
      <xdr:col>16</xdr:col>
      <xdr:colOff>205633</xdr:colOff>
      <xdr:row>57</xdr:row>
      <xdr:rowOff>140414</xdr:rowOff>
    </xdr:from>
    <xdr:to>
      <xdr:col>18</xdr:col>
      <xdr:colOff>285750</xdr:colOff>
      <xdr:row>59</xdr:row>
      <xdr:rowOff>64839</xdr:rowOff>
    </xdr:to>
    <xdr:sp macro="" textlink="VIN_nom">
      <xdr:nvSpPr>
        <xdr:cNvPr id="3" name="TextBox 2">
          <a:extLst>
            <a:ext uri="{FF2B5EF4-FFF2-40B4-BE49-F238E27FC236}">
              <a16:creationId xmlns:a16="http://schemas.microsoft.com/office/drawing/2014/main" id="{00000000-0008-0000-0000-000003000000}"/>
            </a:ext>
          </a:extLst>
        </xdr:cNvPr>
        <xdr:cNvSpPr txBox="1"/>
      </xdr:nvSpPr>
      <xdr:spPr>
        <a:xfrm>
          <a:off x="9854458" y="12589589"/>
          <a:ext cx="689717" cy="4006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B6E0D9B-34B5-4A81-8CB9-A88F658AFD78}" type="TxLink">
            <a:rPr lang="en-US" sz="2400" b="0" i="0" u="none" strike="noStrike">
              <a:solidFill>
                <a:srgbClr val="000000"/>
              </a:solidFill>
              <a:latin typeface="Calibri"/>
            </a:rPr>
            <a:pPr/>
            <a:t>12</a:t>
          </a:fld>
          <a:endParaRPr lang="en-US" sz="2400"/>
        </a:p>
      </xdr:txBody>
    </xdr:sp>
    <xdr:clientData/>
  </xdr:twoCellAnchor>
  <mc:AlternateContent xmlns:mc="http://schemas.openxmlformats.org/markup-compatibility/2006">
    <mc:Choice xmlns:a14="http://schemas.microsoft.com/office/drawing/2010/main" Requires="a14">
      <xdr:twoCellAnchor editAs="oneCell">
        <xdr:from>
          <xdr:col>7</xdr:col>
          <xdr:colOff>9525</xdr:colOff>
          <xdr:row>9</xdr:row>
          <xdr:rowOff>28575</xdr:rowOff>
        </xdr:from>
        <xdr:to>
          <xdr:col>9</xdr:col>
          <xdr:colOff>0</xdr:colOff>
          <xdr:row>10</xdr:row>
          <xdr:rowOff>66675</xdr:rowOff>
        </xdr:to>
        <xdr:sp macro="" textlink="">
          <xdr:nvSpPr>
            <xdr:cNvPr id="1157" name="Drop Down 133" hidden="1">
              <a:extLst>
                <a:ext uri="{63B3BB69-23CF-44E3-9099-C40C66FF867C}">
                  <a14:compatExt spid="_x0000_s1157"/>
                </a:ext>
                <a:ext uri="{FF2B5EF4-FFF2-40B4-BE49-F238E27FC236}">
                  <a16:creationId xmlns:a16="http://schemas.microsoft.com/office/drawing/2014/main" id="{00000000-0008-0000-0000-0000850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twoCellAnchor editAs="oneCell">
    <xdr:from>
      <xdr:col>19</xdr:col>
      <xdr:colOff>0</xdr:colOff>
      <xdr:row>47</xdr:row>
      <xdr:rowOff>0</xdr:rowOff>
    </xdr:from>
    <xdr:to>
      <xdr:col>41</xdr:col>
      <xdr:colOff>454025</xdr:colOff>
      <xdr:row>73</xdr:row>
      <xdr:rowOff>97734</xdr:rowOff>
    </xdr:to>
    <xdr:sp macro="" textlink="">
      <xdr:nvSpPr>
        <xdr:cNvPr id="1296" name="AutoShape 272">
          <a:extLst>
            <a:ext uri="{FF2B5EF4-FFF2-40B4-BE49-F238E27FC236}">
              <a16:creationId xmlns:a16="http://schemas.microsoft.com/office/drawing/2014/main" id="{00000000-0008-0000-0000-000010050000}"/>
            </a:ext>
          </a:extLst>
        </xdr:cNvPr>
        <xdr:cNvSpPr>
          <a:spLocks noChangeAspect="1" noChangeArrowheads="1"/>
        </xdr:cNvSpPr>
      </xdr:nvSpPr>
      <xdr:spPr bwMode="auto">
        <a:xfrm>
          <a:off x="11325225" y="14592300"/>
          <a:ext cx="11887200" cy="585787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18</xdr:col>
      <xdr:colOff>126980</xdr:colOff>
      <xdr:row>57</xdr:row>
      <xdr:rowOff>142186</xdr:rowOff>
    </xdr:from>
    <xdr:to>
      <xdr:col>18</xdr:col>
      <xdr:colOff>389655</xdr:colOff>
      <xdr:row>59</xdr:row>
      <xdr:rowOff>56993</xdr:rowOff>
    </xdr:to>
    <xdr:sp macro="" textlink="">
      <xdr:nvSpPr>
        <xdr:cNvPr id="12" name="TextBox 11">
          <a:extLst>
            <a:ext uri="{FF2B5EF4-FFF2-40B4-BE49-F238E27FC236}">
              <a16:creationId xmlns:a16="http://schemas.microsoft.com/office/drawing/2014/main" id="{00000000-0008-0000-0000-00000C000000}"/>
            </a:ext>
          </a:extLst>
        </xdr:cNvPr>
        <xdr:cNvSpPr txBox="1"/>
      </xdr:nvSpPr>
      <xdr:spPr>
        <a:xfrm>
          <a:off x="10385405" y="12591361"/>
          <a:ext cx="262675" cy="39105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rtlCol="0" anchor="t"/>
        <a:lstStyle/>
        <a:p>
          <a:pPr algn="l"/>
          <a:r>
            <a:rPr lang="en-US" sz="2400"/>
            <a:t>V</a:t>
          </a:r>
        </a:p>
      </xdr:txBody>
    </xdr: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8</xdr:col>
          <xdr:colOff>57150</xdr:colOff>
          <xdr:row>129</xdr:row>
          <xdr:rowOff>133350</xdr:rowOff>
        </xdr:from>
        <xdr:to>
          <xdr:col>13</xdr:col>
          <xdr:colOff>161925</xdr:colOff>
          <xdr:row>132</xdr:row>
          <xdr:rowOff>19050</xdr:rowOff>
        </xdr:to>
        <xdr:sp macro="" textlink="">
          <xdr:nvSpPr>
            <xdr:cNvPr id="2053" name="Object 5" hidden="1">
              <a:extLst>
                <a:ext uri="{63B3BB69-23CF-44E3-9099-C40C66FF867C}">
                  <a14:compatExt spid="_x0000_s2053"/>
                </a:ext>
                <a:ext uri="{FF2B5EF4-FFF2-40B4-BE49-F238E27FC236}">
                  <a16:creationId xmlns:a16="http://schemas.microsoft.com/office/drawing/2014/main" id="{00000000-0008-0000-0100-000005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8</xdr:col>
      <xdr:colOff>842683</xdr:colOff>
      <xdr:row>242</xdr:row>
      <xdr:rowOff>17930</xdr:rowOff>
    </xdr:from>
    <xdr:to>
      <xdr:col>14</xdr:col>
      <xdr:colOff>475130</xdr:colOff>
      <xdr:row>250</xdr:row>
      <xdr:rowOff>0</xdr:rowOff>
    </xdr:to>
    <xdr:sp macro="" textlink="">
      <xdr:nvSpPr>
        <xdr:cNvPr id="4" name="TextBox 3">
          <a:extLst>
            <a:ext uri="{FF2B5EF4-FFF2-40B4-BE49-F238E27FC236}">
              <a16:creationId xmlns:a16="http://schemas.microsoft.com/office/drawing/2014/main" id="{00000000-0008-0000-0100-000004000000}"/>
            </a:ext>
          </a:extLst>
        </xdr:cNvPr>
        <xdr:cNvSpPr txBox="1"/>
      </xdr:nvSpPr>
      <xdr:spPr>
        <a:xfrm>
          <a:off x="9798424" y="23523389"/>
          <a:ext cx="3541059" cy="13357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Loop</a:t>
          </a:r>
          <a:r>
            <a:rPr lang="en-US" sz="1100" baseline="0"/>
            <a:t> compensation is calculated for the minimum input voltage. This ensure stability over the input votlage range</a:t>
          </a:r>
          <a:endParaRPr lang="en-US" sz="1100"/>
        </a:p>
      </xdr:txBody>
    </xdr:sp>
    <xdr:clientData/>
  </xdr:twoCellAnchor>
  <xdr:twoCellAnchor editAs="oneCell">
    <xdr:from>
      <xdr:col>8</xdr:col>
      <xdr:colOff>842683</xdr:colOff>
      <xdr:row>50</xdr:row>
      <xdr:rowOff>62753</xdr:rowOff>
    </xdr:from>
    <xdr:to>
      <xdr:col>12</xdr:col>
      <xdr:colOff>447547</xdr:colOff>
      <xdr:row>53</xdr:row>
      <xdr:rowOff>88800</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
        <a:stretch>
          <a:fillRect/>
        </a:stretch>
      </xdr:blipFill>
      <xdr:spPr>
        <a:xfrm>
          <a:off x="9798424" y="6553200"/>
          <a:ext cx="2392888" cy="563929"/>
        </a:xfrm>
        <a:prstGeom prst="rect">
          <a:avLst/>
        </a:prstGeom>
      </xdr:spPr>
    </xdr:pic>
    <xdr:clientData/>
  </xdr:twoCellAnchor>
  <xdr:twoCellAnchor editAs="oneCell">
    <xdr:from>
      <xdr:col>9</xdr:col>
      <xdr:colOff>0</xdr:colOff>
      <xdr:row>62</xdr:row>
      <xdr:rowOff>0</xdr:rowOff>
    </xdr:from>
    <xdr:to>
      <xdr:col>14</xdr:col>
      <xdr:colOff>721</xdr:colOff>
      <xdr:row>66</xdr:row>
      <xdr:rowOff>31893</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2"/>
        <a:stretch>
          <a:fillRect/>
        </a:stretch>
      </xdr:blipFill>
      <xdr:spPr>
        <a:xfrm>
          <a:off x="9816353" y="7395882"/>
          <a:ext cx="3147333" cy="78492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14</xdr:col>
      <xdr:colOff>1051560</xdr:colOff>
      <xdr:row>49</xdr:row>
      <xdr:rowOff>45720</xdr:rowOff>
    </xdr:from>
    <xdr:to>
      <xdr:col>25</xdr:col>
      <xdr:colOff>563880</xdr:colOff>
      <xdr:row>73</xdr:row>
      <xdr:rowOff>19050</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26</xdr:col>
      <xdr:colOff>252153</xdr:colOff>
      <xdr:row>49</xdr:row>
      <xdr:rowOff>50916</xdr:rowOff>
    </xdr:from>
    <xdr:to>
      <xdr:col>38</xdr:col>
      <xdr:colOff>290945</xdr:colOff>
      <xdr:row>73</xdr:row>
      <xdr:rowOff>24247</xdr:rowOff>
    </xdr:to>
    <xdr:graphicFrame macro="">
      <xdr:nvGraphicFramePr>
        <xdr:cNvPr id="5" name="Chart 4">
          <a:extLst>
            <a:ext uri="{FF2B5EF4-FFF2-40B4-BE49-F238E27FC236}">
              <a16:creationId xmlns:a16="http://schemas.microsoft.com/office/drawing/2014/main" id="{00000000-0008-0000-02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1036494</xdr:colOff>
      <xdr:row>20</xdr:row>
      <xdr:rowOff>65809</xdr:rowOff>
    </xdr:from>
    <xdr:to>
      <xdr:col>33</xdr:col>
      <xdr:colOff>315191</xdr:colOff>
      <xdr:row>49</xdr:row>
      <xdr:rowOff>1</xdr:rowOff>
    </xdr:to>
    <xdr:graphicFrame macro="">
      <xdr:nvGraphicFramePr>
        <xdr:cNvPr id="7" name="Chart 6">
          <a:extLst>
            <a:ext uri="{FF2B5EF4-FFF2-40B4-BE49-F238E27FC236}">
              <a16:creationId xmlns:a16="http://schemas.microsoft.com/office/drawing/2014/main" id="{00000000-0008-0000-02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14</xdr:col>
      <xdr:colOff>1051560</xdr:colOff>
      <xdr:row>49</xdr:row>
      <xdr:rowOff>45720</xdr:rowOff>
    </xdr:from>
    <xdr:to>
      <xdr:col>25</xdr:col>
      <xdr:colOff>563880</xdr:colOff>
      <xdr:row>73</xdr:row>
      <xdr:rowOff>19050</xdr:rowOff>
    </xdr:to>
    <xdr:graphicFrame macro="">
      <xdr:nvGraphicFramePr>
        <xdr:cNvPr id="4" name="Chart 3">
          <a:extLst>
            <a:ext uri="{FF2B5EF4-FFF2-40B4-BE49-F238E27FC236}">
              <a16:creationId xmlns:a16="http://schemas.microsoft.com/office/drawing/2014/main" id="{00000000-0008-0000-03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32</xdr:col>
      <xdr:colOff>186690</xdr:colOff>
      <xdr:row>39</xdr:row>
      <xdr:rowOff>167640</xdr:rowOff>
    </xdr:from>
    <xdr:to>
      <xdr:col>34</xdr:col>
      <xdr:colOff>515247</xdr:colOff>
      <xdr:row>45</xdr:row>
      <xdr:rowOff>69934</xdr:rowOff>
    </xdr:to>
    <xdr:pic>
      <xdr:nvPicPr>
        <xdr:cNvPr id="7" name="Picture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2"/>
        <a:stretch>
          <a:fillRect/>
        </a:stretch>
      </xdr:blipFill>
      <xdr:spPr>
        <a:xfrm>
          <a:off x="21541740" y="5482590"/>
          <a:ext cx="1840230" cy="1045293"/>
        </a:xfrm>
        <a:prstGeom prst="rect">
          <a:avLst/>
        </a:prstGeom>
      </xdr:spPr>
    </xdr:pic>
    <xdr:clientData/>
  </xdr:twoCellAnchor>
  <xdr:twoCellAnchor editAs="oneCell">
    <xdr:from>
      <xdr:col>34</xdr:col>
      <xdr:colOff>247650</xdr:colOff>
      <xdr:row>40</xdr:row>
      <xdr:rowOff>60960</xdr:rowOff>
    </xdr:from>
    <xdr:to>
      <xdr:col>38</xdr:col>
      <xdr:colOff>567929</xdr:colOff>
      <xdr:row>44</xdr:row>
      <xdr:rowOff>129612</xdr:rowOff>
    </xdr:to>
    <xdr:pic>
      <xdr:nvPicPr>
        <xdr:cNvPr id="8" name="Picture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3"/>
        <a:stretch>
          <a:fillRect/>
        </a:stretch>
      </xdr:blipFill>
      <xdr:spPr>
        <a:xfrm>
          <a:off x="23888700" y="5566410"/>
          <a:ext cx="2758679" cy="830649"/>
        </a:xfrm>
        <a:prstGeom prst="rect">
          <a:avLst/>
        </a:prstGeom>
      </xdr:spPr>
    </xdr:pic>
    <xdr:clientData/>
  </xdr:twoCellAnchor>
  <xdr:twoCellAnchor>
    <xdr:from>
      <xdr:col>31</xdr:col>
      <xdr:colOff>30480</xdr:colOff>
      <xdr:row>49</xdr:row>
      <xdr:rowOff>64770</xdr:rowOff>
    </xdr:from>
    <xdr:to>
      <xdr:col>42</xdr:col>
      <xdr:colOff>144780</xdr:colOff>
      <xdr:row>73</xdr:row>
      <xdr:rowOff>38100</xdr:rowOff>
    </xdr:to>
    <xdr:graphicFrame macro="">
      <xdr:nvGraphicFramePr>
        <xdr:cNvPr id="9" name="Chart 8">
          <a:extLst>
            <a:ext uri="{FF2B5EF4-FFF2-40B4-BE49-F238E27FC236}">
              <a16:creationId xmlns:a16="http://schemas.microsoft.com/office/drawing/2014/main" id="{00000000-0008-0000-0300-00000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7620</xdr:colOff>
      <xdr:row>21</xdr:row>
      <xdr:rowOff>121920</xdr:rowOff>
    </xdr:from>
    <xdr:to>
      <xdr:col>26</xdr:col>
      <xdr:colOff>45720</xdr:colOff>
      <xdr:row>45</xdr:row>
      <xdr:rowOff>80010</xdr:rowOff>
    </xdr:to>
    <xdr:graphicFrame macro="">
      <xdr:nvGraphicFramePr>
        <xdr:cNvPr id="10" name="Chart 9">
          <a:extLst>
            <a:ext uri="{FF2B5EF4-FFF2-40B4-BE49-F238E27FC236}">
              <a16:creationId xmlns:a16="http://schemas.microsoft.com/office/drawing/2014/main" id="{00000000-0008-0000-0300-00000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22</xdr:row>
      <xdr:rowOff>147917</xdr:rowOff>
    </xdr:from>
    <xdr:to>
      <xdr:col>13</xdr:col>
      <xdr:colOff>397584</xdr:colOff>
      <xdr:row>49</xdr:row>
      <xdr:rowOff>125762</xdr:rowOff>
    </xdr:to>
    <xdr:graphicFrame macro="">
      <xdr:nvGraphicFramePr>
        <xdr:cNvPr id="3" name="Chart 2">
          <a:extLst>
            <a:ext uri="{FF2B5EF4-FFF2-40B4-BE49-F238E27FC236}">
              <a16:creationId xmlns:a16="http://schemas.microsoft.com/office/drawing/2014/main" id="{00000000-0008-0000-04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53</xdr:row>
      <xdr:rowOff>0</xdr:rowOff>
    </xdr:from>
    <xdr:to>
      <xdr:col>13</xdr:col>
      <xdr:colOff>397584</xdr:colOff>
      <xdr:row>79</xdr:row>
      <xdr:rowOff>157954</xdr:rowOff>
    </xdr:to>
    <xdr:graphicFrame macro="">
      <xdr:nvGraphicFramePr>
        <xdr:cNvPr id="4" name="Chart 3">
          <a:extLst>
            <a:ext uri="{FF2B5EF4-FFF2-40B4-BE49-F238E27FC236}">
              <a16:creationId xmlns:a16="http://schemas.microsoft.com/office/drawing/2014/main" id="{00000000-0008-0000-04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82</xdr:row>
      <xdr:rowOff>0</xdr:rowOff>
    </xdr:from>
    <xdr:to>
      <xdr:col>13</xdr:col>
      <xdr:colOff>397584</xdr:colOff>
      <xdr:row>108</xdr:row>
      <xdr:rowOff>157953</xdr:rowOff>
    </xdr:to>
    <xdr:graphicFrame macro="">
      <xdr:nvGraphicFramePr>
        <xdr:cNvPr id="5" name="Chart 4">
          <a:extLst>
            <a:ext uri="{FF2B5EF4-FFF2-40B4-BE49-F238E27FC236}">
              <a16:creationId xmlns:a16="http://schemas.microsoft.com/office/drawing/2014/main" id="{00000000-0008-0000-04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548640</xdr:colOff>
      <xdr:row>10</xdr:row>
      <xdr:rowOff>0</xdr:rowOff>
    </xdr:from>
    <xdr:to>
      <xdr:col>12</xdr:col>
      <xdr:colOff>449580</xdr:colOff>
      <xdr:row>12</xdr:row>
      <xdr:rowOff>123546</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7269480" y="1638300"/>
          <a:ext cx="2948940" cy="489306"/>
        </a:xfrm>
        <a:prstGeom prst="rect">
          <a:avLst/>
        </a:prstGeom>
      </xdr:spPr>
    </xdr:pic>
    <xdr:clientData/>
  </xdr:twoCellAnchor>
  <xdr:twoCellAnchor editAs="oneCell">
    <xdr:from>
      <xdr:col>8</xdr:col>
      <xdr:colOff>7620</xdr:colOff>
      <xdr:row>14</xdr:row>
      <xdr:rowOff>132742</xdr:rowOff>
    </xdr:from>
    <xdr:to>
      <xdr:col>13</xdr:col>
      <xdr:colOff>350520</xdr:colOff>
      <xdr:row>18</xdr:row>
      <xdr:rowOff>76286</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7338060" y="2502562"/>
          <a:ext cx="3390900" cy="675064"/>
        </a:xfrm>
        <a:prstGeom prst="rect">
          <a:avLst/>
        </a:prstGeom>
      </xdr:spPr>
    </xdr:pic>
    <xdr:clientData/>
  </xdr:twoCellAnchor>
  <xdr:twoCellAnchor editAs="oneCell">
    <xdr:from>
      <xdr:col>9</xdr:col>
      <xdr:colOff>129540</xdr:colOff>
      <xdr:row>24</xdr:row>
      <xdr:rowOff>0</xdr:rowOff>
    </xdr:from>
    <xdr:to>
      <xdr:col>13</xdr:col>
      <xdr:colOff>76200</xdr:colOff>
      <xdr:row>32</xdr:row>
      <xdr:rowOff>45369</xdr:rowOff>
    </xdr:to>
    <xdr:pic>
      <xdr:nvPicPr>
        <xdr:cNvPr id="4" name="Picture 3">
          <a:extLst>
            <a:ext uri="{FF2B5EF4-FFF2-40B4-BE49-F238E27FC236}">
              <a16:creationId xmlns:a16="http://schemas.microsoft.com/office/drawing/2014/main" id="{00000000-0008-0000-05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8069580" y="4198620"/>
          <a:ext cx="2385060" cy="152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625927</xdr:colOff>
      <xdr:row>2</xdr:row>
      <xdr:rowOff>0</xdr:rowOff>
    </xdr:from>
    <xdr:to>
      <xdr:col>2</xdr:col>
      <xdr:colOff>9701892</xdr:colOff>
      <xdr:row>3</xdr:row>
      <xdr:rowOff>0</xdr:rowOff>
    </xdr:to>
    <xdr:graphicFrame macro="">
      <xdr:nvGraphicFramePr>
        <xdr:cNvPr id="4" name="Chart 3">
          <a:extLst>
            <a:ext uri="{FF2B5EF4-FFF2-40B4-BE49-F238E27FC236}">
              <a16:creationId xmlns:a16="http://schemas.microsoft.com/office/drawing/2014/main" id="{00000000-0008-0000-06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31103</xdr:colOff>
      <xdr:row>5</xdr:row>
      <xdr:rowOff>23328</xdr:rowOff>
    </xdr:from>
    <xdr:to>
      <xdr:col>3</xdr:col>
      <xdr:colOff>0</xdr:colOff>
      <xdr:row>5</xdr:row>
      <xdr:rowOff>4803322</xdr:rowOff>
    </xdr:to>
    <xdr:graphicFrame macro="">
      <xdr:nvGraphicFramePr>
        <xdr:cNvPr id="5" name="Chart 4">
          <a:extLst>
            <a:ext uri="{FF2B5EF4-FFF2-40B4-BE49-F238E27FC236}">
              <a16:creationId xmlns:a16="http://schemas.microsoft.com/office/drawing/2014/main" id="{00000000-0008-0000-06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625927</xdr:colOff>
      <xdr:row>8</xdr:row>
      <xdr:rowOff>0</xdr:rowOff>
    </xdr:from>
    <xdr:to>
      <xdr:col>2</xdr:col>
      <xdr:colOff>9701893</xdr:colOff>
      <xdr:row>8</xdr:row>
      <xdr:rowOff>4789714</xdr:rowOff>
    </xdr:to>
    <xdr:graphicFrame macro="">
      <xdr:nvGraphicFramePr>
        <xdr:cNvPr id="6" name="Chart 5">
          <a:extLst>
            <a:ext uri="{FF2B5EF4-FFF2-40B4-BE49-F238E27FC236}">
              <a16:creationId xmlns:a16="http://schemas.microsoft.com/office/drawing/2014/main" id="{00000000-0008-0000-0600-00000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mc:AlternateContent xmlns:mc="http://schemas.openxmlformats.org/markup-compatibility/2006">
    <mc:Choice xmlns:a14="http://schemas.microsoft.com/office/drawing/2010/main" Requires="a14">
      <xdr:twoCellAnchor editAs="absolute">
        <xdr:from>
          <xdr:col>9</xdr:col>
          <xdr:colOff>0</xdr:colOff>
          <xdr:row>2</xdr:row>
          <xdr:rowOff>0</xdr:rowOff>
        </xdr:from>
        <xdr:to>
          <xdr:col>27</xdr:col>
          <xdr:colOff>311243</xdr:colOff>
          <xdr:row>5</xdr:row>
          <xdr:rowOff>681746</xdr:rowOff>
        </xdr:to>
        <xdr:pic>
          <xdr:nvPicPr>
            <xdr:cNvPr id="7" name="Picture 8888">
              <a:extLst>
                <a:ext uri="{FF2B5EF4-FFF2-40B4-BE49-F238E27FC236}">
                  <a16:creationId xmlns:a16="http://schemas.microsoft.com/office/drawing/2014/main" id="{00000000-0008-0000-0600-000007000000}"/>
                </a:ext>
              </a:extLst>
            </xdr:cNvPr>
            <xdr:cNvPicPr>
              <a:picLocks noChangeAspect="1" noChangeArrowheads="1"/>
              <a:extLst>
                <a:ext uri="{84589F7E-364E-4C9E-8A38-B11213B215E9}">
                  <a14:cameraTool cellRange="display_eff" spid="_x0000_s16491"/>
                </a:ext>
              </a:extLst>
            </xdr:cNvPicPr>
          </xdr:nvPicPr>
          <xdr:blipFill>
            <a:blip xmlns:r="http://schemas.openxmlformats.org/officeDocument/2006/relationships" r:embed="rId4"/>
            <a:srcRect/>
            <a:stretch>
              <a:fillRect/>
            </a:stretch>
          </xdr:blipFill>
          <xdr:spPr bwMode="auto">
            <a:xfrm>
              <a:off x="15543244" y="365449"/>
              <a:ext cx="12067815" cy="5875787"/>
            </a:xfrm>
            <a:prstGeom prst="rect">
              <a:avLst/>
            </a:prstGeom>
            <a:noFill/>
            <a:ln w="15875">
              <a:noFill/>
              <a:miter lim="800000"/>
              <a:headEnd/>
              <a:tailEnd/>
            </a:ln>
            <a:extLst>
              <a:ext uri="{909E8E84-426E-40DD-AFC4-6F175D3DCCD1}">
                <a14:hiddenFill>
                  <a:solidFill>
                    <a:srgbClr val="FFFFFF" mc:Ignorable="a14" a14:legacySpreadsheetColorIndex="65"/>
                  </a:solidFill>
                </a14:hiddenFill>
              </a:ext>
            </a:extLst>
          </xdr:spPr>
        </xdr:pic>
        <xdr:clientData/>
      </xdr:twoCellAnchor>
    </mc:Choice>
    <mc:Fallback/>
  </mc:AlternateContent>
</xdr:wsDr>
</file>

<file path=xl/drawings/drawing8.xml><?xml version="1.0" encoding="utf-8"?>
<xdr:wsDr xmlns:xdr="http://schemas.openxmlformats.org/drawingml/2006/spreadsheetDrawing" xmlns:a="http://schemas.openxmlformats.org/drawingml/2006/main">
  <xdr:twoCellAnchor>
    <xdr:from>
      <xdr:col>1</xdr:col>
      <xdr:colOff>281750</xdr:colOff>
      <xdr:row>1</xdr:row>
      <xdr:rowOff>134469</xdr:rowOff>
    </xdr:from>
    <xdr:to>
      <xdr:col>1</xdr:col>
      <xdr:colOff>10245380</xdr:colOff>
      <xdr:row>2</xdr:row>
      <xdr:rowOff>4738487</xdr:rowOff>
    </xdr:to>
    <xdr:graphicFrame macro="">
      <xdr:nvGraphicFramePr>
        <xdr:cNvPr id="2" name="Chart 1">
          <a:extLst>
            <a:ext uri="{FF2B5EF4-FFF2-40B4-BE49-F238E27FC236}">
              <a16:creationId xmlns:a16="http://schemas.microsoft.com/office/drawing/2014/main" id="{00000000-0008-0000-08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mc:AlternateContent xmlns:mc="http://schemas.openxmlformats.org/markup-compatibility/2006">
    <mc:Choice xmlns:a14="http://schemas.microsoft.com/office/drawing/2010/main" Requires="a14">
      <xdr:twoCellAnchor editAs="oneCell">
        <xdr:from>
          <xdr:col>3</xdr:col>
          <xdr:colOff>76840</xdr:colOff>
          <xdr:row>2</xdr:row>
          <xdr:rowOff>384202</xdr:rowOff>
        </xdr:from>
        <xdr:to>
          <xdr:col>12</xdr:col>
          <xdr:colOff>593884</xdr:colOff>
          <xdr:row>2</xdr:row>
          <xdr:rowOff>2971159</xdr:rowOff>
        </xdr:to>
        <xdr:pic>
          <xdr:nvPicPr>
            <xdr:cNvPr id="6" name="Picture 5">
              <a:extLst>
                <a:ext uri="{FF2B5EF4-FFF2-40B4-BE49-F238E27FC236}">
                  <a16:creationId xmlns:a16="http://schemas.microsoft.com/office/drawing/2014/main" id="{00000000-0008-0000-0800-000006000000}"/>
                </a:ext>
              </a:extLst>
            </xdr:cNvPr>
            <xdr:cNvPicPr>
              <a:picLocks noChangeAspect="1" noChangeArrowheads="1"/>
              <a:extLst>
                <a:ext uri="{84589F7E-364E-4C9E-8A38-B11213B215E9}">
                  <a14:cameraTool cellRange="LoopLookup" spid="_x0000_s18545"/>
                </a:ext>
              </a:extLst>
            </xdr:cNvPicPr>
          </xdr:nvPicPr>
          <xdr:blipFill>
            <a:blip xmlns:r="http://schemas.openxmlformats.org/officeDocument/2006/relationships" r:embed="rId2"/>
            <a:srcRect/>
            <a:stretch>
              <a:fillRect/>
            </a:stretch>
          </xdr:blipFill>
          <xdr:spPr bwMode="auto">
            <a:xfrm>
              <a:off x="13690386" y="749194"/>
              <a:ext cx="6164809" cy="2586957"/>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1</xdr:col>
      <xdr:colOff>0</xdr:colOff>
      <xdr:row>3</xdr:row>
      <xdr:rowOff>0</xdr:rowOff>
    </xdr:from>
    <xdr:to>
      <xdr:col>1</xdr:col>
      <xdr:colOff>10808874</xdr:colOff>
      <xdr:row>3</xdr:row>
      <xdr:rowOff>4386303</xdr:rowOff>
    </xdr:to>
    <xdr:graphicFrame macro="">
      <xdr:nvGraphicFramePr>
        <xdr:cNvPr id="7" name="Chart 6">
          <a:extLst>
            <a:ext uri="{FF2B5EF4-FFF2-40B4-BE49-F238E27FC236}">
              <a16:creationId xmlns:a16="http://schemas.microsoft.com/office/drawing/2014/main" id="{00000000-0008-0000-08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27214</xdr:colOff>
      <xdr:row>3</xdr:row>
      <xdr:rowOff>0</xdr:rowOff>
    </xdr:from>
    <xdr:to>
      <xdr:col>1</xdr:col>
      <xdr:colOff>6075982</xdr:colOff>
      <xdr:row>3</xdr:row>
      <xdr:rowOff>4962154</xdr:rowOff>
    </xdr:to>
    <xdr:pic>
      <xdr:nvPicPr>
        <xdr:cNvPr id="10" name="Picture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12321" y="557893"/>
          <a:ext cx="6048768" cy="4962154"/>
        </a:xfrm>
        <a:prstGeom prst="rect">
          <a:avLst/>
        </a:prstGeom>
      </xdr:spPr>
    </xdr:pic>
    <xdr:clientData/>
  </xdr:twoCellAnchor>
  <xdr:twoCellAnchor editAs="oneCell">
    <xdr:from>
      <xdr:col>1</xdr:col>
      <xdr:colOff>27214</xdr:colOff>
      <xdr:row>5</xdr:row>
      <xdr:rowOff>0</xdr:rowOff>
    </xdr:from>
    <xdr:to>
      <xdr:col>1</xdr:col>
      <xdr:colOff>6075982</xdr:colOff>
      <xdr:row>5</xdr:row>
      <xdr:rowOff>4962154</xdr:rowOff>
    </xdr:to>
    <xdr:pic>
      <xdr:nvPicPr>
        <xdr:cNvPr id="11" name="Picture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12321" y="5728607"/>
          <a:ext cx="6048768" cy="4962154"/>
        </a:xfrm>
        <a:prstGeom prst="rect">
          <a:avLst/>
        </a:prstGeom>
      </xdr:spPr>
    </xdr:pic>
    <xdr:clientData/>
  </xdr:twoCellAnchor>
  <xdr:twoCellAnchor editAs="oneCell">
    <xdr:from>
      <xdr:col>3</xdr:col>
      <xdr:colOff>27214</xdr:colOff>
      <xdr:row>5</xdr:row>
      <xdr:rowOff>0</xdr:rowOff>
    </xdr:from>
    <xdr:to>
      <xdr:col>3</xdr:col>
      <xdr:colOff>6075982</xdr:colOff>
      <xdr:row>5</xdr:row>
      <xdr:rowOff>4962154</xdr:rowOff>
    </xdr:to>
    <xdr:pic>
      <xdr:nvPicPr>
        <xdr:cNvPr id="12" name="Picture 11">
          <a:extLst>
            <a:ext uri="{FF2B5EF4-FFF2-40B4-BE49-F238E27FC236}">
              <a16:creationId xmlns:a16="http://schemas.microsoft.com/office/drawing/2014/main" id="{00000000-0008-0000-0900-00000C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347857" y="5728607"/>
          <a:ext cx="6048768" cy="4962154"/>
        </a:xfrm>
        <a:prstGeom prst="rect">
          <a:avLst/>
        </a:prstGeom>
      </xdr:spPr>
    </xdr:pic>
    <xdr:clientData/>
  </xdr:twoCellAnchor>
  <xdr:twoCellAnchor editAs="oneCell">
    <xdr:from>
      <xdr:col>3</xdr:col>
      <xdr:colOff>40821</xdr:colOff>
      <xdr:row>3</xdr:row>
      <xdr:rowOff>0</xdr:rowOff>
    </xdr:from>
    <xdr:to>
      <xdr:col>3</xdr:col>
      <xdr:colOff>6089589</xdr:colOff>
      <xdr:row>3</xdr:row>
      <xdr:rowOff>4962154</xdr:rowOff>
    </xdr:to>
    <xdr:pic>
      <xdr:nvPicPr>
        <xdr:cNvPr id="13" name="Picture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361464" y="557893"/>
          <a:ext cx="6048768" cy="4962154"/>
        </a:xfrm>
        <a:prstGeom prst="rect">
          <a:avLst/>
        </a:prstGeom>
      </xdr:spPr>
    </xdr:pic>
    <xdr:clientData/>
  </xdr:twoCellAnchor>
  <xdr:twoCellAnchor editAs="oneCell">
    <xdr:from>
      <xdr:col>5</xdr:col>
      <xdr:colOff>27214</xdr:colOff>
      <xdr:row>3</xdr:row>
      <xdr:rowOff>0</xdr:rowOff>
    </xdr:from>
    <xdr:to>
      <xdr:col>5</xdr:col>
      <xdr:colOff>6075982</xdr:colOff>
      <xdr:row>3</xdr:row>
      <xdr:rowOff>4962154</xdr:rowOff>
    </xdr:to>
    <xdr:pic>
      <xdr:nvPicPr>
        <xdr:cNvPr id="15" name="Picture 14">
          <a:extLst>
            <a:ext uri="{FF2B5EF4-FFF2-40B4-BE49-F238E27FC236}">
              <a16:creationId xmlns:a16="http://schemas.microsoft.com/office/drawing/2014/main" id="{00000000-0008-0000-0900-00000F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4083393" y="557893"/>
          <a:ext cx="6048768" cy="4962154"/>
        </a:xfrm>
        <a:prstGeom prst="rect">
          <a:avLst/>
        </a:prstGeom>
      </xdr:spPr>
    </xdr:pic>
    <xdr:clientData/>
  </xdr:twoCellAnchor>
  <xdr:twoCellAnchor editAs="oneCell">
    <xdr:from>
      <xdr:col>5</xdr:col>
      <xdr:colOff>40821</xdr:colOff>
      <xdr:row>5</xdr:row>
      <xdr:rowOff>0</xdr:rowOff>
    </xdr:from>
    <xdr:to>
      <xdr:col>5</xdr:col>
      <xdr:colOff>6089589</xdr:colOff>
      <xdr:row>5</xdr:row>
      <xdr:rowOff>4962154</xdr:rowOff>
    </xdr:to>
    <xdr:pic>
      <xdr:nvPicPr>
        <xdr:cNvPr id="16" name="Picture 15">
          <a:extLst>
            <a:ext uri="{FF2B5EF4-FFF2-40B4-BE49-F238E27FC236}">
              <a16:creationId xmlns:a16="http://schemas.microsoft.com/office/drawing/2014/main" id="{00000000-0008-0000-0900-000010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4097000" y="5728607"/>
          <a:ext cx="6048768" cy="496215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comments" Target="../comments1.x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ctrlProp" Target="../ctrlProps/ctrlProp3.xml"/><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comments" Target="../comments2.xml"/><Relationship Id="rId5" Type="http://schemas.openxmlformats.org/officeDocument/2006/relationships/image" Target="../media/image7.emf"/><Relationship Id="rId4" Type="http://schemas.openxmlformats.org/officeDocument/2006/relationships/oleObject" Target="../embeddings/oleObject1.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4.bin"/><Relationship Id="rId4" Type="http://schemas.openxmlformats.org/officeDocument/2006/relationships/comments" Target="../comments4.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5.xml"/><Relationship Id="rId1" Type="http://schemas.openxmlformats.org/officeDocument/2006/relationships/printerSettings" Target="../printerSettings/printerSettings5.bin"/><Relationship Id="rId4" Type="http://schemas.openxmlformats.org/officeDocument/2006/relationships/comments" Target="../comments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7.v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0000"/>
    <pageSetUpPr fitToPage="1"/>
  </sheetPr>
  <dimension ref="A1:AF123"/>
  <sheetViews>
    <sheetView tabSelected="1" topLeftCell="A4" zoomScale="130" zoomScaleNormal="130" workbookViewId="0">
      <selection activeCell="M24" sqref="M24"/>
    </sheetView>
  </sheetViews>
  <sheetFormatPr defaultColWidth="8.85546875" defaultRowHeight="15" x14ac:dyDescent="0.25"/>
  <cols>
    <col min="1" max="6" width="8.85546875" style="103" customWidth="1"/>
    <col min="7" max="7" width="8.85546875" style="158" customWidth="1"/>
    <col min="8" max="8" width="12" style="103" bestFit="1" customWidth="1"/>
    <col min="9" max="9" width="4.28515625" style="103" customWidth="1"/>
    <col min="10" max="10" width="2.7109375" style="103" customWidth="1"/>
    <col min="11" max="11" width="6" style="103" customWidth="1"/>
    <col min="12" max="12" width="15.85546875" style="103" customWidth="1"/>
    <col min="13" max="13" width="21.28515625" style="103" customWidth="1"/>
    <col min="14" max="14" width="12.85546875" style="103" customWidth="1"/>
    <col min="15" max="16" width="3.85546875" style="103" customWidth="1"/>
    <col min="17" max="17" width="6.140625" style="103" customWidth="1"/>
    <col min="18" max="18" width="3" style="103" customWidth="1"/>
    <col min="19" max="19" width="14.28515625" style="103" customWidth="1"/>
    <col min="20" max="20" width="14.140625" style="103" customWidth="1"/>
    <col min="21" max="21" width="4.140625" style="103" customWidth="1"/>
    <col min="22" max="22" width="9.7109375" style="103" customWidth="1"/>
    <col min="23" max="23" width="4.7109375" style="103" customWidth="1"/>
    <col min="24" max="24" width="3" style="107" customWidth="1"/>
    <col min="25" max="25" width="7.28515625" style="103" hidden="1" customWidth="1"/>
    <col min="26" max="26" width="7.28515625" style="103" customWidth="1"/>
    <col min="27" max="27" width="13.7109375" style="103" customWidth="1"/>
    <col min="28" max="28" width="10.85546875" style="103" customWidth="1"/>
    <col min="29" max="29" width="4.85546875" style="103" customWidth="1"/>
    <col min="30" max="31" width="8.85546875" style="103" customWidth="1"/>
    <col min="32" max="32" width="1.7109375" style="159" customWidth="1"/>
    <col min="33" max="16384" width="8.85546875" style="103"/>
  </cols>
  <sheetData>
    <row r="1" spans="1:32" ht="46.9" customHeight="1" x14ac:dyDescent="0.25">
      <c r="A1" s="98"/>
      <c r="B1" s="98"/>
      <c r="C1" s="98"/>
      <c r="D1" s="98"/>
      <c r="E1" s="99" t="s">
        <v>670</v>
      </c>
      <c r="F1" s="98"/>
      <c r="G1" s="100"/>
      <c r="H1" s="98"/>
      <c r="I1" s="98"/>
      <c r="J1" s="98"/>
      <c r="K1" s="98"/>
      <c r="L1" s="98"/>
      <c r="M1" s="98"/>
      <c r="N1" s="98"/>
      <c r="O1" s="98"/>
      <c r="P1" s="98"/>
      <c r="Q1" s="98"/>
      <c r="R1" s="98"/>
      <c r="S1" s="98"/>
      <c r="T1" s="98"/>
      <c r="U1" s="98"/>
      <c r="V1" s="98"/>
      <c r="W1" s="98"/>
      <c r="X1" s="101"/>
      <c r="Y1" s="98"/>
      <c r="Z1" s="98"/>
      <c r="AA1" s="98"/>
      <c r="AB1" s="98"/>
      <c r="AC1" s="98"/>
      <c r="AD1" s="98"/>
      <c r="AE1" s="98"/>
      <c r="AF1" s="102"/>
    </row>
    <row r="2" spans="1:32" s="107" customFormat="1" x14ac:dyDescent="0.25">
      <c r="A2" s="104"/>
      <c r="B2" s="104"/>
      <c r="C2" s="104"/>
      <c r="D2" s="104"/>
      <c r="E2" s="104"/>
      <c r="F2" s="104"/>
      <c r="G2" s="105"/>
      <c r="H2" s="104"/>
      <c r="I2" s="104"/>
      <c r="J2" s="104"/>
      <c r="K2" s="104"/>
      <c r="L2" s="104"/>
      <c r="M2" s="104"/>
      <c r="N2" s="104"/>
      <c r="O2" s="104"/>
      <c r="P2" s="104"/>
      <c r="Q2" s="104"/>
      <c r="R2" s="104"/>
      <c r="S2" s="104"/>
      <c r="T2" s="104"/>
      <c r="U2" s="104"/>
      <c r="V2" s="104"/>
      <c r="W2" s="104"/>
      <c r="X2" s="104"/>
      <c r="Y2" s="104"/>
      <c r="Z2" s="104"/>
      <c r="AA2" s="104"/>
      <c r="AB2" s="104"/>
      <c r="AC2" s="104"/>
      <c r="AD2" s="104"/>
      <c r="AE2" s="104"/>
      <c r="AF2" s="106"/>
    </row>
    <row r="3" spans="1:32" s="107" customFormat="1" x14ac:dyDescent="0.25">
      <c r="A3" s="108" t="s">
        <v>1</v>
      </c>
      <c r="B3" s="104"/>
      <c r="C3" s="104"/>
      <c r="D3" s="104"/>
      <c r="E3" s="109"/>
      <c r="F3" s="110" t="s">
        <v>2</v>
      </c>
      <c r="G3" s="105"/>
      <c r="H3" s="104"/>
      <c r="I3" s="104"/>
      <c r="J3" s="104"/>
      <c r="K3" s="104"/>
      <c r="L3" s="104"/>
      <c r="M3" s="104"/>
      <c r="N3" s="104"/>
      <c r="O3" s="104"/>
      <c r="P3" s="104"/>
      <c r="Q3" s="111" t="s">
        <v>0</v>
      </c>
      <c r="R3" s="104"/>
      <c r="S3" s="104"/>
      <c r="T3" s="104"/>
      <c r="U3" s="104"/>
      <c r="V3" s="104"/>
      <c r="W3" s="104"/>
      <c r="X3" s="104"/>
      <c r="Y3" s="104"/>
      <c r="Z3" s="104"/>
      <c r="AA3" s="104"/>
      <c r="AB3" s="104"/>
      <c r="AC3" s="104"/>
      <c r="AD3" s="104"/>
      <c r="AE3" s="104"/>
      <c r="AF3" s="106"/>
    </row>
    <row r="4" spans="1:32" s="115" customFormat="1" x14ac:dyDescent="0.25">
      <c r="A4" s="112"/>
      <c r="B4" s="112"/>
      <c r="C4" s="112"/>
      <c r="D4" s="112"/>
      <c r="E4" s="112"/>
      <c r="F4" s="112"/>
      <c r="G4" s="113"/>
      <c r="H4" s="112"/>
      <c r="I4" s="112"/>
      <c r="J4" s="112"/>
      <c r="K4" s="112"/>
      <c r="L4" s="112"/>
      <c r="M4" s="112"/>
      <c r="N4" s="112"/>
      <c r="O4" s="112"/>
      <c r="P4" s="112"/>
      <c r="Q4" s="112"/>
      <c r="R4" s="112"/>
      <c r="S4" s="112"/>
      <c r="T4" s="112"/>
      <c r="U4" s="112"/>
      <c r="V4" s="112"/>
      <c r="W4" s="112"/>
      <c r="X4" s="112"/>
      <c r="Y4" s="112"/>
      <c r="Z4" s="112"/>
      <c r="AA4" s="112"/>
      <c r="AB4" s="112"/>
      <c r="AC4" s="112"/>
      <c r="AD4" s="112"/>
      <c r="AE4" s="112"/>
      <c r="AF4" s="114"/>
    </row>
    <row r="5" spans="1:32" s="107" customFormat="1" x14ac:dyDescent="0.25">
      <c r="A5" s="119"/>
      <c r="B5" s="119"/>
      <c r="C5" s="119"/>
      <c r="D5" s="119"/>
      <c r="E5" s="119"/>
      <c r="F5" s="119"/>
      <c r="G5" s="133"/>
      <c r="H5" s="119"/>
      <c r="I5" s="119"/>
      <c r="J5" s="119"/>
      <c r="K5" s="119"/>
      <c r="L5" s="119"/>
      <c r="M5" s="119"/>
      <c r="N5" s="119"/>
      <c r="O5" s="119"/>
      <c r="P5" s="119"/>
      <c r="Q5" s="119"/>
      <c r="R5" s="119"/>
      <c r="S5" s="119"/>
      <c r="T5" s="119"/>
      <c r="U5" s="119"/>
      <c r="V5" s="119"/>
      <c r="W5" s="119"/>
      <c r="X5" s="119"/>
      <c r="Y5" s="119"/>
      <c r="Z5" s="119"/>
      <c r="AA5" s="119"/>
      <c r="AB5" s="119"/>
      <c r="AC5" s="119"/>
      <c r="AD5" s="119" t="s">
        <v>3</v>
      </c>
      <c r="AE5" s="249" t="s">
        <v>698</v>
      </c>
      <c r="AF5" s="106"/>
    </row>
    <row r="6" spans="1:32" ht="19.5" thickBot="1" x14ac:dyDescent="0.35">
      <c r="A6" s="251" t="s">
        <v>4</v>
      </c>
      <c r="B6" s="116"/>
      <c r="C6" s="116"/>
      <c r="D6" s="116"/>
      <c r="E6" s="116"/>
      <c r="F6" s="116"/>
      <c r="G6" s="117"/>
      <c r="H6" s="116"/>
      <c r="I6" s="116"/>
      <c r="J6" s="116"/>
      <c r="K6" s="116"/>
      <c r="L6" s="116"/>
      <c r="M6" s="236" t="s">
        <v>644</v>
      </c>
      <c r="N6" s="233"/>
      <c r="O6" s="233"/>
      <c r="P6" s="116"/>
      <c r="Q6" s="116"/>
      <c r="R6" s="116"/>
      <c r="S6" s="116"/>
      <c r="T6" s="116"/>
      <c r="U6" s="116"/>
      <c r="V6" s="116"/>
      <c r="W6" s="116"/>
      <c r="X6" s="119"/>
      <c r="Y6" s="116"/>
      <c r="Z6" s="116"/>
      <c r="AA6" s="116"/>
      <c r="AB6" s="116"/>
      <c r="AC6" s="116"/>
      <c r="AD6" s="116"/>
      <c r="AE6" s="116"/>
      <c r="AF6" s="102"/>
    </row>
    <row r="7" spans="1:32" x14ac:dyDescent="0.25">
      <c r="A7" s="120"/>
      <c r="B7" s="121"/>
      <c r="C7" s="121"/>
      <c r="D7" s="121"/>
      <c r="E7" s="121"/>
      <c r="F7" s="121"/>
      <c r="G7" s="122" t="s">
        <v>5</v>
      </c>
      <c r="H7" s="161">
        <v>12</v>
      </c>
      <c r="I7" s="185" t="s">
        <v>11</v>
      </c>
      <c r="J7" s="116"/>
      <c r="K7" s="116"/>
      <c r="L7" s="247"/>
      <c r="M7" s="122" t="s">
        <v>8</v>
      </c>
      <c r="N7" s="161">
        <v>15</v>
      </c>
      <c r="O7" s="123" t="s">
        <v>11</v>
      </c>
      <c r="P7" s="116"/>
      <c r="Q7" s="116"/>
      <c r="R7" s="118"/>
      <c r="S7" s="116"/>
      <c r="T7" s="116"/>
      <c r="U7" s="116"/>
      <c r="V7" s="116"/>
      <c r="W7" s="116"/>
      <c r="X7" s="119"/>
      <c r="Y7" s="116"/>
      <c r="Z7" s="116"/>
      <c r="AA7" s="116"/>
      <c r="AB7" s="116"/>
      <c r="AC7" s="116"/>
      <c r="AD7" s="116"/>
      <c r="AE7" s="116"/>
      <c r="AF7" s="102"/>
    </row>
    <row r="8" spans="1:32" x14ac:dyDescent="0.25">
      <c r="A8" s="124"/>
      <c r="B8" s="119"/>
      <c r="C8" s="119"/>
      <c r="D8" s="119"/>
      <c r="E8" s="119"/>
      <c r="F8" s="119"/>
      <c r="G8" s="125" t="s">
        <v>6</v>
      </c>
      <c r="H8" s="162">
        <v>12</v>
      </c>
      <c r="I8" s="164" t="s">
        <v>11</v>
      </c>
      <c r="J8" s="116"/>
      <c r="K8" s="116"/>
      <c r="L8" s="124"/>
      <c r="M8" s="125" t="s">
        <v>9</v>
      </c>
      <c r="N8" s="162">
        <v>0.1</v>
      </c>
      <c r="O8" s="126" t="s">
        <v>12</v>
      </c>
      <c r="P8" s="116"/>
      <c r="Q8" s="116"/>
      <c r="R8" s="118"/>
      <c r="S8" s="116"/>
      <c r="T8" s="116"/>
      <c r="U8" s="116"/>
      <c r="V8" s="116"/>
      <c r="W8" s="116"/>
      <c r="X8" s="119"/>
      <c r="Y8" s="116"/>
      <c r="Z8" s="116"/>
      <c r="AA8" s="116"/>
      <c r="AB8" s="116"/>
      <c r="AC8" s="116"/>
      <c r="AD8" s="116"/>
      <c r="AE8" s="116"/>
      <c r="AF8" s="102"/>
    </row>
    <row r="9" spans="1:32" ht="18" x14ac:dyDescent="0.35">
      <c r="A9" s="124"/>
      <c r="B9" s="119"/>
      <c r="C9" s="119"/>
      <c r="D9" s="119"/>
      <c r="E9" s="119"/>
      <c r="F9" s="119"/>
      <c r="G9" s="125" t="s">
        <v>7</v>
      </c>
      <c r="H9" s="162">
        <v>12</v>
      </c>
      <c r="I9" s="164" t="s">
        <v>11</v>
      </c>
      <c r="J9" s="116"/>
      <c r="K9" s="116"/>
      <c r="L9" s="124"/>
      <c r="M9" s="133" t="s">
        <v>678</v>
      </c>
      <c r="N9" s="163">
        <f>Variable_Management!B53</f>
        <v>0.99820143884892065</v>
      </c>
      <c r="O9" s="126"/>
      <c r="P9" s="116"/>
      <c r="Q9" s="116"/>
      <c r="R9" s="118"/>
      <c r="S9" s="116"/>
      <c r="T9" s="116"/>
      <c r="U9" s="116"/>
      <c r="V9" s="116"/>
      <c r="W9" s="116"/>
      <c r="X9" s="119"/>
      <c r="Y9" s="116"/>
      <c r="Z9" s="116"/>
      <c r="AA9" s="116"/>
      <c r="AB9" s="116"/>
      <c r="AC9" s="116"/>
      <c r="AD9" s="116"/>
      <c r="AE9" s="116"/>
      <c r="AF9" s="102"/>
    </row>
    <row r="10" spans="1:32" ht="18" x14ac:dyDescent="0.35">
      <c r="A10" s="124"/>
      <c r="B10" s="119"/>
      <c r="C10" s="119"/>
      <c r="D10" s="119"/>
      <c r="E10" s="119"/>
      <c r="F10" s="119"/>
      <c r="G10" s="125" t="s">
        <v>642</v>
      </c>
      <c r="H10" s="164"/>
      <c r="I10" s="164"/>
      <c r="J10" s="116"/>
      <c r="K10" s="116"/>
      <c r="L10" s="124"/>
      <c r="M10" s="133" t="s">
        <v>677</v>
      </c>
      <c r="N10" s="162">
        <v>1</v>
      </c>
      <c r="O10" s="126"/>
      <c r="P10" s="116"/>
      <c r="Q10" s="116"/>
      <c r="R10" s="118"/>
      <c r="S10" s="116"/>
      <c r="T10" s="116"/>
      <c r="U10" s="116"/>
      <c r="V10" s="116"/>
      <c r="W10" s="116"/>
      <c r="X10" s="119"/>
      <c r="Y10" s="116"/>
      <c r="Z10" s="116"/>
      <c r="AA10" s="116"/>
      <c r="AB10" s="116"/>
      <c r="AC10" s="116"/>
      <c r="AD10" s="116"/>
      <c r="AE10" s="116"/>
      <c r="AF10" s="102"/>
    </row>
    <row r="11" spans="1:32" ht="18.75" thickBot="1" x14ac:dyDescent="0.4">
      <c r="A11" s="124"/>
      <c r="B11" s="119"/>
      <c r="C11" s="119"/>
      <c r="D11" s="119"/>
      <c r="E11" s="119"/>
      <c r="F11" s="119"/>
      <c r="G11" s="125"/>
      <c r="H11" s="164"/>
      <c r="I11" s="164"/>
      <c r="J11" s="116"/>
      <c r="K11" s="116"/>
      <c r="L11" s="131"/>
      <c r="M11" s="135" t="s">
        <v>676</v>
      </c>
      <c r="N11" s="260">
        <v>15320</v>
      </c>
      <c r="O11" s="129" t="s">
        <v>81</v>
      </c>
      <c r="P11" s="116"/>
      <c r="Q11" s="116"/>
      <c r="R11" s="118"/>
      <c r="S11" s="116"/>
      <c r="T11" s="116"/>
      <c r="U11" s="116"/>
      <c r="V11" s="116"/>
      <c r="W11" s="116"/>
      <c r="X11" s="119"/>
      <c r="Y11" s="116"/>
      <c r="Z11" s="116"/>
      <c r="AA11" s="116"/>
      <c r="AB11" s="116"/>
      <c r="AC11" s="116"/>
      <c r="AD11" s="116"/>
      <c r="AE11" s="116"/>
      <c r="AF11" s="102"/>
    </row>
    <row r="12" spans="1:32" x14ac:dyDescent="0.25">
      <c r="A12" s="124"/>
      <c r="B12" s="119"/>
      <c r="C12" s="119"/>
      <c r="D12" s="119"/>
      <c r="E12" s="119"/>
      <c r="F12" s="119"/>
      <c r="G12" s="231" t="s">
        <v>513</v>
      </c>
      <c r="H12" s="164"/>
      <c r="I12" s="164"/>
      <c r="J12" s="116"/>
      <c r="K12" s="116"/>
      <c r="L12" s="119"/>
      <c r="M12" s="119"/>
      <c r="N12" s="119"/>
      <c r="O12" s="119"/>
      <c r="P12" s="116"/>
      <c r="Q12" s="116"/>
      <c r="R12" s="118"/>
      <c r="S12" s="116"/>
      <c r="T12" s="116"/>
      <c r="U12" s="116"/>
      <c r="V12" s="116"/>
      <c r="W12" s="116"/>
      <c r="X12" s="119"/>
      <c r="Y12" s="116"/>
      <c r="Z12" s="116"/>
      <c r="AA12" s="116"/>
      <c r="AB12" s="116"/>
      <c r="AC12" s="116"/>
      <c r="AD12" s="116"/>
      <c r="AE12" s="116"/>
      <c r="AF12" s="102"/>
    </row>
    <row r="13" spans="1:32" ht="16.5" thickBot="1" x14ac:dyDescent="0.3">
      <c r="A13" s="124"/>
      <c r="B13" s="119"/>
      <c r="C13" s="119"/>
      <c r="D13" s="119"/>
      <c r="E13" s="119"/>
      <c r="F13" s="119"/>
      <c r="G13" s="125"/>
      <c r="H13" s="192"/>
      <c r="I13" s="164"/>
      <c r="J13" s="116"/>
      <c r="K13" s="116"/>
      <c r="L13" s="119"/>
      <c r="M13" s="236" t="s">
        <v>643</v>
      </c>
      <c r="N13" s="233"/>
      <c r="O13" s="233"/>
      <c r="P13" s="116"/>
      <c r="Q13" s="116"/>
      <c r="R13" s="118"/>
      <c r="S13" s="116"/>
      <c r="T13" s="116"/>
      <c r="U13" s="116"/>
      <c r="V13" s="116"/>
      <c r="W13" s="116"/>
      <c r="X13" s="119"/>
      <c r="Y13" s="116"/>
      <c r="Z13" s="116"/>
      <c r="AA13" s="116"/>
      <c r="AB13" s="116"/>
      <c r="AC13" s="116"/>
      <c r="AD13" s="116"/>
      <c r="AE13" s="116"/>
      <c r="AF13" s="102"/>
    </row>
    <row r="14" spans="1:32" x14ac:dyDescent="0.25">
      <c r="A14" s="124"/>
      <c r="B14" s="119"/>
      <c r="C14" s="119"/>
      <c r="D14" s="119"/>
      <c r="E14" s="119"/>
      <c r="F14" s="119"/>
      <c r="G14" s="125" t="s">
        <v>10</v>
      </c>
      <c r="H14" s="161">
        <v>252.4</v>
      </c>
      <c r="I14" s="185" t="s">
        <v>13</v>
      </c>
      <c r="J14" s="116"/>
      <c r="K14" s="116"/>
      <c r="L14" s="120"/>
      <c r="M14" s="122" t="s">
        <v>640</v>
      </c>
      <c r="N14" s="161">
        <v>-5</v>
      </c>
      <c r="O14" s="123" t="s">
        <v>11</v>
      </c>
      <c r="P14" s="116"/>
      <c r="Q14" s="116"/>
      <c r="R14" s="118"/>
      <c r="S14" s="116"/>
      <c r="T14" s="116"/>
      <c r="U14" s="116"/>
      <c r="V14" s="116"/>
      <c r="W14" s="116"/>
      <c r="X14" s="119"/>
      <c r="Y14" s="116"/>
      <c r="Z14" s="116"/>
      <c r="AA14" s="116"/>
      <c r="AB14" s="116"/>
      <c r="AC14" s="116"/>
      <c r="AD14" s="116"/>
      <c r="AE14" s="116"/>
      <c r="AF14" s="102"/>
    </row>
    <row r="15" spans="1:32" ht="15.75" thickBot="1" x14ac:dyDescent="0.3">
      <c r="A15" s="124"/>
      <c r="B15" s="119"/>
      <c r="C15" s="119"/>
      <c r="D15" s="119"/>
      <c r="E15" s="119"/>
      <c r="F15" s="119"/>
      <c r="G15" s="125" t="s">
        <v>67</v>
      </c>
      <c r="H15" s="166">
        <f>RT/1000</f>
        <v>86.604429477020602</v>
      </c>
      <c r="I15" s="179" t="s">
        <v>68</v>
      </c>
      <c r="J15" s="116"/>
      <c r="K15" s="116"/>
      <c r="L15" s="124"/>
      <c r="M15" s="125" t="s">
        <v>639</v>
      </c>
      <c r="N15" s="162">
        <v>5</v>
      </c>
      <c r="O15" s="126" t="s">
        <v>12</v>
      </c>
      <c r="P15" s="116"/>
      <c r="Q15" s="116"/>
      <c r="R15" s="118"/>
      <c r="S15" s="116"/>
      <c r="T15" s="116"/>
      <c r="U15" s="116"/>
      <c r="V15" s="116"/>
      <c r="W15" s="116"/>
      <c r="X15" s="119"/>
      <c r="Y15" s="116"/>
      <c r="Z15" s="116"/>
      <c r="AA15" s="116"/>
      <c r="AB15" s="116"/>
      <c r="AC15" s="116"/>
      <c r="AD15" s="116"/>
      <c r="AE15" s="116"/>
      <c r="AF15" s="102"/>
    </row>
    <row r="16" spans="1:32" ht="18.75" thickBot="1" x14ac:dyDescent="0.4">
      <c r="A16" s="124"/>
      <c r="B16" s="119"/>
      <c r="C16" s="119"/>
      <c r="D16" s="119"/>
      <c r="E16" s="119"/>
      <c r="F16" s="119"/>
      <c r="G16" s="125"/>
      <c r="H16" s="192"/>
      <c r="I16" s="164"/>
      <c r="J16" s="116"/>
      <c r="K16" s="116"/>
      <c r="L16" s="124"/>
      <c r="M16" s="133" t="s">
        <v>638</v>
      </c>
      <c r="N16" s="163">
        <f>Variable_Management!B63</f>
        <v>0</v>
      </c>
      <c r="O16" s="126"/>
      <c r="P16" s="116"/>
      <c r="Q16" s="116"/>
      <c r="R16" s="118"/>
      <c r="S16" s="116"/>
      <c r="T16" s="116"/>
      <c r="U16" s="116"/>
      <c r="V16" s="116"/>
      <c r="W16" s="116"/>
      <c r="X16" s="119"/>
      <c r="Y16" s="116"/>
      <c r="Z16" s="116"/>
      <c r="AA16" s="116"/>
      <c r="AB16" s="116"/>
      <c r="AC16" s="116"/>
      <c r="AD16" s="116"/>
      <c r="AE16" s="116"/>
      <c r="AF16" s="102"/>
    </row>
    <row r="17" spans="1:32" ht="18" x14ac:dyDescent="0.35">
      <c r="A17" s="124"/>
      <c r="B17" s="119"/>
      <c r="C17" s="119"/>
      <c r="D17" s="119"/>
      <c r="E17" s="119"/>
      <c r="F17" s="119"/>
      <c r="G17" s="133" t="s">
        <v>445</v>
      </c>
      <c r="H17" s="161">
        <v>55.6</v>
      </c>
      <c r="I17" s="185" t="s">
        <v>14</v>
      </c>
      <c r="J17" s="116"/>
      <c r="K17" s="116"/>
      <c r="L17" s="124"/>
      <c r="M17" s="133" t="s">
        <v>641</v>
      </c>
      <c r="N17" s="162">
        <v>1</v>
      </c>
      <c r="O17" s="126"/>
      <c r="P17" s="116"/>
      <c r="Q17" s="116"/>
      <c r="R17" s="118"/>
      <c r="S17" s="116"/>
      <c r="T17" s="116"/>
      <c r="U17" s="116"/>
      <c r="V17" s="116"/>
      <c r="W17" s="116"/>
      <c r="X17" s="119"/>
      <c r="Y17" s="116"/>
      <c r="Z17" s="116"/>
      <c r="AA17" s="116"/>
      <c r="AB17" s="116"/>
      <c r="AC17" s="116"/>
      <c r="AD17" s="116"/>
      <c r="AE17" s="116"/>
      <c r="AF17" s="102"/>
    </row>
    <row r="18" spans="1:32" ht="18" x14ac:dyDescent="0.35">
      <c r="A18" s="124"/>
      <c r="B18" s="119"/>
      <c r="C18" s="119"/>
      <c r="D18" s="119"/>
      <c r="E18" s="119"/>
      <c r="F18" s="119"/>
      <c r="G18" s="133" t="s">
        <v>472</v>
      </c>
      <c r="H18" s="205">
        <f>Variable_Management!B57*100</f>
        <v>55.555555555555557</v>
      </c>
      <c r="I18" s="164" t="s">
        <v>14</v>
      </c>
      <c r="J18" s="116"/>
      <c r="K18" s="116"/>
      <c r="L18" s="124"/>
      <c r="M18" s="133" t="s">
        <v>603</v>
      </c>
      <c r="N18" s="162">
        <v>12</v>
      </c>
      <c r="O18" s="126" t="s">
        <v>81</v>
      </c>
      <c r="P18" s="116"/>
      <c r="Q18" s="116"/>
      <c r="R18" s="118"/>
      <c r="S18" s="116"/>
      <c r="T18" s="116"/>
      <c r="U18" s="116"/>
      <c r="V18" s="116"/>
      <c r="W18" s="116"/>
      <c r="X18" s="119"/>
      <c r="Y18" s="116"/>
      <c r="Z18" s="116"/>
      <c r="AA18" s="116"/>
      <c r="AB18" s="116"/>
      <c r="AC18" s="116"/>
      <c r="AD18" s="116"/>
      <c r="AE18" s="116"/>
      <c r="AF18" s="102"/>
    </row>
    <row r="19" spans="1:32" ht="18.75" thickBot="1" x14ac:dyDescent="0.4">
      <c r="A19" s="131"/>
      <c r="B19" s="128"/>
      <c r="C19" s="128"/>
      <c r="D19" s="128"/>
      <c r="E19" s="128"/>
      <c r="F19" s="128"/>
      <c r="G19" s="132" t="s">
        <v>15</v>
      </c>
      <c r="H19" s="179">
        <f>POUT_Total</f>
        <v>1.5</v>
      </c>
      <c r="I19" s="179" t="s">
        <v>36</v>
      </c>
      <c r="J19" s="116"/>
      <c r="K19" s="116"/>
      <c r="L19" s="131"/>
      <c r="M19" s="135" t="s">
        <v>467</v>
      </c>
      <c r="N19" s="166">
        <f>Variable_Management!B65</f>
        <v>0</v>
      </c>
      <c r="O19" s="129" t="s">
        <v>11</v>
      </c>
      <c r="P19" s="116"/>
      <c r="Q19" s="116"/>
      <c r="R19" s="118"/>
      <c r="S19" s="116"/>
      <c r="T19" s="116"/>
      <c r="U19" s="116"/>
      <c r="V19" s="116"/>
      <c r="W19" s="116"/>
      <c r="X19" s="119"/>
      <c r="Y19" s="116"/>
      <c r="Z19" s="116"/>
      <c r="AA19" s="116"/>
      <c r="AB19" s="116"/>
      <c r="AC19" s="116"/>
      <c r="AD19" s="116"/>
      <c r="AE19" s="116"/>
      <c r="AF19" s="102"/>
    </row>
    <row r="20" spans="1:32" x14ac:dyDescent="0.25">
      <c r="A20" s="116"/>
      <c r="B20" s="116"/>
      <c r="C20" s="116"/>
      <c r="D20" s="116"/>
      <c r="E20" s="116"/>
      <c r="F20" s="116"/>
      <c r="G20" s="117"/>
      <c r="H20" s="116"/>
      <c r="I20" s="116"/>
      <c r="J20" s="116"/>
      <c r="K20" s="116"/>
      <c r="L20" s="119"/>
      <c r="M20" s="119"/>
      <c r="N20" s="119"/>
      <c r="O20" s="119"/>
      <c r="P20" s="116"/>
      <c r="Q20" s="116"/>
      <c r="R20" s="118"/>
      <c r="S20" s="116"/>
      <c r="T20" s="116"/>
      <c r="U20" s="116"/>
      <c r="V20" s="116"/>
      <c r="W20" s="116"/>
      <c r="X20" s="119"/>
      <c r="Y20" s="116"/>
      <c r="Z20" s="116"/>
      <c r="AA20" s="116"/>
      <c r="AB20" s="116"/>
      <c r="AC20" s="116"/>
      <c r="AD20" s="116"/>
      <c r="AE20" s="116"/>
      <c r="AF20" s="102"/>
    </row>
    <row r="21" spans="1:32" ht="19.5" thickBot="1" x14ac:dyDescent="0.35">
      <c r="A21" s="250" t="s">
        <v>438</v>
      </c>
      <c r="B21" s="130"/>
      <c r="C21" s="130"/>
      <c r="D21" s="130"/>
      <c r="E21" s="127"/>
      <c r="F21" s="116"/>
      <c r="G21" s="117"/>
      <c r="H21" s="119"/>
      <c r="I21" s="116"/>
      <c r="J21" s="116"/>
      <c r="K21" s="116"/>
      <c r="L21" s="119"/>
      <c r="M21" s="236" t="s">
        <v>645</v>
      </c>
      <c r="N21" s="142"/>
      <c r="O21" s="119"/>
      <c r="P21" s="116"/>
      <c r="Q21" s="116"/>
      <c r="R21" s="118"/>
      <c r="S21" s="116"/>
      <c r="T21" s="116"/>
      <c r="U21" s="116"/>
      <c r="V21" s="116"/>
      <c r="W21" s="116"/>
      <c r="X21" s="119"/>
      <c r="Y21" s="116"/>
      <c r="Z21" s="116"/>
      <c r="AA21" s="116"/>
      <c r="AB21" s="116"/>
      <c r="AC21" s="116"/>
      <c r="AD21" s="116"/>
      <c r="AE21" s="116"/>
      <c r="AF21" s="102"/>
    </row>
    <row r="22" spans="1:32" x14ac:dyDescent="0.25">
      <c r="A22" s="235"/>
      <c r="B22" s="204"/>
      <c r="C22" s="204"/>
      <c r="D22" s="204"/>
      <c r="E22" s="204"/>
      <c r="F22" s="121"/>
      <c r="G22" s="122" t="s">
        <v>412</v>
      </c>
      <c r="H22" s="161">
        <v>60</v>
      </c>
      <c r="I22" s="123" t="s">
        <v>14</v>
      </c>
      <c r="J22" s="119"/>
      <c r="K22" s="116"/>
      <c r="L22" s="120"/>
      <c r="M22" s="122" t="s">
        <v>8</v>
      </c>
      <c r="N22" s="161">
        <v>-7</v>
      </c>
      <c r="O22" s="123" t="s">
        <v>11</v>
      </c>
      <c r="P22" s="116"/>
      <c r="Q22" s="116"/>
      <c r="R22" s="118"/>
      <c r="S22" s="116"/>
      <c r="T22" s="116"/>
      <c r="U22" s="116"/>
      <c r="V22" s="116"/>
      <c r="W22" s="116"/>
      <c r="X22" s="119"/>
      <c r="Y22" s="116"/>
      <c r="Z22" s="116"/>
      <c r="AA22" s="116"/>
      <c r="AB22" s="116"/>
      <c r="AC22" s="116"/>
      <c r="AD22" s="116"/>
      <c r="AE22" s="116"/>
      <c r="AF22" s="102"/>
    </row>
    <row r="23" spans="1:32" x14ac:dyDescent="0.25">
      <c r="A23" s="124"/>
      <c r="B23" s="119"/>
      <c r="C23" s="119"/>
      <c r="D23" s="119"/>
      <c r="E23" s="119"/>
      <c r="F23" s="119"/>
      <c r="G23" s="125" t="s">
        <v>439</v>
      </c>
      <c r="H23" s="206">
        <f>Variable_Management!B75*(10^6)</f>
        <v>195.65259924478102</v>
      </c>
      <c r="I23" s="126" t="s">
        <v>79</v>
      </c>
      <c r="J23" s="119"/>
      <c r="K23" s="116"/>
      <c r="L23" s="124"/>
      <c r="M23" s="125" t="s">
        <v>9</v>
      </c>
      <c r="N23" s="162">
        <v>1</v>
      </c>
      <c r="O23" s="126" t="s">
        <v>12</v>
      </c>
      <c r="P23" s="116"/>
      <c r="Q23" s="116"/>
      <c r="R23" s="118"/>
      <c r="S23" s="116"/>
      <c r="T23" s="116"/>
      <c r="U23" s="116"/>
      <c r="V23" s="116"/>
      <c r="W23" s="116"/>
      <c r="X23" s="119"/>
      <c r="Y23" s="116"/>
      <c r="Z23" s="116"/>
      <c r="AA23" s="116"/>
      <c r="AB23" s="116"/>
      <c r="AC23" s="116"/>
      <c r="AD23" s="116"/>
      <c r="AE23" s="116"/>
      <c r="AF23" s="102"/>
    </row>
    <row r="24" spans="1:32" ht="18" x14ac:dyDescent="0.35">
      <c r="A24" s="124"/>
      <c r="B24" s="119"/>
      <c r="C24" s="119"/>
      <c r="D24" s="119"/>
      <c r="E24" s="119"/>
      <c r="F24" s="119"/>
      <c r="G24" s="125" t="s">
        <v>440</v>
      </c>
      <c r="H24" s="162">
        <v>180</v>
      </c>
      <c r="I24" s="126" t="s">
        <v>79</v>
      </c>
      <c r="J24" s="119"/>
      <c r="K24" s="116"/>
      <c r="L24" s="124"/>
      <c r="M24" s="133" t="s">
        <v>461</v>
      </c>
      <c r="N24" s="163">
        <f>Variable_Management!B68</f>
        <v>0</v>
      </c>
      <c r="O24" s="126"/>
      <c r="P24" s="116"/>
      <c r="Q24" s="116"/>
      <c r="R24" s="118"/>
      <c r="S24" s="116"/>
      <c r="T24" s="116"/>
      <c r="U24" s="116"/>
      <c r="V24" s="116"/>
      <c r="W24" s="116"/>
      <c r="X24" s="119"/>
      <c r="Y24" s="116"/>
      <c r="Z24" s="116"/>
      <c r="AA24" s="116"/>
      <c r="AB24" s="116"/>
      <c r="AC24" s="116"/>
      <c r="AD24" s="116"/>
      <c r="AE24" s="116"/>
      <c r="AF24" s="102"/>
    </row>
    <row r="25" spans="1:32" ht="18" x14ac:dyDescent="0.35">
      <c r="A25" s="124"/>
      <c r="B25" s="119"/>
      <c r="C25" s="119"/>
      <c r="D25" s="119"/>
      <c r="E25" s="119"/>
      <c r="F25" s="119"/>
      <c r="G25" s="125" t="s">
        <v>697</v>
      </c>
      <c r="H25" s="259">
        <v>15320</v>
      </c>
      <c r="I25" s="126" t="s">
        <v>81</v>
      </c>
      <c r="J25" s="119"/>
      <c r="K25" s="116"/>
      <c r="L25" s="124"/>
      <c r="M25" s="133" t="s">
        <v>462</v>
      </c>
      <c r="N25" s="162">
        <v>0.42</v>
      </c>
      <c r="O25" s="126"/>
      <c r="P25" s="116"/>
      <c r="Q25" s="116"/>
      <c r="R25" s="118"/>
      <c r="S25" s="116"/>
      <c r="T25" s="116"/>
      <c r="U25" s="116"/>
      <c r="V25" s="116"/>
      <c r="W25" s="116"/>
      <c r="X25" s="119"/>
      <c r="Y25" s="116"/>
      <c r="Z25" s="116"/>
      <c r="AA25" s="116"/>
      <c r="AB25" s="116"/>
      <c r="AC25" s="116"/>
      <c r="AD25" s="116"/>
      <c r="AE25" s="116"/>
      <c r="AF25" s="102"/>
    </row>
    <row r="26" spans="1:32" ht="15.75" thickBot="1" x14ac:dyDescent="0.3">
      <c r="A26" s="131"/>
      <c r="B26" s="128"/>
      <c r="C26" s="128"/>
      <c r="D26" s="128"/>
      <c r="E26" s="128"/>
      <c r="F26" s="128"/>
      <c r="G26" s="132" t="s">
        <v>672</v>
      </c>
      <c r="H26" s="207">
        <f>ILp_VINmin</f>
        <v>0.29836972471679285</v>
      </c>
      <c r="I26" s="129" t="s">
        <v>12</v>
      </c>
      <c r="J26" s="119"/>
      <c r="K26" s="116"/>
      <c r="L26" s="124"/>
      <c r="M26" s="133" t="s">
        <v>603</v>
      </c>
      <c r="N26" s="162">
        <v>100</v>
      </c>
      <c r="O26" s="126" t="s">
        <v>81</v>
      </c>
      <c r="P26" s="116"/>
      <c r="Q26" s="116"/>
      <c r="R26" s="118"/>
      <c r="S26" s="116"/>
      <c r="T26" s="116"/>
      <c r="U26" s="116"/>
      <c r="V26" s="116"/>
      <c r="W26" s="116"/>
      <c r="X26" s="119"/>
      <c r="Y26" s="116"/>
      <c r="Z26" s="116"/>
      <c r="AA26" s="116"/>
      <c r="AB26" s="116"/>
      <c r="AC26" s="116"/>
      <c r="AD26" s="116"/>
      <c r="AE26" s="116"/>
      <c r="AF26" s="102"/>
    </row>
    <row r="27" spans="1:32" ht="18.75" thickBot="1" x14ac:dyDescent="0.4">
      <c r="A27" s="119"/>
      <c r="B27" s="119"/>
      <c r="C27" s="119"/>
      <c r="D27" s="116"/>
      <c r="E27" s="116"/>
      <c r="F27" s="116"/>
      <c r="G27" s="117"/>
      <c r="H27" s="116"/>
      <c r="I27" s="116"/>
      <c r="J27" s="116"/>
      <c r="K27" s="116"/>
      <c r="L27" s="131"/>
      <c r="M27" s="135" t="s">
        <v>467</v>
      </c>
      <c r="N27" s="166">
        <f>Variable_Management!B70</f>
        <v>0</v>
      </c>
      <c r="O27" s="129" t="s">
        <v>11</v>
      </c>
      <c r="P27" s="116"/>
      <c r="Q27" s="116"/>
      <c r="R27" s="118"/>
      <c r="S27" s="116"/>
      <c r="T27" s="116"/>
      <c r="U27" s="116"/>
      <c r="V27" s="116"/>
      <c r="W27" s="116"/>
      <c r="X27" s="119"/>
      <c r="Y27" s="116"/>
      <c r="Z27" s="116"/>
      <c r="AA27" s="116"/>
      <c r="AB27" s="116"/>
      <c r="AC27" s="116"/>
      <c r="AD27" s="116"/>
      <c r="AE27" s="116"/>
      <c r="AF27" s="102"/>
    </row>
    <row r="28" spans="1:32" x14ac:dyDescent="0.25">
      <c r="A28" s="119"/>
      <c r="B28" s="119"/>
      <c r="C28" s="119"/>
      <c r="D28" s="116"/>
      <c r="E28" s="116"/>
      <c r="F28" s="116"/>
      <c r="G28" s="117"/>
      <c r="H28" s="116"/>
      <c r="I28" s="116"/>
      <c r="J28" s="116"/>
      <c r="K28" s="116"/>
      <c r="L28" s="119"/>
      <c r="M28" s="133"/>
      <c r="N28" s="184"/>
      <c r="O28" s="119"/>
      <c r="P28" s="116"/>
      <c r="Q28" s="116"/>
      <c r="R28" s="118"/>
      <c r="S28" s="116"/>
      <c r="T28" s="116"/>
      <c r="U28" s="116"/>
      <c r="V28" s="116"/>
      <c r="W28" s="116"/>
      <c r="X28" s="119"/>
      <c r="Y28" s="116"/>
      <c r="Z28" s="116"/>
      <c r="AA28" s="116"/>
      <c r="AB28" s="116"/>
      <c r="AC28" s="116"/>
      <c r="AD28" s="116"/>
      <c r="AE28" s="116"/>
      <c r="AF28" s="102"/>
    </row>
    <row r="29" spans="1:32" ht="19.5" thickBot="1" x14ac:dyDescent="0.35">
      <c r="A29" s="250" t="s">
        <v>97</v>
      </c>
      <c r="B29" s="119"/>
      <c r="C29" s="119"/>
      <c r="D29" s="116"/>
      <c r="E29" s="116"/>
      <c r="F29" s="116"/>
      <c r="G29" s="117"/>
      <c r="H29" s="116"/>
      <c r="I29" s="116"/>
      <c r="J29" s="116"/>
      <c r="K29" s="116"/>
      <c r="L29" s="116"/>
      <c r="M29" s="116"/>
      <c r="N29" s="116"/>
      <c r="O29" s="116"/>
      <c r="P29" s="116"/>
      <c r="Q29" s="116"/>
      <c r="R29" s="118"/>
      <c r="S29" s="116"/>
      <c r="T29" s="116"/>
      <c r="U29" s="116"/>
      <c r="V29" s="116"/>
      <c r="W29" s="116"/>
      <c r="X29" s="119"/>
      <c r="Y29" s="116"/>
      <c r="Z29" s="116"/>
      <c r="AA29" s="116"/>
      <c r="AB29" s="116"/>
      <c r="AC29" s="116"/>
      <c r="AD29" s="116"/>
      <c r="AE29" s="116"/>
      <c r="AF29" s="102"/>
    </row>
    <row r="30" spans="1:32" x14ac:dyDescent="0.25">
      <c r="A30" s="120"/>
      <c r="B30" s="121"/>
      <c r="C30" s="121"/>
      <c r="D30" s="121"/>
      <c r="E30" s="121"/>
      <c r="F30" s="121"/>
      <c r="G30" s="257" t="s">
        <v>413</v>
      </c>
      <c r="H30" s="161">
        <v>30</v>
      </c>
      <c r="I30" s="123" t="s">
        <v>14</v>
      </c>
      <c r="J30" s="116"/>
      <c r="K30" s="116"/>
      <c r="L30" s="116"/>
      <c r="M30" s="116"/>
      <c r="N30" s="116"/>
      <c r="O30" s="116"/>
      <c r="P30" s="116"/>
      <c r="Q30" s="116"/>
      <c r="R30" s="116"/>
      <c r="S30" s="116"/>
      <c r="T30" s="116"/>
      <c r="U30" s="116"/>
      <c r="V30" s="116"/>
      <c r="W30" s="116"/>
      <c r="X30" s="119"/>
      <c r="Y30" s="116"/>
      <c r="Z30" s="116"/>
      <c r="AA30" s="116"/>
      <c r="AB30" s="116"/>
      <c r="AC30" s="116"/>
      <c r="AD30" s="116"/>
      <c r="AE30" s="116"/>
      <c r="AF30" s="102"/>
    </row>
    <row r="31" spans="1:32" ht="18" x14ac:dyDescent="0.35">
      <c r="A31" s="124"/>
      <c r="B31" s="119"/>
      <c r="C31" s="119"/>
      <c r="D31" s="119"/>
      <c r="E31" s="119"/>
      <c r="F31" s="119"/>
      <c r="G31" s="133" t="s">
        <v>158</v>
      </c>
      <c r="H31" s="163">
        <f>Ipk_selected</f>
        <v>0.38788064213183071</v>
      </c>
      <c r="I31" s="126" t="s">
        <v>12</v>
      </c>
      <c r="J31" s="119"/>
      <c r="K31" s="116"/>
      <c r="L31" s="119"/>
      <c r="M31" s="116"/>
      <c r="N31" s="116"/>
      <c r="O31" s="116"/>
      <c r="P31" s="116"/>
      <c r="Q31" s="116"/>
      <c r="R31" s="116"/>
      <c r="S31" s="116"/>
      <c r="T31" s="116"/>
      <c r="U31" s="116"/>
      <c r="V31" s="116"/>
      <c r="W31" s="116"/>
      <c r="X31" s="116"/>
      <c r="Y31" s="116"/>
      <c r="Z31" s="116"/>
      <c r="AA31" s="116"/>
      <c r="AB31" s="116"/>
      <c r="AC31" s="119"/>
      <c r="AD31" s="116"/>
      <c r="AE31" s="116"/>
      <c r="AF31" s="102"/>
    </row>
    <row r="32" spans="1:32" ht="18" x14ac:dyDescent="0.35">
      <c r="A32" s="124"/>
      <c r="B32" s="119"/>
      <c r="C32" s="119"/>
      <c r="D32" s="119"/>
      <c r="E32" s="119"/>
      <c r="F32" s="119"/>
      <c r="G32" s="133" t="s">
        <v>417</v>
      </c>
      <c r="H32" s="163">
        <f>Variable_Management!B106*1000</f>
        <v>226.0454016591855</v>
      </c>
      <c r="I32" s="126" t="s">
        <v>81</v>
      </c>
      <c r="J32" s="119"/>
      <c r="K32" s="119"/>
      <c r="L32" s="119"/>
      <c r="M32" s="133"/>
      <c r="N32" s="227"/>
      <c r="O32" s="119"/>
      <c r="P32" s="119"/>
      <c r="Q32" s="116"/>
      <c r="R32" s="116"/>
      <c r="S32" s="116"/>
      <c r="T32" s="116"/>
      <c r="U32" s="116"/>
      <c r="V32" s="116"/>
      <c r="W32" s="116"/>
      <c r="X32" s="116"/>
      <c r="Y32" s="116"/>
      <c r="Z32" s="116"/>
      <c r="AA32" s="116"/>
      <c r="AB32" s="116"/>
      <c r="AC32" s="116"/>
      <c r="AD32" s="116"/>
      <c r="AE32" s="116"/>
      <c r="AF32" s="102"/>
    </row>
    <row r="33" spans="1:32" ht="18" x14ac:dyDescent="0.35">
      <c r="A33" s="124"/>
      <c r="B33" s="119"/>
      <c r="C33" s="119"/>
      <c r="D33" s="119"/>
      <c r="E33" s="119"/>
      <c r="F33" s="119"/>
      <c r="G33" s="133" t="s">
        <v>130</v>
      </c>
      <c r="H33" s="165">
        <f>Variable_Management!B107</f>
        <v>739.28186720925237</v>
      </c>
      <c r="I33" s="134" t="s">
        <v>35</v>
      </c>
      <c r="J33" s="119"/>
      <c r="K33" s="119"/>
      <c r="L33" s="119"/>
      <c r="M33" s="116"/>
      <c r="N33" s="116"/>
      <c r="O33" s="116"/>
      <c r="P33" s="116"/>
      <c r="Q33" s="116"/>
      <c r="R33" s="116"/>
      <c r="S33" s="116"/>
      <c r="T33" s="116"/>
      <c r="U33" s="116"/>
      <c r="V33" s="116"/>
      <c r="W33" s="116"/>
      <c r="X33" s="119"/>
      <c r="Y33" s="116"/>
      <c r="Z33" s="116"/>
      <c r="AA33" s="116"/>
      <c r="AB33" s="116"/>
      <c r="AC33" s="116"/>
      <c r="AD33" s="116"/>
      <c r="AE33" s="116"/>
      <c r="AF33" s="102"/>
    </row>
    <row r="34" spans="1:32" ht="18" x14ac:dyDescent="0.35">
      <c r="A34" s="124"/>
      <c r="B34" s="119"/>
      <c r="C34" s="119"/>
      <c r="D34" s="119"/>
      <c r="E34" s="119"/>
      <c r="F34" s="119"/>
      <c r="G34" s="133" t="s">
        <v>418</v>
      </c>
      <c r="H34" s="162">
        <v>20</v>
      </c>
      <c r="I34" s="126" t="s">
        <v>81</v>
      </c>
      <c r="J34" s="119"/>
      <c r="K34" s="119"/>
      <c r="L34" s="119"/>
      <c r="M34" s="116"/>
      <c r="N34" s="116"/>
      <c r="O34" s="116"/>
      <c r="P34" s="116"/>
      <c r="Q34" s="116"/>
      <c r="R34" s="116"/>
      <c r="S34" s="116"/>
      <c r="T34" s="116"/>
      <c r="U34" s="116"/>
      <c r="V34" s="116"/>
      <c r="W34" s="116"/>
      <c r="X34" s="119"/>
      <c r="Y34" s="116"/>
      <c r="Z34" s="116"/>
      <c r="AA34" s="116"/>
      <c r="AB34" s="116"/>
      <c r="AC34" s="116"/>
      <c r="AD34" s="116"/>
      <c r="AE34" s="116"/>
      <c r="AF34" s="102"/>
    </row>
    <row r="35" spans="1:32" ht="18" x14ac:dyDescent="0.35">
      <c r="A35" s="124"/>
      <c r="B35" s="119"/>
      <c r="C35" s="119"/>
      <c r="D35" s="119"/>
      <c r="E35" s="119"/>
      <c r="F35" s="119"/>
      <c r="G35" s="133" t="s">
        <v>133</v>
      </c>
      <c r="H35" s="162">
        <v>0</v>
      </c>
      <c r="I35" s="134" t="s">
        <v>35</v>
      </c>
      <c r="J35" s="119"/>
      <c r="K35" s="119"/>
      <c r="L35" s="119"/>
      <c r="M35" s="116"/>
      <c r="N35" s="116"/>
      <c r="O35" s="116"/>
      <c r="P35" s="116"/>
      <c r="Q35" s="116"/>
      <c r="R35" s="116"/>
      <c r="S35" s="116"/>
      <c r="T35" s="116"/>
      <c r="U35" s="116"/>
      <c r="V35" s="116"/>
      <c r="W35" s="116"/>
      <c r="X35" s="119"/>
      <c r="Y35" s="116"/>
      <c r="Z35" s="116"/>
      <c r="AA35" s="116"/>
      <c r="AB35" s="116"/>
      <c r="AC35" s="116"/>
      <c r="AD35" s="116"/>
      <c r="AE35" s="116"/>
      <c r="AF35" s="102"/>
    </row>
    <row r="36" spans="1:32" ht="15.75" thickBot="1" x14ac:dyDescent="0.3">
      <c r="A36" s="131"/>
      <c r="B36" s="128"/>
      <c r="C36" s="128"/>
      <c r="D36" s="128"/>
      <c r="E36" s="128"/>
      <c r="F36" s="128"/>
      <c r="G36" s="135" t="s">
        <v>137</v>
      </c>
      <c r="H36" s="166">
        <f>IL_pk_max</f>
        <v>5</v>
      </c>
      <c r="I36" s="136" t="s">
        <v>12</v>
      </c>
      <c r="J36" s="119"/>
      <c r="K36" s="119"/>
      <c r="L36" s="119"/>
      <c r="M36" s="116"/>
      <c r="N36" s="116"/>
      <c r="O36" s="116"/>
      <c r="P36" s="116"/>
      <c r="Q36" s="116"/>
      <c r="R36" s="116"/>
      <c r="S36" s="116"/>
      <c r="T36" s="116"/>
      <c r="U36" s="116"/>
      <c r="V36" s="116"/>
      <c r="W36" s="116"/>
      <c r="X36" s="119"/>
      <c r="Y36" s="116"/>
      <c r="Z36" s="116"/>
      <c r="AA36" s="116"/>
      <c r="AB36" s="116"/>
      <c r="AC36" s="116"/>
      <c r="AD36" s="116"/>
      <c r="AE36" s="116"/>
      <c r="AF36" s="102"/>
    </row>
    <row r="37" spans="1:32" x14ac:dyDescent="0.25">
      <c r="A37" s="119"/>
      <c r="B37" s="119"/>
      <c r="C37" s="119"/>
      <c r="D37" s="119"/>
      <c r="E37" s="119"/>
      <c r="F37" s="119"/>
      <c r="G37" s="133"/>
      <c r="H37" s="184"/>
      <c r="I37" s="228"/>
      <c r="J37" s="228"/>
      <c r="K37" s="116"/>
      <c r="L37" s="116"/>
      <c r="M37" s="116"/>
      <c r="N37" s="116"/>
      <c r="O37" s="116"/>
      <c r="P37" s="116"/>
      <c r="Q37" s="116"/>
      <c r="R37" s="116"/>
      <c r="S37" s="116"/>
      <c r="T37" s="116"/>
      <c r="U37" s="116"/>
      <c r="V37" s="116"/>
      <c r="W37" s="116"/>
      <c r="X37" s="119"/>
      <c r="Y37" s="116"/>
      <c r="Z37" s="116"/>
      <c r="AA37" s="116"/>
      <c r="AB37" s="116"/>
      <c r="AC37" s="116"/>
      <c r="AD37" s="116"/>
      <c r="AE37" s="116"/>
      <c r="AF37" s="102"/>
    </row>
    <row r="38" spans="1:32" ht="18.75" x14ac:dyDescent="0.3">
      <c r="A38" s="250" t="s">
        <v>146</v>
      </c>
      <c r="B38" s="119"/>
      <c r="C38" s="119"/>
      <c r="D38" s="119"/>
      <c r="E38" s="116"/>
      <c r="F38" s="116"/>
      <c r="G38" s="116"/>
      <c r="H38" s="116"/>
      <c r="I38" s="116"/>
      <c r="J38" s="116"/>
      <c r="K38" s="116"/>
      <c r="L38" s="116"/>
      <c r="M38" s="116"/>
      <c r="N38" s="116"/>
      <c r="O38" s="116"/>
      <c r="P38" s="116"/>
      <c r="Q38" s="116"/>
      <c r="R38" s="116"/>
      <c r="S38" s="116"/>
      <c r="T38" s="116"/>
      <c r="U38" s="116"/>
      <c r="V38" s="116"/>
      <c r="W38" s="116"/>
      <c r="X38" s="119"/>
      <c r="Y38" s="116"/>
      <c r="Z38" s="116"/>
      <c r="AA38" s="116"/>
      <c r="AB38" s="116"/>
      <c r="AC38" s="116"/>
      <c r="AD38" s="116"/>
      <c r="AE38" s="116"/>
      <c r="AF38" s="102"/>
    </row>
    <row r="39" spans="1:32" ht="15.75" thickBot="1" x14ac:dyDescent="0.3">
      <c r="A39" s="119"/>
      <c r="B39" s="119"/>
      <c r="C39" s="119"/>
      <c r="D39" s="119"/>
      <c r="E39" s="116"/>
      <c r="F39" s="119"/>
      <c r="G39" s="119"/>
      <c r="H39" s="240" t="s">
        <v>644</v>
      </c>
      <c r="I39" s="119"/>
      <c r="J39" s="116"/>
      <c r="K39" s="116"/>
      <c r="L39" s="232"/>
      <c r="M39" s="232"/>
      <c r="N39" s="240" t="s">
        <v>671</v>
      </c>
      <c r="O39" s="233"/>
      <c r="P39" s="234"/>
      <c r="Q39" s="116"/>
      <c r="R39" s="116"/>
      <c r="S39" s="119"/>
      <c r="T39" s="119"/>
      <c r="U39" s="119"/>
      <c r="V39" s="240" t="s">
        <v>679</v>
      </c>
      <c r="W39" s="119"/>
      <c r="X39" s="119"/>
      <c r="Y39" s="116"/>
      <c r="Z39" s="116"/>
      <c r="AA39" s="116"/>
      <c r="AB39" s="116"/>
      <c r="AC39" s="116"/>
      <c r="AD39" s="116"/>
      <c r="AE39" s="116"/>
      <c r="AF39" s="102"/>
    </row>
    <row r="40" spans="1:32" ht="18" x14ac:dyDescent="0.35">
      <c r="A40" s="120"/>
      <c r="B40" s="121"/>
      <c r="C40" s="121"/>
      <c r="D40" s="121"/>
      <c r="E40" s="121"/>
      <c r="F40" s="121"/>
      <c r="G40" s="137" t="s">
        <v>590</v>
      </c>
      <c r="H40" s="161">
        <v>100</v>
      </c>
      <c r="I40" s="123" t="s">
        <v>147</v>
      </c>
      <c r="J40" s="116"/>
      <c r="K40" s="119"/>
      <c r="L40" s="120"/>
      <c r="M40" s="137" t="s">
        <v>590</v>
      </c>
      <c r="N40" s="161">
        <v>100</v>
      </c>
      <c r="O40" s="123" t="s">
        <v>147</v>
      </c>
      <c r="P40" s="116"/>
      <c r="Q40" s="119"/>
      <c r="R40" s="120"/>
      <c r="S40" s="121"/>
      <c r="T40" s="121"/>
      <c r="U40" s="137" t="s">
        <v>590</v>
      </c>
      <c r="V40" s="161">
        <v>700</v>
      </c>
      <c r="W40" s="123" t="s">
        <v>147</v>
      </c>
      <c r="X40" s="119"/>
      <c r="Y40" s="116"/>
      <c r="Z40" s="116"/>
      <c r="AA40" s="116"/>
      <c r="AB40" s="116"/>
      <c r="AC40" s="116"/>
      <c r="AD40" s="116"/>
      <c r="AE40" s="116"/>
      <c r="AF40" s="102"/>
    </row>
    <row r="41" spans="1:32" x14ac:dyDescent="0.25">
      <c r="A41" s="124"/>
      <c r="B41" s="119"/>
      <c r="C41" s="119"/>
      <c r="D41" s="119"/>
      <c r="E41" s="119"/>
      <c r="F41" s="119"/>
      <c r="G41" s="133" t="s">
        <v>680</v>
      </c>
      <c r="H41" s="165">
        <f>Cout1_min*10^6</f>
        <v>8.4375</v>
      </c>
      <c r="I41" s="126" t="s">
        <v>148</v>
      </c>
      <c r="J41" s="116"/>
      <c r="K41" s="119"/>
      <c r="L41" s="124"/>
      <c r="M41" s="133" t="s">
        <v>681</v>
      </c>
      <c r="N41" s="165">
        <f>Cout2_min*(10^6)</f>
        <v>0</v>
      </c>
      <c r="O41" s="126" t="s">
        <v>148</v>
      </c>
      <c r="P41" s="116"/>
      <c r="Q41" s="119"/>
      <c r="R41" s="124"/>
      <c r="S41" s="119"/>
      <c r="T41" s="119"/>
      <c r="U41" s="133" t="s">
        <v>682</v>
      </c>
      <c r="V41" s="165">
        <f>Cout3_min*(10^6)</f>
        <v>0</v>
      </c>
      <c r="W41" s="126" t="s">
        <v>148</v>
      </c>
      <c r="X41" s="119"/>
      <c r="Y41" s="116"/>
      <c r="Z41" s="116"/>
      <c r="AA41" s="116"/>
      <c r="AB41" s="116"/>
      <c r="AC41" s="116"/>
      <c r="AD41" s="116"/>
      <c r="AE41" s="116"/>
      <c r="AF41" s="102"/>
    </row>
    <row r="42" spans="1:32" ht="18" x14ac:dyDescent="0.35">
      <c r="A42" s="124"/>
      <c r="B42" s="119"/>
      <c r="C42" s="119"/>
      <c r="D42" s="239"/>
      <c r="E42" s="119"/>
      <c r="F42" s="119"/>
      <c r="G42" s="133" t="s">
        <v>149</v>
      </c>
      <c r="H42" s="162">
        <v>540</v>
      </c>
      <c r="I42" s="126" t="s">
        <v>148</v>
      </c>
      <c r="J42" s="116"/>
      <c r="K42" s="119"/>
      <c r="L42" s="124"/>
      <c r="M42" s="133" t="s">
        <v>149</v>
      </c>
      <c r="N42" s="162">
        <v>2</v>
      </c>
      <c r="O42" s="126" t="s">
        <v>148</v>
      </c>
      <c r="P42" s="116"/>
      <c r="Q42" s="119"/>
      <c r="R42" s="124"/>
      <c r="S42" s="119"/>
      <c r="T42" s="119"/>
      <c r="U42" s="133" t="s">
        <v>149</v>
      </c>
      <c r="V42" s="162">
        <v>100</v>
      </c>
      <c r="W42" s="126" t="s">
        <v>148</v>
      </c>
      <c r="X42" s="119"/>
      <c r="Y42" s="116"/>
      <c r="Z42" s="116"/>
      <c r="AA42" s="116"/>
      <c r="AB42" s="116"/>
      <c r="AC42" s="116"/>
      <c r="AD42" s="116"/>
      <c r="AE42" s="116"/>
      <c r="AF42" s="102"/>
    </row>
    <row r="43" spans="1:32" ht="18.75" thickBot="1" x14ac:dyDescent="0.4">
      <c r="A43" s="131"/>
      <c r="B43" s="128"/>
      <c r="C43" s="128"/>
      <c r="D43" s="128"/>
      <c r="E43" s="128"/>
      <c r="F43" s="128"/>
      <c r="G43" s="135" t="s">
        <v>155</v>
      </c>
      <c r="H43" s="167">
        <v>2</v>
      </c>
      <c r="I43" s="129" t="s">
        <v>81</v>
      </c>
      <c r="J43" s="116"/>
      <c r="K43" s="119"/>
      <c r="L43" s="131"/>
      <c r="M43" s="135" t="s">
        <v>155</v>
      </c>
      <c r="N43" s="167">
        <v>1</v>
      </c>
      <c r="O43" s="129" t="s">
        <v>81</v>
      </c>
      <c r="P43" s="116"/>
      <c r="Q43" s="119"/>
      <c r="R43" s="131"/>
      <c r="S43" s="128"/>
      <c r="T43" s="128"/>
      <c r="U43" s="135" t="s">
        <v>155</v>
      </c>
      <c r="V43" s="167">
        <v>2</v>
      </c>
      <c r="W43" s="129" t="s">
        <v>81</v>
      </c>
      <c r="X43" s="119"/>
      <c r="Y43" s="116"/>
      <c r="Z43" s="116"/>
      <c r="AA43" s="116"/>
      <c r="AB43" s="116"/>
      <c r="AC43" s="116"/>
      <c r="AD43" s="116"/>
      <c r="AE43" s="116"/>
      <c r="AF43" s="102"/>
    </row>
    <row r="44" spans="1:32" x14ac:dyDescent="0.25">
      <c r="A44" s="119"/>
      <c r="B44" s="119"/>
      <c r="C44" s="119"/>
      <c r="D44" s="119"/>
      <c r="E44" s="119"/>
      <c r="F44" s="119"/>
      <c r="G44" s="133"/>
      <c r="H44" s="184"/>
      <c r="I44" s="228"/>
      <c r="J44" s="228"/>
      <c r="K44" s="116"/>
      <c r="L44" s="116"/>
      <c r="M44" s="116"/>
      <c r="N44" s="116"/>
      <c r="O44" s="116"/>
      <c r="P44" s="116"/>
      <c r="Q44" s="116"/>
      <c r="R44" s="116"/>
      <c r="S44" s="116"/>
      <c r="T44" s="116"/>
      <c r="U44" s="116"/>
      <c r="V44" s="116"/>
      <c r="W44" s="116"/>
      <c r="X44" s="119"/>
      <c r="Y44" s="116"/>
      <c r="Z44" s="116"/>
      <c r="AA44" s="116"/>
      <c r="AB44" s="116"/>
      <c r="AC44" s="116"/>
      <c r="AD44" s="116"/>
      <c r="AE44" s="116"/>
      <c r="AF44" s="102"/>
    </row>
    <row r="45" spans="1:32" x14ac:dyDescent="0.25">
      <c r="A45" s="116"/>
      <c r="B45" s="116"/>
      <c r="C45" s="116"/>
      <c r="D45" s="116"/>
      <c r="E45" s="116"/>
      <c r="F45" s="116"/>
      <c r="G45" s="116"/>
      <c r="H45" s="116"/>
      <c r="I45" s="116"/>
      <c r="J45" s="228"/>
      <c r="K45" s="116"/>
      <c r="L45" s="116"/>
      <c r="M45" s="116"/>
      <c r="N45" s="116"/>
      <c r="O45" s="116"/>
      <c r="P45" s="116"/>
      <c r="Q45" s="116"/>
      <c r="R45" s="116"/>
      <c r="S45" s="116"/>
      <c r="T45" s="116"/>
      <c r="U45" s="116"/>
      <c r="V45" s="116"/>
      <c r="W45" s="116"/>
      <c r="X45" s="119"/>
      <c r="Y45" s="116"/>
      <c r="Z45" s="116"/>
      <c r="AA45" s="116"/>
      <c r="AB45" s="116"/>
      <c r="AC45" s="116"/>
      <c r="AD45" s="116"/>
      <c r="AE45" s="116"/>
      <c r="AF45" s="102"/>
    </row>
    <row r="46" spans="1:32" ht="19.5" thickBot="1" x14ac:dyDescent="0.35">
      <c r="A46" s="250" t="s">
        <v>272</v>
      </c>
      <c r="B46" s="116"/>
      <c r="C46" s="116"/>
      <c r="D46" s="116"/>
      <c r="E46" s="116"/>
      <c r="F46" s="116"/>
      <c r="G46" s="117"/>
      <c r="H46" s="116"/>
      <c r="I46" s="116"/>
      <c r="J46" s="116"/>
      <c r="K46" s="116"/>
      <c r="L46" s="116"/>
      <c r="M46" s="116"/>
      <c r="N46" s="116"/>
      <c r="O46" s="116"/>
      <c r="P46" s="116"/>
      <c r="Q46" s="116"/>
      <c r="R46" s="116"/>
      <c r="S46" s="116"/>
      <c r="T46" s="116"/>
      <c r="U46" s="116"/>
      <c r="V46" s="116"/>
      <c r="W46" s="116"/>
      <c r="X46" s="119"/>
      <c r="Y46" s="116"/>
      <c r="Z46" s="116"/>
      <c r="AA46" s="116"/>
      <c r="AB46" s="116"/>
      <c r="AC46" s="116"/>
      <c r="AD46" s="116"/>
      <c r="AE46" s="116"/>
      <c r="AF46" s="102"/>
    </row>
    <row r="47" spans="1:32" ht="18" x14ac:dyDescent="0.35">
      <c r="A47" s="120"/>
      <c r="B47" s="121"/>
      <c r="C47" s="121"/>
      <c r="D47" s="121"/>
      <c r="E47" s="121"/>
      <c r="F47" s="121"/>
      <c r="G47" s="137" t="s">
        <v>294</v>
      </c>
      <c r="H47" s="170">
        <f>Variable_Management!B156*(10^9)</f>
        <v>810</v>
      </c>
      <c r="I47" s="123" t="s">
        <v>172</v>
      </c>
      <c r="J47" s="119"/>
      <c r="K47" s="116"/>
      <c r="L47" s="116"/>
      <c r="M47" s="116"/>
      <c r="N47" s="116"/>
      <c r="O47" s="116"/>
      <c r="P47" s="116"/>
      <c r="Q47" s="116"/>
      <c r="R47" s="116"/>
      <c r="S47" s="116"/>
      <c r="T47" s="116"/>
      <c r="U47" s="116"/>
      <c r="V47" s="116"/>
      <c r="W47" s="116"/>
      <c r="X47" s="119"/>
      <c r="Y47" s="116"/>
      <c r="Z47" s="116"/>
      <c r="AA47" s="116"/>
      <c r="AB47" s="116"/>
      <c r="AC47" s="116"/>
      <c r="AD47" s="116"/>
      <c r="AE47" s="116"/>
      <c r="AF47" s="102"/>
    </row>
    <row r="48" spans="1:32" ht="18" x14ac:dyDescent="0.35">
      <c r="A48" s="124"/>
      <c r="B48" s="119"/>
      <c r="C48" s="119"/>
      <c r="D48" s="119"/>
      <c r="E48" s="119"/>
      <c r="F48" s="119"/>
      <c r="G48" s="133" t="s">
        <v>299</v>
      </c>
      <c r="H48" s="162">
        <v>20</v>
      </c>
      <c r="I48" s="126" t="s">
        <v>295</v>
      </c>
      <c r="J48" s="119"/>
      <c r="K48" s="116"/>
      <c r="L48" s="116"/>
      <c r="M48" s="116"/>
      <c r="N48" s="116"/>
      <c r="O48" s="116"/>
      <c r="P48" s="116"/>
      <c r="Q48" s="116"/>
      <c r="R48" s="116"/>
      <c r="S48" s="116"/>
      <c r="T48" s="116"/>
      <c r="U48" s="116"/>
      <c r="V48" s="116"/>
      <c r="W48" s="116"/>
      <c r="X48" s="119"/>
      <c r="Y48" s="116"/>
      <c r="Z48" s="116"/>
      <c r="AA48" s="116"/>
      <c r="AB48" s="116"/>
      <c r="AC48" s="116"/>
      <c r="AD48" s="116"/>
      <c r="AE48" s="116"/>
      <c r="AF48" s="102"/>
    </row>
    <row r="49" spans="1:32" ht="18.75" thickBot="1" x14ac:dyDescent="0.4">
      <c r="A49" s="131"/>
      <c r="B49" s="128"/>
      <c r="C49" s="128"/>
      <c r="D49" s="128"/>
      <c r="E49" s="128"/>
      <c r="F49" s="128"/>
      <c r="G49" s="135" t="s">
        <v>298</v>
      </c>
      <c r="H49" s="171">
        <f>Variable_Management!B158*(10^9)</f>
        <v>200</v>
      </c>
      <c r="I49" s="129" t="s">
        <v>172</v>
      </c>
      <c r="J49" s="119"/>
      <c r="K49" s="116"/>
      <c r="L49" s="116"/>
      <c r="M49" s="116"/>
      <c r="N49" s="116"/>
      <c r="O49" s="116"/>
      <c r="P49" s="116"/>
      <c r="Q49" s="116"/>
      <c r="R49" s="116"/>
      <c r="S49" s="116"/>
      <c r="T49" s="116"/>
      <c r="U49" s="116"/>
      <c r="V49" s="116"/>
      <c r="W49" s="116"/>
      <c r="X49" s="119"/>
      <c r="Y49" s="116"/>
      <c r="Z49" s="116"/>
      <c r="AA49" s="116"/>
      <c r="AB49" s="116"/>
      <c r="AC49" s="116"/>
      <c r="AD49" s="116"/>
      <c r="AE49" s="116"/>
      <c r="AF49" s="102"/>
    </row>
    <row r="50" spans="1:32" x14ac:dyDescent="0.25">
      <c r="A50" s="116"/>
      <c r="B50" s="116"/>
      <c r="C50" s="116"/>
      <c r="D50" s="116"/>
      <c r="E50" s="116"/>
      <c r="F50" s="116"/>
      <c r="G50" s="117"/>
      <c r="H50" s="116"/>
      <c r="I50" s="116"/>
      <c r="J50" s="116"/>
      <c r="K50" s="116"/>
      <c r="L50" s="116"/>
      <c r="M50" s="116"/>
      <c r="N50" s="116"/>
      <c r="O50" s="116"/>
      <c r="P50" s="116"/>
      <c r="Q50" s="116"/>
      <c r="R50" s="116"/>
      <c r="S50" s="116"/>
      <c r="T50" s="116"/>
      <c r="U50" s="116"/>
      <c r="V50" s="116"/>
      <c r="W50" s="116"/>
      <c r="X50" s="119"/>
      <c r="Y50" s="116"/>
      <c r="Z50" s="116"/>
      <c r="AA50" s="116"/>
      <c r="AB50" s="116"/>
      <c r="AC50" s="116"/>
      <c r="AD50" s="116"/>
      <c r="AE50" s="116"/>
      <c r="AF50" s="102"/>
    </row>
    <row r="51" spans="1:32" ht="19.5" thickBot="1" x14ac:dyDescent="0.35">
      <c r="A51" s="250" t="s">
        <v>273</v>
      </c>
      <c r="B51" s="116"/>
      <c r="C51" s="116"/>
      <c r="D51" s="116"/>
      <c r="E51" s="116"/>
      <c r="F51" s="116"/>
      <c r="G51" s="117"/>
      <c r="H51" s="116"/>
      <c r="I51" s="116"/>
      <c r="J51" s="116"/>
      <c r="K51" s="116"/>
      <c r="L51" s="116"/>
      <c r="M51" s="116"/>
      <c r="N51" s="116"/>
      <c r="O51" s="116"/>
      <c r="P51" s="116"/>
      <c r="Q51" s="116"/>
      <c r="R51" s="116"/>
      <c r="S51" s="116"/>
      <c r="T51" s="116"/>
      <c r="U51" s="116"/>
      <c r="V51" s="116"/>
      <c r="W51" s="116"/>
      <c r="X51" s="119"/>
      <c r="Y51" s="116"/>
      <c r="Z51" s="116"/>
      <c r="AA51" s="116"/>
      <c r="AB51" s="116"/>
      <c r="AC51" s="116"/>
      <c r="AD51" s="116"/>
      <c r="AE51" s="116"/>
      <c r="AF51" s="102"/>
    </row>
    <row r="52" spans="1:32" ht="18" x14ac:dyDescent="0.35">
      <c r="A52" s="120"/>
      <c r="B52" s="121"/>
      <c r="C52" s="121"/>
      <c r="D52" s="121"/>
      <c r="E52" s="121"/>
      <c r="F52" s="121"/>
      <c r="G52" s="137" t="s">
        <v>301</v>
      </c>
      <c r="H52" s="161">
        <v>5.8</v>
      </c>
      <c r="I52" s="123" t="s">
        <v>11</v>
      </c>
      <c r="J52" s="119"/>
      <c r="K52" s="116"/>
      <c r="L52" s="116"/>
      <c r="M52" s="116"/>
      <c r="N52" s="116"/>
      <c r="O52" s="116"/>
      <c r="P52" s="116"/>
      <c r="Q52" s="116"/>
      <c r="R52" s="116"/>
      <c r="S52" s="116"/>
      <c r="T52" s="116"/>
      <c r="U52" s="116"/>
      <c r="V52" s="116"/>
      <c r="W52" s="116"/>
      <c r="X52" s="119"/>
      <c r="Y52" s="116"/>
      <c r="Z52" s="116"/>
      <c r="AA52" s="116"/>
      <c r="AB52" s="116"/>
      <c r="AC52" s="116"/>
      <c r="AD52" s="116"/>
      <c r="AE52" s="116"/>
      <c r="AF52" s="102"/>
    </row>
    <row r="53" spans="1:32" ht="18" x14ac:dyDescent="0.35">
      <c r="A53" s="124"/>
      <c r="B53" s="119"/>
      <c r="C53" s="119"/>
      <c r="D53" s="119"/>
      <c r="E53" s="119"/>
      <c r="F53" s="119"/>
      <c r="G53" s="133" t="s">
        <v>300</v>
      </c>
      <c r="H53" s="162">
        <v>5.4</v>
      </c>
      <c r="I53" s="126" t="s">
        <v>11</v>
      </c>
      <c r="J53" s="119"/>
      <c r="K53" s="116"/>
      <c r="L53" s="116"/>
      <c r="M53" s="116"/>
      <c r="N53" s="116"/>
      <c r="O53" s="116"/>
      <c r="P53" s="116"/>
      <c r="Q53" s="116"/>
      <c r="R53" s="116"/>
      <c r="S53" s="160"/>
      <c r="T53" s="116"/>
      <c r="U53" s="116"/>
      <c r="V53" s="116"/>
      <c r="W53" s="116"/>
      <c r="X53" s="119"/>
      <c r="Y53" s="116"/>
      <c r="Z53" s="116"/>
      <c r="AA53" s="116"/>
      <c r="AB53" s="116"/>
      <c r="AC53" s="116"/>
      <c r="AD53" s="116"/>
      <c r="AE53" s="116"/>
      <c r="AF53" s="102"/>
    </row>
    <row r="54" spans="1:32" ht="18" x14ac:dyDescent="0.35">
      <c r="A54" s="124"/>
      <c r="B54" s="119"/>
      <c r="C54" s="119"/>
      <c r="D54" s="119"/>
      <c r="E54" s="119"/>
      <c r="F54" s="119"/>
      <c r="G54" s="133" t="s">
        <v>389</v>
      </c>
      <c r="H54" s="168">
        <f>Ruvlo_top_calc/1000</f>
        <v>41.719999999999942</v>
      </c>
      <c r="I54" s="134" t="s">
        <v>169</v>
      </c>
      <c r="J54" s="228"/>
      <c r="K54" s="116"/>
      <c r="L54" s="116"/>
      <c r="M54" s="116"/>
      <c r="N54" s="116"/>
      <c r="O54" s="116"/>
      <c r="P54" s="116"/>
      <c r="Q54" s="116"/>
      <c r="R54" s="116"/>
      <c r="S54" s="116"/>
      <c r="T54" s="116"/>
      <c r="U54" s="116"/>
      <c r="V54" s="116"/>
      <c r="W54" s="116"/>
      <c r="X54" s="119"/>
      <c r="Y54" s="116"/>
      <c r="Z54" s="116"/>
      <c r="AA54" s="116"/>
      <c r="AB54" s="116"/>
      <c r="AC54" s="116"/>
      <c r="AD54" s="116"/>
      <c r="AE54" s="116"/>
      <c r="AF54" s="102"/>
    </row>
    <row r="55" spans="1:32" ht="18" x14ac:dyDescent="0.35">
      <c r="A55" s="124"/>
      <c r="B55" s="119"/>
      <c r="C55" s="119"/>
      <c r="D55" s="119"/>
      <c r="E55" s="119"/>
      <c r="F55" s="119"/>
      <c r="G55" s="133" t="s">
        <v>390</v>
      </c>
      <c r="H55" s="162">
        <v>41.72</v>
      </c>
      <c r="I55" s="134" t="s">
        <v>169</v>
      </c>
      <c r="J55" s="228"/>
      <c r="K55" s="116"/>
      <c r="L55" s="116"/>
      <c r="M55" s="116"/>
      <c r="N55" s="116"/>
      <c r="O55" s="116"/>
      <c r="P55" s="116"/>
      <c r="Q55" s="116"/>
      <c r="R55" s="116"/>
      <c r="S55" s="116"/>
      <c r="T55" s="116"/>
      <c r="U55" s="116"/>
      <c r="V55" s="116"/>
      <c r="W55" s="116"/>
      <c r="X55" s="119"/>
      <c r="Y55" s="116"/>
      <c r="Z55" s="116"/>
      <c r="AA55" s="116"/>
      <c r="AB55" s="116"/>
      <c r="AC55" s="116"/>
      <c r="AD55" s="116"/>
      <c r="AE55" s="116"/>
      <c r="AF55" s="102"/>
    </row>
    <row r="56" spans="1:32" ht="18.75" thickBot="1" x14ac:dyDescent="0.4">
      <c r="A56" s="131"/>
      <c r="B56" s="128"/>
      <c r="C56" s="128"/>
      <c r="D56" s="128"/>
      <c r="E56" s="128"/>
      <c r="F56" s="128"/>
      <c r="G56" s="135" t="s">
        <v>391</v>
      </c>
      <c r="H56" s="169">
        <f>Ruvlo_bottom_calc/1000</f>
        <v>14.553488372093025</v>
      </c>
      <c r="I56" s="136" t="s">
        <v>169</v>
      </c>
      <c r="J56" s="228"/>
      <c r="K56" s="116"/>
      <c r="L56" s="116"/>
      <c r="M56" s="116"/>
      <c r="N56" s="116"/>
      <c r="O56" s="116"/>
      <c r="P56" s="116"/>
      <c r="Q56" s="116"/>
      <c r="R56" s="116"/>
      <c r="S56" s="116"/>
      <c r="T56" s="116"/>
      <c r="U56" s="116"/>
      <c r="V56" s="116"/>
      <c r="W56" s="116"/>
      <c r="X56" s="119"/>
      <c r="Y56" s="116"/>
      <c r="Z56" s="116"/>
      <c r="AA56" s="116"/>
      <c r="AB56" s="116"/>
      <c r="AC56" s="116"/>
      <c r="AD56" s="116"/>
      <c r="AE56" s="116"/>
      <c r="AF56" s="102"/>
    </row>
    <row r="57" spans="1:32" x14ac:dyDescent="0.25">
      <c r="A57" s="116"/>
      <c r="B57" s="116"/>
      <c r="C57" s="116"/>
      <c r="D57" s="116"/>
      <c r="E57" s="116"/>
      <c r="F57" s="116"/>
      <c r="G57" s="117"/>
      <c r="H57" s="116"/>
      <c r="I57" s="116"/>
      <c r="J57" s="116"/>
      <c r="K57" s="116"/>
      <c r="L57" s="116"/>
      <c r="M57" s="116"/>
      <c r="N57" s="116"/>
      <c r="O57" s="116"/>
      <c r="P57" s="116"/>
      <c r="Q57" s="116"/>
      <c r="R57" s="116"/>
      <c r="S57" s="116"/>
      <c r="T57" s="116"/>
      <c r="U57" s="116"/>
      <c r="V57" s="116"/>
      <c r="W57" s="116"/>
      <c r="X57" s="119"/>
      <c r="Y57" s="116"/>
      <c r="Z57" s="116"/>
      <c r="AA57" s="116"/>
      <c r="AB57" s="116"/>
      <c r="AC57" s="116"/>
      <c r="AD57" s="116"/>
      <c r="AE57" s="116"/>
      <c r="AF57" s="102"/>
    </row>
    <row r="58" spans="1:32" ht="19.5" thickBot="1" x14ac:dyDescent="0.35">
      <c r="A58" s="250" t="s">
        <v>324</v>
      </c>
      <c r="B58" s="116"/>
      <c r="C58" s="116"/>
      <c r="D58" s="116"/>
      <c r="E58" s="116"/>
      <c r="F58" s="116"/>
      <c r="G58" s="116"/>
      <c r="H58" s="116"/>
      <c r="I58" s="116"/>
      <c r="J58" s="116"/>
      <c r="K58" s="116"/>
      <c r="L58" s="116"/>
      <c r="M58" s="116"/>
      <c r="N58" s="116"/>
      <c r="O58" s="116"/>
      <c r="P58" s="116"/>
      <c r="Q58" s="116"/>
      <c r="R58" s="116"/>
      <c r="S58" s="116"/>
      <c r="T58" s="116"/>
      <c r="U58" s="116"/>
      <c r="V58" s="116"/>
      <c r="W58" s="116"/>
      <c r="X58" s="119"/>
      <c r="Y58" s="116"/>
      <c r="Z58" s="116"/>
      <c r="AA58" s="116"/>
      <c r="AB58" s="116"/>
      <c r="AC58" s="116"/>
      <c r="AD58" s="116"/>
      <c r="AE58" s="116"/>
      <c r="AF58" s="102"/>
    </row>
    <row r="59" spans="1:32" ht="18" x14ac:dyDescent="0.35">
      <c r="A59" s="138"/>
      <c r="B59" s="121"/>
      <c r="C59" s="121"/>
      <c r="D59" s="121"/>
      <c r="E59" s="121"/>
      <c r="F59" s="121"/>
      <c r="G59" s="139" t="s">
        <v>414</v>
      </c>
      <c r="H59" s="201">
        <f>VIN_nom</f>
        <v>12</v>
      </c>
      <c r="I59" s="185"/>
      <c r="J59" s="119"/>
      <c r="K59" s="116"/>
      <c r="L59" s="116"/>
      <c r="M59" s="116"/>
      <c r="N59" s="116"/>
      <c r="O59" s="116"/>
      <c r="P59" s="116"/>
      <c r="Q59" s="116"/>
      <c r="R59" s="116"/>
      <c r="S59" s="116"/>
      <c r="T59" s="116"/>
      <c r="U59" s="116"/>
      <c r="V59" s="116"/>
      <c r="W59" s="116"/>
      <c r="X59" s="119"/>
      <c r="Y59" s="116"/>
      <c r="Z59" s="116"/>
      <c r="AA59" s="116"/>
      <c r="AB59" s="116"/>
      <c r="AC59" s="116"/>
      <c r="AD59" s="116"/>
      <c r="AE59" s="116"/>
      <c r="AF59" s="102"/>
    </row>
    <row r="60" spans="1:32" x14ac:dyDescent="0.25">
      <c r="A60" s="140"/>
      <c r="B60" s="119"/>
      <c r="C60" s="119"/>
      <c r="D60" s="119"/>
      <c r="E60" s="119"/>
      <c r="F60" s="119"/>
      <c r="G60" s="200"/>
      <c r="H60" s="191"/>
      <c r="I60" s="164"/>
      <c r="J60" s="119"/>
      <c r="K60" s="116"/>
      <c r="L60" s="116"/>
      <c r="M60" s="116"/>
      <c r="N60" s="116"/>
      <c r="O60" s="116"/>
      <c r="P60" s="116"/>
      <c r="Q60" s="116"/>
      <c r="R60" s="116"/>
      <c r="S60" s="116"/>
      <c r="T60" s="116"/>
      <c r="U60" s="116"/>
      <c r="V60" s="116"/>
      <c r="W60" s="116"/>
      <c r="X60" s="119"/>
      <c r="Y60" s="116"/>
      <c r="Z60" s="116"/>
      <c r="AA60" s="116"/>
      <c r="AB60" s="116"/>
      <c r="AC60" s="116"/>
      <c r="AD60" s="116"/>
      <c r="AE60" s="116"/>
      <c r="AF60" s="102"/>
    </row>
    <row r="61" spans="1:32" ht="15.75" thickBot="1" x14ac:dyDescent="0.3">
      <c r="A61" s="140"/>
      <c r="B61" s="119"/>
      <c r="C61" s="119"/>
      <c r="D61" s="119"/>
      <c r="E61" s="119"/>
      <c r="F61" s="119"/>
      <c r="G61" s="141" t="s">
        <v>170</v>
      </c>
      <c r="H61" s="164"/>
      <c r="I61" s="164"/>
      <c r="J61" s="119"/>
      <c r="K61" s="116"/>
      <c r="L61" s="116"/>
      <c r="M61" s="116"/>
      <c r="N61" s="116"/>
      <c r="O61" s="116"/>
      <c r="P61" s="116"/>
      <c r="Q61" s="116"/>
      <c r="R61" s="116"/>
      <c r="S61" s="116"/>
      <c r="T61" s="116"/>
      <c r="U61" s="116"/>
      <c r="V61" s="116"/>
      <c r="W61" s="116"/>
      <c r="X61" s="119"/>
      <c r="Y61" s="116"/>
      <c r="Z61" s="116"/>
      <c r="AA61" s="116"/>
      <c r="AB61" s="116"/>
      <c r="AC61" s="116"/>
      <c r="AD61" s="116"/>
      <c r="AE61" s="116"/>
      <c r="AF61" s="102"/>
    </row>
    <row r="62" spans="1:32" ht="18" x14ac:dyDescent="0.35">
      <c r="A62" s="140"/>
      <c r="B62" s="119"/>
      <c r="C62" s="119"/>
      <c r="D62" s="119"/>
      <c r="E62" s="119"/>
      <c r="F62" s="119"/>
      <c r="G62" s="117" t="s">
        <v>508</v>
      </c>
      <c r="H62" s="161">
        <v>1.24</v>
      </c>
      <c r="I62" s="185" t="s">
        <v>11</v>
      </c>
      <c r="J62" s="119"/>
      <c r="K62" s="116"/>
      <c r="L62" s="116"/>
      <c r="M62" s="116"/>
      <c r="N62" s="116"/>
      <c r="O62" s="116"/>
      <c r="P62" s="116"/>
      <c r="Q62" s="116"/>
      <c r="R62" s="116"/>
      <c r="S62" s="116"/>
      <c r="T62" s="116"/>
      <c r="U62" s="116"/>
      <c r="V62" s="116"/>
      <c r="W62" s="116"/>
      <c r="X62" s="119"/>
      <c r="Y62" s="116"/>
      <c r="Z62" s="116"/>
      <c r="AA62" s="116"/>
      <c r="AB62" s="116"/>
      <c r="AC62" s="116"/>
      <c r="AD62" s="116"/>
      <c r="AE62" s="116"/>
      <c r="AF62" s="102"/>
    </row>
    <row r="63" spans="1:32" ht="18" x14ac:dyDescent="0.35">
      <c r="A63" s="140"/>
      <c r="B63" s="119"/>
      <c r="C63" s="119"/>
      <c r="D63" s="119"/>
      <c r="E63" s="119"/>
      <c r="F63" s="119"/>
      <c r="G63" s="133" t="s">
        <v>270</v>
      </c>
      <c r="H63" s="162">
        <v>30</v>
      </c>
      <c r="I63" s="199" t="s">
        <v>169</v>
      </c>
      <c r="J63" s="228"/>
      <c r="K63" s="116"/>
      <c r="L63" s="116"/>
      <c r="M63" s="116"/>
      <c r="N63" s="116"/>
      <c r="O63" s="116"/>
      <c r="P63" s="116"/>
      <c r="Q63" s="116"/>
      <c r="R63" s="116"/>
      <c r="S63" s="116"/>
      <c r="T63" s="116"/>
      <c r="U63" s="116"/>
      <c r="V63" s="116"/>
      <c r="W63" s="116"/>
      <c r="X63" s="119"/>
      <c r="Y63" s="116"/>
      <c r="Z63" s="116"/>
      <c r="AA63" s="116"/>
      <c r="AB63" s="116"/>
      <c r="AC63" s="116"/>
      <c r="AD63" s="116"/>
      <c r="AE63" s="116"/>
      <c r="AF63" s="102"/>
    </row>
    <row r="64" spans="1:32" ht="18" x14ac:dyDescent="0.35">
      <c r="A64" s="140"/>
      <c r="B64" s="119"/>
      <c r="C64" s="119"/>
      <c r="D64" s="119"/>
      <c r="E64" s="119"/>
      <c r="F64" s="119"/>
      <c r="G64" s="133" t="s">
        <v>246</v>
      </c>
      <c r="H64" s="168">
        <f>CHOOSE(FB_type,RFBB_iso_calc/1000,RFBB_calc/1000)</f>
        <v>2.7034883720930232</v>
      </c>
      <c r="I64" s="199" t="s">
        <v>169</v>
      </c>
      <c r="J64" s="228"/>
      <c r="K64" s="116"/>
      <c r="L64" s="116"/>
      <c r="M64" s="116"/>
      <c r="N64" s="116"/>
      <c r="O64" s="116"/>
      <c r="P64" s="116"/>
      <c r="Q64" s="116"/>
      <c r="R64" s="116"/>
      <c r="S64" s="116"/>
      <c r="T64" s="116"/>
      <c r="U64" s="116"/>
      <c r="V64" s="116"/>
      <c r="W64" s="116"/>
      <c r="X64" s="119"/>
      <c r="Y64" s="116"/>
      <c r="Z64" s="116"/>
      <c r="AA64" s="116"/>
      <c r="AB64" s="116"/>
      <c r="AC64" s="116"/>
      <c r="AD64" s="116"/>
      <c r="AE64" s="116"/>
      <c r="AF64" s="102"/>
    </row>
    <row r="65" spans="1:32" ht="18.75" thickBot="1" x14ac:dyDescent="0.4">
      <c r="A65" s="140"/>
      <c r="B65" s="119"/>
      <c r="C65" s="119"/>
      <c r="D65" s="119"/>
      <c r="E65" s="119"/>
      <c r="F65" s="119"/>
      <c r="G65" s="133" t="s">
        <v>271</v>
      </c>
      <c r="H65" s="167">
        <v>9.89</v>
      </c>
      <c r="I65" s="254" t="s">
        <v>169</v>
      </c>
      <c r="J65" s="228"/>
      <c r="K65" s="116"/>
      <c r="L65" s="116"/>
      <c r="M65" s="116"/>
      <c r="N65" s="116"/>
      <c r="O65" s="116"/>
      <c r="P65" s="116"/>
      <c r="Q65" s="116"/>
      <c r="R65" s="116"/>
      <c r="S65" s="116"/>
      <c r="T65" s="116"/>
      <c r="U65" s="116"/>
      <c r="V65" s="116"/>
      <c r="W65" s="116"/>
      <c r="X65" s="119"/>
      <c r="Y65" s="116"/>
      <c r="Z65" s="116"/>
      <c r="AA65" s="116"/>
      <c r="AB65" s="116"/>
      <c r="AC65" s="116"/>
      <c r="AD65" s="116"/>
      <c r="AE65" s="116"/>
      <c r="AF65" s="102"/>
    </row>
    <row r="66" spans="1:32" x14ac:dyDescent="0.25">
      <c r="A66" s="124"/>
      <c r="B66" s="119"/>
      <c r="C66" s="119"/>
      <c r="D66" s="119"/>
      <c r="E66" s="119"/>
      <c r="F66" s="119"/>
      <c r="G66" s="133"/>
      <c r="H66" s="164"/>
      <c r="I66" s="164"/>
      <c r="J66" s="119"/>
      <c r="K66" s="116"/>
      <c r="L66" s="116"/>
      <c r="M66" s="116"/>
      <c r="N66" s="116"/>
      <c r="O66" s="116"/>
      <c r="P66" s="116"/>
      <c r="Q66" s="116"/>
      <c r="R66" s="116"/>
      <c r="S66" s="116"/>
      <c r="T66" s="116"/>
      <c r="U66" s="116"/>
      <c r="V66" s="116"/>
      <c r="W66" s="116"/>
      <c r="X66" s="119"/>
      <c r="Y66" s="116"/>
      <c r="Z66" s="116"/>
      <c r="AA66" s="116"/>
      <c r="AB66" s="116"/>
      <c r="AC66" s="116"/>
      <c r="AD66" s="116"/>
      <c r="AE66" s="116"/>
      <c r="AF66" s="102"/>
    </row>
    <row r="67" spans="1:32" ht="15.75" thickBot="1" x14ac:dyDescent="0.3">
      <c r="A67" s="124"/>
      <c r="B67" s="119"/>
      <c r="C67" s="119"/>
      <c r="D67" s="119"/>
      <c r="E67" s="119"/>
      <c r="F67" s="119"/>
      <c r="G67" s="141" t="s">
        <v>509</v>
      </c>
      <c r="H67" s="164"/>
      <c r="I67" s="164"/>
      <c r="J67" s="119"/>
      <c r="K67" s="116"/>
      <c r="L67" s="116"/>
      <c r="M67" s="116"/>
      <c r="N67" s="116"/>
      <c r="O67" s="116"/>
      <c r="P67" s="116"/>
      <c r="Q67" s="116"/>
      <c r="R67" s="116"/>
      <c r="S67" s="116"/>
      <c r="T67" s="116"/>
      <c r="U67" s="116"/>
      <c r="V67" s="116"/>
      <c r="W67" s="116"/>
      <c r="X67" s="119"/>
      <c r="Y67" s="116"/>
      <c r="Z67" s="116"/>
      <c r="AA67" s="116"/>
      <c r="AB67" s="116"/>
      <c r="AC67" s="116"/>
      <c r="AD67" s="116"/>
      <c r="AE67" s="116"/>
      <c r="AF67" s="102"/>
    </row>
    <row r="68" spans="1:32" ht="18" x14ac:dyDescent="0.35">
      <c r="A68" s="124"/>
      <c r="B68" s="119"/>
      <c r="C68" s="119"/>
      <c r="D68" s="119"/>
      <c r="E68" s="119"/>
      <c r="F68" s="119"/>
      <c r="G68" s="133" t="s">
        <v>510</v>
      </c>
      <c r="H68" s="161">
        <v>1</v>
      </c>
      <c r="I68" s="185" t="s">
        <v>528</v>
      </c>
      <c r="J68" s="119"/>
      <c r="K68" s="116"/>
      <c r="L68" s="116"/>
      <c r="M68" s="116"/>
      <c r="N68" s="116"/>
      <c r="O68" s="116"/>
      <c r="P68" s="116"/>
      <c r="Q68" s="116"/>
      <c r="R68" s="116"/>
      <c r="S68" s="116"/>
      <c r="T68" s="116"/>
      <c r="U68" s="116"/>
      <c r="V68" s="116"/>
      <c r="W68" s="116"/>
      <c r="X68" s="119"/>
      <c r="Y68" s="116"/>
      <c r="Z68" s="116"/>
      <c r="AA68" s="116"/>
      <c r="AB68" s="116"/>
      <c r="AC68" s="116"/>
      <c r="AD68" s="116"/>
      <c r="AE68" s="116"/>
      <c r="AF68" s="102"/>
    </row>
    <row r="69" spans="1:32" ht="18" x14ac:dyDescent="0.35">
      <c r="A69" s="124"/>
      <c r="B69" s="119"/>
      <c r="C69" s="119"/>
      <c r="D69" s="119"/>
      <c r="E69" s="119"/>
      <c r="F69" s="119"/>
      <c r="G69" s="133" t="s">
        <v>511</v>
      </c>
      <c r="H69" s="162">
        <v>2</v>
      </c>
      <c r="I69" s="164" t="s">
        <v>528</v>
      </c>
      <c r="J69" s="119"/>
      <c r="K69" s="116"/>
      <c r="L69" s="116"/>
      <c r="M69" s="116"/>
      <c r="N69" s="116"/>
      <c r="O69" s="116"/>
      <c r="P69" s="116"/>
      <c r="Q69" s="116"/>
      <c r="R69" s="116"/>
      <c r="S69" s="116"/>
      <c r="T69" s="116"/>
      <c r="U69" s="116"/>
      <c r="V69" s="116"/>
      <c r="W69" s="116"/>
      <c r="X69" s="119"/>
      <c r="Y69" s="116"/>
      <c r="Z69" s="116"/>
      <c r="AA69" s="116"/>
      <c r="AB69" s="116"/>
      <c r="AC69" s="116"/>
      <c r="AD69" s="116"/>
      <c r="AE69" s="116"/>
      <c r="AF69" s="102"/>
    </row>
    <row r="70" spans="1:32" ht="18" x14ac:dyDescent="0.35">
      <c r="A70" s="124"/>
      <c r="B70" s="119"/>
      <c r="C70" s="119"/>
      <c r="D70" s="119"/>
      <c r="E70" s="119"/>
      <c r="F70" s="119"/>
      <c r="G70" s="133" t="s">
        <v>512</v>
      </c>
      <c r="H70" s="162">
        <v>1.4</v>
      </c>
      <c r="I70" s="164" t="s">
        <v>11</v>
      </c>
      <c r="J70" s="119"/>
      <c r="K70" s="116"/>
      <c r="L70" s="116"/>
      <c r="M70" s="116"/>
      <c r="N70" s="116"/>
      <c r="O70" s="116"/>
      <c r="P70" s="116"/>
      <c r="Q70" s="116"/>
      <c r="R70" s="116"/>
      <c r="S70" s="116"/>
      <c r="T70" s="116"/>
      <c r="U70" s="116"/>
      <c r="V70" s="116"/>
      <c r="W70" s="116"/>
      <c r="X70" s="119"/>
      <c r="Y70" s="116"/>
      <c r="Z70" s="116"/>
      <c r="AA70" s="116"/>
      <c r="AB70" s="116"/>
      <c r="AC70" s="116"/>
      <c r="AD70" s="116"/>
      <c r="AE70" s="116"/>
      <c r="AF70" s="102"/>
    </row>
    <row r="71" spans="1:32" ht="18" x14ac:dyDescent="0.35">
      <c r="A71" s="124"/>
      <c r="B71" s="119"/>
      <c r="C71" s="119"/>
      <c r="D71" s="119"/>
      <c r="E71" s="119"/>
      <c r="F71" s="119"/>
      <c r="G71" s="117" t="s">
        <v>689</v>
      </c>
      <c r="H71" s="162">
        <v>3.3</v>
      </c>
      <c r="I71" s="164" t="s">
        <v>172</v>
      </c>
      <c r="J71" s="119"/>
      <c r="K71" s="116"/>
      <c r="L71" s="116"/>
      <c r="M71" s="116"/>
      <c r="N71" s="116"/>
      <c r="O71" s="116"/>
      <c r="P71" s="116"/>
      <c r="Q71" s="116"/>
      <c r="R71" s="116"/>
      <c r="S71" s="116"/>
      <c r="T71" s="116"/>
      <c r="U71" s="116"/>
      <c r="V71" s="116"/>
      <c r="W71" s="116"/>
      <c r="X71" s="119"/>
      <c r="Y71" s="116"/>
      <c r="Z71" s="116"/>
      <c r="AA71" s="116"/>
      <c r="AB71" s="116"/>
      <c r="AC71" s="116"/>
      <c r="AD71" s="116"/>
      <c r="AE71" s="116"/>
      <c r="AF71" s="102"/>
    </row>
    <row r="72" spans="1:32" ht="18.75" thickBot="1" x14ac:dyDescent="0.4">
      <c r="A72" s="124"/>
      <c r="B72" s="119"/>
      <c r="C72" s="119"/>
      <c r="D72" s="119"/>
      <c r="E72" s="119"/>
      <c r="F72" s="119"/>
      <c r="G72" s="117" t="s">
        <v>690</v>
      </c>
      <c r="H72" s="167">
        <v>200</v>
      </c>
      <c r="I72" s="179" t="s">
        <v>147</v>
      </c>
      <c r="J72" s="119"/>
      <c r="K72" s="116"/>
      <c r="L72" s="116"/>
      <c r="M72" s="116"/>
      <c r="N72" s="116"/>
      <c r="O72" s="116"/>
      <c r="P72" s="116"/>
      <c r="Q72" s="116"/>
      <c r="R72" s="116"/>
      <c r="S72" s="116"/>
      <c r="T72" s="116"/>
      <c r="U72" s="116"/>
      <c r="V72" s="116"/>
      <c r="W72" s="116"/>
      <c r="X72" s="119"/>
      <c r="Y72" s="116"/>
      <c r="Z72" s="116"/>
      <c r="AA72" s="116"/>
      <c r="AB72" s="116"/>
      <c r="AC72" s="116"/>
      <c r="AD72" s="116"/>
      <c r="AE72" s="116"/>
      <c r="AF72" s="102"/>
    </row>
    <row r="73" spans="1:32" x14ac:dyDescent="0.25">
      <c r="A73" s="124"/>
      <c r="B73" s="119"/>
      <c r="C73" s="119"/>
      <c r="D73" s="119"/>
      <c r="E73" s="119"/>
      <c r="F73" s="119"/>
      <c r="G73" s="133"/>
      <c r="H73" s="164"/>
      <c r="I73" s="164"/>
      <c r="J73" s="119"/>
      <c r="K73" s="116"/>
      <c r="L73" s="116"/>
      <c r="M73" s="116"/>
      <c r="N73" s="116"/>
      <c r="O73" s="116"/>
      <c r="P73" s="116"/>
      <c r="Q73" s="116"/>
      <c r="R73" s="116"/>
      <c r="S73" s="116"/>
      <c r="T73" s="116"/>
      <c r="U73" s="116"/>
      <c r="V73" s="116"/>
      <c r="W73" s="116"/>
      <c r="X73" s="119"/>
      <c r="Y73" s="116"/>
      <c r="Z73" s="116"/>
      <c r="AA73" s="116"/>
      <c r="AB73" s="116"/>
      <c r="AC73" s="116"/>
      <c r="AD73" s="116"/>
      <c r="AE73" s="116"/>
      <c r="AF73" s="102"/>
    </row>
    <row r="74" spans="1:32" ht="18.75" thickBot="1" x14ac:dyDescent="0.4">
      <c r="A74" s="124"/>
      <c r="B74" s="119"/>
      <c r="C74" s="119"/>
      <c r="D74" s="119"/>
      <c r="E74" s="119"/>
      <c r="F74" s="119"/>
      <c r="G74" s="141" t="s">
        <v>569</v>
      </c>
      <c r="H74" s="164"/>
      <c r="I74" s="164"/>
      <c r="J74" s="119"/>
      <c r="K74" s="116"/>
      <c r="L74" s="116"/>
      <c r="M74" s="116"/>
      <c r="N74" s="116"/>
      <c r="O74" s="116"/>
      <c r="P74" s="116"/>
      <c r="Q74" s="116"/>
      <c r="R74" s="116"/>
      <c r="S74" s="116"/>
      <c r="T74" s="116"/>
      <c r="U74" s="116"/>
      <c r="V74" s="116"/>
      <c r="W74" s="116"/>
      <c r="X74" s="119"/>
      <c r="Y74" s="116"/>
      <c r="Z74" s="116"/>
      <c r="AA74" s="116"/>
      <c r="AB74" s="116"/>
      <c r="AC74" s="116"/>
      <c r="AD74" s="116"/>
      <c r="AE74" s="116"/>
      <c r="AF74" s="102"/>
    </row>
    <row r="75" spans="1:32" ht="18" x14ac:dyDescent="0.35">
      <c r="A75" s="124"/>
      <c r="B75" s="119"/>
      <c r="C75" s="119"/>
      <c r="D75" s="119"/>
      <c r="E75" s="119"/>
      <c r="F75" s="119"/>
      <c r="G75" s="198" t="s">
        <v>545</v>
      </c>
      <c r="H75" s="161">
        <v>6.8</v>
      </c>
      <c r="I75" s="255" t="s">
        <v>11</v>
      </c>
      <c r="J75" s="229"/>
      <c r="K75" s="116"/>
      <c r="L75" s="116"/>
      <c r="M75" s="116"/>
      <c r="N75" s="116"/>
      <c r="O75" s="116"/>
      <c r="P75" s="116"/>
      <c r="Q75" s="116"/>
      <c r="R75" s="116"/>
      <c r="S75" s="116"/>
      <c r="T75" s="116"/>
      <c r="U75" s="116"/>
      <c r="V75" s="116"/>
      <c r="W75" s="116"/>
      <c r="X75" s="119"/>
      <c r="Y75" s="116"/>
      <c r="Z75" s="116"/>
      <c r="AA75" s="116"/>
      <c r="AB75" s="116"/>
      <c r="AC75" s="116"/>
      <c r="AD75" s="116"/>
      <c r="AE75" s="116"/>
      <c r="AF75" s="102"/>
    </row>
    <row r="76" spans="1:32" ht="18" x14ac:dyDescent="0.35">
      <c r="A76" s="124"/>
      <c r="B76" s="119"/>
      <c r="C76" s="119"/>
      <c r="D76" s="119"/>
      <c r="E76" s="119"/>
      <c r="F76" s="119"/>
      <c r="G76" s="133" t="s">
        <v>529</v>
      </c>
      <c r="H76" s="163">
        <f>Rpullup_min/1000</f>
        <v>2.6874999999999996</v>
      </c>
      <c r="I76" s="199" t="s">
        <v>169</v>
      </c>
      <c r="J76" s="228"/>
      <c r="K76" s="116"/>
      <c r="L76" s="116"/>
      <c r="M76" s="116"/>
      <c r="N76" s="116"/>
      <c r="O76" s="116"/>
      <c r="P76" s="116"/>
      <c r="Q76" s="116"/>
      <c r="R76" s="116"/>
      <c r="S76" s="116"/>
      <c r="T76" s="116"/>
      <c r="U76" s="116"/>
      <c r="V76" s="116"/>
      <c r="W76" s="116"/>
      <c r="X76" s="119"/>
      <c r="Y76" s="116"/>
      <c r="Z76" s="116"/>
      <c r="AA76" s="116"/>
      <c r="AB76" s="116"/>
      <c r="AC76" s="116"/>
      <c r="AD76" s="116"/>
      <c r="AE76" s="116"/>
      <c r="AF76" s="102"/>
    </row>
    <row r="77" spans="1:32" ht="18" x14ac:dyDescent="0.35">
      <c r="A77" s="124"/>
      <c r="B77" s="119"/>
      <c r="C77" s="119"/>
      <c r="D77" s="119"/>
      <c r="E77" s="119"/>
      <c r="F77" s="119"/>
      <c r="G77" s="133" t="s">
        <v>549</v>
      </c>
      <c r="H77" s="162">
        <v>4.99</v>
      </c>
      <c r="I77" s="199" t="s">
        <v>169</v>
      </c>
      <c r="J77" s="228"/>
      <c r="K77" s="116"/>
      <c r="L77" s="116"/>
      <c r="M77" s="116"/>
      <c r="N77" s="116"/>
      <c r="O77" s="116"/>
      <c r="P77" s="116"/>
      <c r="Q77" s="116"/>
      <c r="R77" s="116"/>
      <c r="S77" s="116"/>
      <c r="T77" s="116"/>
      <c r="U77" s="116"/>
      <c r="V77" s="116"/>
      <c r="W77" s="116"/>
      <c r="X77" s="119"/>
      <c r="Y77" s="116"/>
      <c r="Z77" s="116"/>
      <c r="AA77" s="116"/>
      <c r="AB77" s="116"/>
      <c r="AC77" s="116"/>
      <c r="AD77" s="116"/>
      <c r="AE77" s="116"/>
      <c r="AF77" s="102"/>
    </row>
    <row r="78" spans="1:32" ht="18" x14ac:dyDescent="0.35">
      <c r="A78" s="124"/>
      <c r="B78" s="119"/>
      <c r="C78" s="119"/>
      <c r="D78" s="119"/>
      <c r="E78" s="119"/>
      <c r="F78" s="119"/>
      <c r="G78" s="133" t="s">
        <v>591</v>
      </c>
      <c r="H78" s="163">
        <f>Variable_Management!B219/1000</f>
        <v>9.3449090909090913</v>
      </c>
      <c r="I78" s="199" t="s">
        <v>169</v>
      </c>
      <c r="J78" s="228"/>
      <c r="K78" s="116"/>
      <c r="L78" s="116"/>
      <c r="M78" s="116"/>
      <c r="N78" s="116"/>
      <c r="O78" s="116"/>
      <c r="P78" s="116"/>
      <c r="Q78" s="116"/>
      <c r="R78" s="116"/>
      <c r="S78" s="116"/>
      <c r="T78" s="116"/>
      <c r="U78" s="116"/>
      <c r="V78" s="116"/>
      <c r="W78" s="116"/>
      <c r="X78" s="119"/>
      <c r="Y78" s="116"/>
      <c r="Z78" s="116"/>
      <c r="AA78" s="116"/>
      <c r="AB78" s="116"/>
      <c r="AC78" s="116"/>
      <c r="AD78" s="116"/>
      <c r="AE78" s="116"/>
      <c r="AF78" s="102"/>
    </row>
    <row r="79" spans="1:32" ht="18.75" thickBot="1" x14ac:dyDescent="0.4">
      <c r="A79" s="124"/>
      <c r="B79" s="119"/>
      <c r="C79" s="119"/>
      <c r="D79" s="119"/>
      <c r="E79" s="119"/>
      <c r="F79" s="119"/>
      <c r="G79" s="133" t="s">
        <v>570</v>
      </c>
      <c r="H79" s="167">
        <v>1</v>
      </c>
      <c r="I79" s="254" t="s">
        <v>169</v>
      </c>
      <c r="J79" s="228"/>
      <c r="K79" s="116"/>
      <c r="L79" s="116"/>
      <c r="M79" s="116"/>
      <c r="N79" s="116"/>
      <c r="O79" s="116"/>
      <c r="P79" s="116"/>
      <c r="Q79" s="116"/>
      <c r="R79" s="116"/>
      <c r="S79" s="116"/>
      <c r="T79" s="116"/>
      <c r="U79" s="116"/>
      <c r="V79" s="116"/>
      <c r="W79" s="116"/>
      <c r="X79" s="119"/>
      <c r="Y79" s="116"/>
      <c r="Z79" s="116"/>
      <c r="AA79" s="116"/>
      <c r="AB79" s="116"/>
      <c r="AC79" s="116"/>
      <c r="AD79" s="116"/>
      <c r="AE79" s="116"/>
      <c r="AF79" s="102"/>
    </row>
    <row r="80" spans="1:32" x14ac:dyDescent="0.25">
      <c r="A80" s="124"/>
      <c r="B80" s="119"/>
      <c r="C80" s="119"/>
      <c r="D80" s="119"/>
      <c r="E80" s="119"/>
      <c r="F80" s="119"/>
      <c r="G80" s="133"/>
      <c r="H80" s="164"/>
      <c r="I80" s="164"/>
      <c r="J80" s="119"/>
      <c r="K80" s="116"/>
      <c r="L80" s="116"/>
      <c r="M80" s="116"/>
      <c r="N80" s="116"/>
      <c r="O80" s="116"/>
      <c r="P80" s="116"/>
      <c r="Q80" s="116"/>
      <c r="R80" s="116"/>
      <c r="S80" s="116"/>
      <c r="T80" s="116"/>
      <c r="U80" s="116"/>
      <c r="V80" s="116"/>
      <c r="W80" s="116"/>
      <c r="X80" s="119"/>
      <c r="Y80" s="116"/>
      <c r="Z80" s="116"/>
      <c r="AA80" s="116"/>
      <c r="AB80" s="116"/>
      <c r="AC80" s="116"/>
      <c r="AD80" s="116"/>
      <c r="AE80" s="116"/>
      <c r="AF80" s="102"/>
    </row>
    <row r="81" spans="1:32" ht="15.75" thickBot="1" x14ac:dyDescent="0.3">
      <c r="A81" s="124"/>
      <c r="B81" s="119"/>
      <c r="C81" s="119"/>
      <c r="D81" s="119"/>
      <c r="E81" s="119"/>
      <c r="F81" s="119"/>
      <c r="G81" s="141" t="s">
        <v>553</v>
      </c>
      <c r="H81" s="164"/>
      <c r="I81" s="164"/>
      <c r="J81" s="119"/>
      <c r="K81" s="116"/>
      <c r="L81" s="116"/>
      <c r="M81" s="116"/>
      <c r="N81" s="116"/>
      <c r="O81" s="116"/>
      <c r="P81" s="116"/>
      <c r="Q81" s="116"/>
      <c r="R81" s="116"/>
      <c r="S81" s="116"/>
      <c r="T81" s="116"/>
      <c r="U81" s="116"/>
      <c r="V81" s="116"/>
      <c r="W81" s="116"/>
      <c r="X81" s="119"/>
      <c r="Y81" s="116"/>
      <c r="Z81" s="116"/>
      <c r="AA81" s="116"/>
      <c r="AB81" s="116"/>
      <c r="AC81" s="116"/>
      <c r="AD81" s="116"/>
      <c r="AE81" s="116"/>
      <c r="AF81" s="102"/>
    </row>
    <row r="82" spans="1:32" x14ac:dyDescent="0.25">
      <c r="A82" s="124"/>
      <c r="B82" s="119"/>
      <c r="C82" s="119"/>
      <c r="D82" s="119"/>
      <c r="E82" s="119"/>
      <c r="F82" s="119"/>
      <c r="G82" s="133" t="s">
        <v>589</v>
      </c>
      <c r="H82" s="256">
        <f>CHOOSE(FB_type,Variable_Management!B225,fcross_est)/1000</f>
        <v>9.4314040350752801</v>
      </c>
      <c r="I82" s="185" t="s">
        <v>13</v>
      </c>
      <c r="J82" s="119"/>
      <c r="K82" s="116"/>
      <c r="L82" s="116"/>
      <c r="M82" s="116"/>
      <c r="N82" s="116"/>
      <c r="O82" s="116"/>
      <c r="P82" s="116"/>
      <c r="Q82" s="116"/>
      <c r="R82" s="116"/>
      <c r="S82" s="116"/>
      <c r="T82" s="116"/>
      <c r="U82" s="116"/>
      <c r="V82" s="116"/>
      <c r="W82" s="116"/>
      <c r="X82" s="119"/>
      <c r="Y82" s="116"/>
      <c r="Z82" s="116"/>
      <c r="AA82" s="116"/>
      <c r="AB82" s="116"/>
      <c r="AC82" s="116"/>
      <c r="AD82" s="116"/>
      <c r="AE82" s="116"/>
      <c r="AF82" s="102"/>
    </row>
    <row r="83" spans="1:32" ht="18.75" thickBot="1" x14ac:dyDescent="0.4">
      <c r="A83" s="124"/>
      <c r="B83" s="119"/>
      <c r="C83" s="119"/>
      <c r="D83" s="119"/>
      <c r="E83" s="119"/>
      <c r="F83" s="119"/>
      <c r="G83" s="133" t="s">
        <v>388</v>
      </c>
      <c r="H83" s="167">
        <v>5</v>
      </c>
      <c r="I83" s="179" t="s">
        <v>13</v>
      </c>
      <c r="J83" s="119"/>
      <c r="K83" s="116"/>
      <c r="L83" s="116"/>
      <c r="M83" s="116"/>
      <c r="N83" s="116"/>
      <c r="O83" s="116"/>
      <c r="P83" s="116"/>
      <c r="Q83" s="116"/>
      <c r="R83" s="116"/>
      <c r="S83" s="116"/>
      <c r="T83" s="116"/>
      <c r="U83" s="116"/>
      <c r="V83" s="116"/>
      <c r="W83" s="116"/>
      <c r="X83" s="119"/>
      <c r="Y83" s="116"/>
      <c r="Z83" s="116"/>
      <c r="AA83" s="116"/>
      <c r="AB83" s="116"/>
      <c r="AC83" s="116"/>
      <c r="AD83" s="116"/>
      <c r="AE83" s="116"/>
      <c r="AF83" s="102"/>
    </row>
    <row r="84" spans="1:32" x14ac:dyDescent="0.25">
      <c r="A84" s="124"/>
      <c r="B84" s="119"/>
      <c r="C84" s="119"/>
      <c r="D84" s="119"/>
      <c r="E84" s="119"/>
      <c r="F84" s="119"/>
      <c r="G84" s="133"/>
      <c r="H84" s="164"/>
      <c r="I84" s="164"/>
      <c r="J84" s="119"/>
      <c r="K84" s="116"/>
      <c r="L84" s="116"/>
      <c r="M84" s="116"/>
      <c r="N84" s="116"/>
      <c r="O84" s="116"/>
      <c r="P84" s="116"/>
      <c r="Q84" s="116"/>
      <c r="R84" s="116"/>
      <c r="S84" s="116"/>
      <c r="T84" s="116"/>
      <c r="U84" s="116"/>
      <c r="V84" s="116"/>
      <c r="W84" s="116"/>
      <c r="X84" s="119"/>
      <c r="Y84" s="116"/>
      <c r="Z84" s="116"/>
      <c r="AA84" s="116"/>
      <c r="AB84" s="116"/>
      <c r="AC84" s="116"/>
      <c r="AD84" s="116"/>
      <c r="AE84" s="116"/>
      <c r="AF84" s="102"/>
    </row>
    <row r="85" spans="1:32" ht="15.75" thickBot="1" x14ac:dyDescent="0.3">
      <c r="A85" s="124"/>
      <c r="B85" s="119"/>
      <c r="C85" s="119"/>
      <c r="D85" s="119"/>
      <c r="E85" s="119"/>
      <c r="F85" s="142" t="s">
        <v>276</v>
      </c>
      <c r="G85" s="142"/>
      <c r="H85" s="172" t="s">
        <v>277</v>
      </c>
      <c r="I85" s="172"/>
      <c r="J85" s="142"/>
      <c r="K85" s="116"/>
      <c r="L85" s="116"/>
      <c r="M85" s="116"/>
      <c r="N85" s="116"/>
      <c r="O85" s="116"/>
      <c r="P85" s="116"/>
      <c r="Q85" s="116"/>
      <c r="R85" s="116"/>
      <c r="S85" s="116"/>
      <c r="T85" s="116"/>
      <c r="U85" s="116"/>
      <c r="V85" s="116"/>
      <c r="W85" s="116"/>
      <c r="X85" s="119"/>
      <c r="Y85" s="116"/>
      <c r="Z85" s="116"/>
      <c r="AA85" s="116"/>
      <c r="AB85" s="116"/>
      <c r="AC85" s="116"/>
      <c r="AD85" s="116"/>
      <c r="AE85" s="116"/>
      <c r="AF85" s="102"/>
    </row>
    <row r="86" spans="1:32" ht="18.75" thickBot="1" x14ac:dyDescent="0.4">
      <c r="A86" s="124"/>
      <c r="B86" s="119"/>
      <c r="C86" s="119"/>
      <c r="D86" s="119"/>
      <c r="E86" s="133" t="s">
        <v>275</v>
      </c>
      <c r="F86" s="175">
        <f>CHOOSE(FB_type,Variable_Management!B228,Rcomp_calc)/1000</f>
        <v>2.6880528690926759</v>
      </c>
      <c r="G86" s="193" t="s">
        <v>169</v>
      </c>
      <c r="H86" s="174">
        <v>1.2</v>
      </c>
      <c r="I86" s="258" t="s">
        <v>169</v>
      </c>
      <c r="J86" s="228"/>
      <c r="K86" s="116"/>
      <c r="L86" s="116"/>
      <c r="M86" s="116"/>
      <c r="N86" s="116"/>
      <c r="O86" s="116"/>
      <c r="P86" s="116"/>
      <c r="Q86" s="116"/>
      <c r="R86" s="116"/>
      <c r="S86" s="116"/>
      <c r="T86" s="116"/>
      <c r="U86" s="116"/>
      <c r="V86" s="116"/>
      <c r="W86" s="116"/>
      <c r="X86" s="119"/>
      <c r="Y86" s="116"/>
      <c r="Z86" s="116"/>
      <c r="AA86" s="116"/>
      <c r="AB86" s="116"/>
      <c r="AC86" s="116"/>
      <c r="AD86" s="116"/>
      <c r="AE86" s="116"/>
      <c r="AF86" s="102"/>
    </row>
    <row r="87" spans="1:32" ht="18.75" thickBot="1" x14ac:dyDescent="0.4">
      <c r="A87" s="124"/>
      <c r="B87" s="119"/>
      <c r="C87" s="119"/>
      <c r="D87" s="119"/>
      <c r="E87" s="133" t="s">
        <v>379</v>
      </c>
      <c r="F87" s="175">
        <f>CHOOSE(FB_type,Ccomp_iso_calc,CComp_calc)*10^9</f>
        <v>1072.8612607700163</v>
      </c>
      <c r="G87" s="193" t="s">
        <v>172</v>
      </c>
      <c r="H87" s="174">
        <v>220</v>
      </c>
      <c r="I87" s="164" t="s">
        <v>172</v>
      </c>
      <c r="J87" s="119"/>
      <c r="K87" s="116"/>
      <c r="L87" s="116"/>
      <c r="M87" s="116"/>
      <c r="N87" s="116"/>
      <c r="O87" s="116"/>
      <c r="P87" s="116"/>
      <c r="Q87" s="116"/>
      <c r="R87" s="116"/>
      <c r="S87" s="116"/>
      <c r="T87" s="116"/>
      <c r="U87" s="116"/>
      <c r="V87" s="116"/>
      <c r="W87" s="116"/>
      <c r="X87" s="119"/>
      <c r="Y87" s="116"/>
      <c r="Z87" s="116"/>
      <c r="AA87" s="116"/>
      <c r="AB87" s="116"/>
      <c r="AC87" s="116"/>
      <c r="AD87" s="116"/>
      <c r="AE87" s="116"/>
      <c r="AF87" s="102"/>
    </row>
    <row r="88" spans="1:32" ht="18.75" thickBot="1" x14ac:dyDescent="0.4">
      <c r="A88" s="131"/>
      <c r="B88" s="128"/>
      <c r="C88" s="128"/>
      <c r="D88" s="128"/>
      <c r="E88" s="135" t="s">
        <v>380</v>
      </c>
      <c r="F88" s="173">
        <f>CHOOSE(FB_type,0,Variable_Management!B271)*(10^12)</f>
        <v>0</v>
      </c>
      <c r="G88" s="194" t="s">
        <v>171</v>
      </c>
      <c r="H88" s="167">
        <v>720</v>
      </c>
      <c r="I88" s="179" t="s">
        <v>171</v>
      </c>
      <c r="J88" s="119"/>
      <c r="K88" s="116"/>
      <c r="L88" s="116"/>
      <c r="M88" s="116"/>
      <c r="N88" s="116"/>
      <c r="O88" s="116"/>
      <c r="P88" s="116"/>
      <c r="Q88" s="116"/>
      <c r="R88" s="116"/>
      <c r="S88" s="116"/>
      <c r="T88" s="116"/>
      <c r="U88" s="116"/>
      <c r="V88" s="116"/>
      <c r="W88" s="116"/>
      <c r="X88" s="119"/>
      <c r="Y88" s="116"/>
      <c r="Z88" s="116"/>
      <c r="AA88" s="116"/>
      <c r="AB88" s="116"/>
      <c r="AC88" s="116"/>
      <c r="AD88" s="116"/>
      <c r="AE88" s="116"/>
      <c r="AF88" s="102"/>
    </row>
    <row r="89" spans="1:32" x14ac:dyDescent="0.25">
      <c r="A89" s="116"/>
      <c r="B89" s="116"/>
      <c r="C89" s="116"/>
      <c r="D89" s="116"/>
      <c r="E89" s="117"/>
      <c r="F89" s="143"/>
      <c r="G89" s="117"/>
      <c r="H89" s="144"/>
      <c r="I89" s="116"/>
      <c r="J89" s="116"/>
      <c r="K89" s="116"/>
      <c r="L89" s="116"/>
      <c r="M89" s="116"/>
      <c r="N89" s="116"/>
      <c r="O89" s="116"/>
      <c r="P89" s="116"/>
      <c r="Q89" s="116"/>
      <c r="R89" s="116"/>
      <c r="S89" s="116"/>
      <c r="T89" s="116"/>
      <c r="U89" s="116"/>
      <c r="V89" s="116"/>
      <c r="W89" s="116"/>
      <c r="X89" s="119"/>
      <c r="Y89" s="116"/>
      <c r="Z89" s="116"/>
      <c r="AA89" s="116"/>
      <c r="AB89" s="116"/>
      <c r="AC89" s="116"/>
      <c r="AD89" s="116"/>
      <c r="AE89" s="116"/>
      <c r="AF89" s="102"/>
    </row>
    <row r="90" spans="1:32" ht="23.25" x14ac:dyDescent="0.35">
      <c r="A90" s="145" t="s">
        <v>274</v>
      </c>
      <c r="B90" s="146"/>
      <c r="C90" s="146"/>
      <c r="D90" s="146"/>
      <c r="E90" s="146"/>
      <c r="F90" s="146"/>
      <c r="G90" s="147"/>
      <c r="H90" s="146"/>
      <c r="I90" s="146"/>
      <c r="J90" s="146"/>
      <c r="K90" s="146"/>
      <c r="L90" s="146"/>
      <c r="M90" s="146"/>
      <c r="N90" s="146"/>
      <c r="O90" s="146"/>
      <c r="P90" s="146"/>
      <c r="Q90" s="146"/>
      <c r="R90" s="146"/>
      <c r="S90" s="146"/>
      <c r="T90" s="146"/>
      <c r="U90" s="146"/>
      <c r="V90" s="146"/>
      <c r="W90" s="148"/>
      <c r="X90" s="149"/>
      <c r="Y90" s="148"/>
      <c r="Z90" s="148"/>
      <c r="AA90" s="148"/>
      <c r="AB90" s="148"/>
      <c r="AC90" s="148"/>
      <c r="AD90" s="148"/>
      <c r="AE90" s="148"/>
    </row>
    <row r="91" spans="1:32" x14ac:dyDescent="0.25">
      <c r="A91" s="116"/>
      <c r="B91" s="116"/>
      <c r="C91" s="116"/>
      <c r="D91" s="116"/>
      <c r="E91" s="116"/>
      <c r="F91" s="116"/>
      <c r="G91" s="116"/>
      <c r="H91" s="116"/>
      <c r="I91" s="116"/>
      <c r="J91" s="116"/>
      <c r="K91" s="116"/>
      <c r="L91" s="116"/>
      <c r="M91" s="116"/>
      <c r="N91" s="116"/>
      <c r="O91" s="116"/>
      <c r="P91" s="116"/>
      <c r="Q91" s="116"/>
      <c r="R91" s="116"/>
      <c r="S91" s="116"/>
      <c r="T91" s="116"/>
      <c r="U91" s="116"/>
      <c r="V91" s="116"/>
      <c r="W91" s="116"/>
      <c r="X91" s="119"/>
      <c r="Y91" s="116"/>
      <c r="Z91" s="116"/>
      <c r="AA91" s="116"/>
      <c r="AB91" s="116"/>
      <c r="AC91" s="116"/>
      <c r="AD91" s="116"/>
      <c r="AE91" s="116"/>
      <c r="AF91" s="102"/>
    </row>
    <row r="92" spans="1:32" ht="19.5" thickBot="1" x14ac:dyDescent="0.35">
      <c r="A92" s="253" t="s">
        <v>344</v>
      </c>
      <c r="B92" s="119"/>
      <c r="C92" s="119"/>
      <c r="D92" s="119"/>
      <c r="E92" s="119"/>
      <c r="F92" s="116"/>
      <c r="G92" s="116"/>
      <c r="H92" s="119"/>
      <c r="I92" s="119"/>
      <c r="J92" s="119"/>
      <c r="K92" s="116"/>
      <c r="L92" s="116"/>
      <c r="M92" s="116"/>
      <c r="N92" s="116"/>
      <c r="O92" s="116"/>
      <c r="P92" s="116"/>
      <c r="Q92" s="116"/>
      <c r="R92" s="116"/>
      <c r="S92" s="116"/>
      <c r="T92" s="116"/>
      <c r="U92" s="116"/>
      <c r="V92" s="116"/>
      <c r="W92" s="116"/>
      <c r="X92" s="119"/>
      <c r="Y92" s="116"/>
      <c r="Z92" s="116"/>
      <c r="AA92" s="116"/>
      <c r="AB92" s="116"/>
      <c r="AC92" s="116"/>
      <c r="AD92" s="116"/>
      <c r="AE92" s="116"/>
      <c r="AF92" s="102"/>
    </row>
    <row r="93" spans="1:32" ht="15.75" x14ac:dyDescent="0.3">
      <c r="A93" s="120"/>
      <c r="B93" s="121"/>
      <c r="C93" s="121"/>
      <c r="D93" s="121"/>
      <c r="E93" s="121"/>
      <c r="F93" s="121"/>
      <c r="G93" s="150" t="s">
        <v>333</v>
      </c>
      <c r="H93" s="161">
        <v>8.6999999999999993</v>
      </c>
      <c r="I93" s="151" t="s">
        <v>339</v>
      </c>
      <c r="J93" s="230"/>
      <c r="K93" s="116"/>
      <c r="L93" s="116"/>
      <c r="M93" s="116"/>
      <c r="N93" s="116"/>
      <c r="O93" s="116"/>
      <c r="P93" s="116"/>
      <c r="Q93" s="116"/>
      <c r="R93" s="116"/>
      <c r="S93" s="116"/>
      <c r="T93" s="116"/>
      <c r="U93" s="116"/>
      <c r="V93" s="116"/>
      <c r="W93" s="116"/>
      <c r="X93" s="119"/>
      <c r="Y93" s="116"/>
      <c r="Z93" s="116"/>
      <c r="AA93" s="116"/>
      <c r="AB93" s="116"/>
      <c r="AC93" s="116"/>
      <c r="AD93" s="116"/>
      <c r="AE93" s="116"/>
      <c r="AF93" s="102"/>
    </row>
    <row r="94" spans="1:32" ht="15.75" x14ac:dyDescent="0.3">
      <c r="A94" s="140"/>
      <c r="B94" s="119"/>
      <c r="C94" s="119"/>
      <c r="D94" s="119"/>
      <c r="E94" s="119"/>
      <c r="F94" s="119"/>
      <c r="G94" s="152" t="s">
        <v>334</v>
      </c>
      <c r="H94" s="162">
        <v>35</v>
      </c>
      <c r="I94" s="153" t="s">
        <v>340</v>
      </c>
      <c r="J94" s="230"/>
      <c r="K94" s="116"/>
      <c r="L94" s="116"/>
      <c r="M94" s="116"/>
      <c r="N94" s="116"/>
      <c r="O94" s="116"/>
      <c r="P94" s="116"/>
      <c r="Q94" s="116"/>
      <c r="R94" s="116"/>
      <c r="S94" s="116"/>
      <c r="T94" s="116"/>
      <c r="U94" s="116"/>
      <c r="V94" s="116"/>
      <c r="W94" s="116"/>
      <c r="X94" s="119"/>
      <c r="Y94" s="116"/>
      <c r="Z94" s="116"/>
      <c r="AA94" s="116"/>
      <c r="AB94" s="116"/>
      <c r="AC94" s="116"/>
      <c r="AD94" s="116"/>
      <c r="AE94" s="116"/>
      <c r="AF94" s="102"/>
    </row>
    <row r="95" spans="1:32" ht="15.75" x14ac:dyDescent="0.3">
      <c r="A95" s="140"/>
      <c r="B95" s="119"/>
      <c r="C95" s="119"/>
      <c r="D95" s="119"/>
      <c r="E95" s="119"/>
      <c r="F95" s="119"/>
      <c r="G95" s="152" t="s">
        <v>335</v>
      </c>
      <c r="H95" s="162">
        <v>4.9000000000000004</v>
      </c>
      <c r="I95" s="153" t="s">
        <v>340</v>
      </c>
      <c r="J95" s="230"/>
      <c r="K95" s="116"/>
      <c r="L95" s="116"/>
      <c r="M95" s="116"/>
      <c r="N95" s="116"/>
      <c r="O95" s="116"/>
      <c r="P95" s="116"/>
      <c r="Q95" s="116"/>
      <c r="R95" s="116"/>
      <c r="S95" s="116"/>
      <c r="T95" s="116"/>
      <c r="U95" s="116"/>
      <c r="V95" s="116"/>
      <c r="W95" s="116"/>
      <c r="X95" s="119"/>
      <c r="Y95" s="116"/>
      <c r="Z95" s="116"/>
      <c r="AA95" s="116"/>
      <c r="AB95" s="116"/>
      <c r="AC95" s="116"/>
      <c r="AD95" s="116"/>
      <c r="AE95" s="116"/>
      <c r="AF95" s="102"/>
    </row>
    <row r="96" spans="1:32" ht="15.75" x14ac:dyDescent="0.3">
      <c r="A96" s="124"/>
      <c r="B96" s="119"/>
      <c r="C96" s="119"/>
      <c r="D96" s="119"/>
      <c r="E96" s="119"/>
      <c r="F96" s="119"/>
      <c r="G96" s="152" t="s">
        <v>336</v>
      </c>
      <c r="H96" s="162">
        <v>7.9</v>
      </c>
      <c r="I96" s="153" t="s">
        <v>340</v>
      </c>
      <c r="J96" s="230"/>
      <c r="K96" s="116"/>
      <c r="L96" s="116"/>
      <c r="M96" s="116"/>
      <c r="N96" s="116"/>
      <c r="O96" s="116"/>
      <c r="P96" s="116"/>
      <c r="Q96" s="116"/>
      <c r="R96" s="116"/>
      <c r="S96" s="116"/>
      <c r="T96" s="116"/>
      <c r="U96" s="116"/>
      <c r="V96" s="116"/>
      <c r="W96" s="116"/>
      <c r="X96" s="119"/>
      <c r="Y96" s="116"/>
      <c r="Z96" s="116"/>
      <c r="AA96" s="116"/>
      <c r="AB96" s="116"/>
      <c r="AC96" s="116"/>
      <c r="AD96" s="116"/>
      <c r="AE96" s="116"/>
      <c r="AF96" s="102"/>
    </row>
    <row r="97" spans="1:32" ht="15.75" x14ac:dyDescent="0.3">
      <c r="A97" s="124"/>
      <c r="B97" s="119"/>
      <c r="C97" s="119"/>
      <c r="D97" s="119"/>
      <c r="E97" s="119"/>
      <c r="F97" s="119"/>
      <c r="G97" s="152" t="s">
        <v>337</v>
      </c>
      <c r="H97" s="162">
        <v>1.5</v>
      </c>
      <c r="I97" s="153" t="s">
        <v>341</v>
      </c>
      <c r="J97" s="230"/>
      <c r="K97" s="116"/>
      <c r="L97" s="116"/>
      <c r="M97" s="116"/>
      <c r="N97" s="116"/>
      <c r="O97" s="116"/>
      <c r="P97" s="116"/>
      <c r="Q97" s="116"/>
      <c r="R97" s="116"/>
      <c r="S97" s="116"/>
      <c r="T97" s="116"/>
      <c r="U97" s="116"/>
      <c r="V97" s="116"/>
      <c r="W97" s="116"/>
      <c r="X97" s="119"/>
      <c r="Y97" s="116"/>
      <c r="Z97" s="116"/>
      <c r="AA97" s="116"/>
      <c r="AB97" s="116"/>
      <c r="AC97" s="116"/>
      <c r="AD97" s="116"/>
      <c r="AE97" s="116"/>
      <c r="AF97" s="102"/>
    </row>
    <row r="98" spans="1:32" ht="16.5" thickBot="1" x14ac:dyDescent="0.35">
      <c r="A98" s="131"/>
      <c r="B98" s="128"/>
      <c r="C98" s="128"/>
      <c r="D98" s="128"/>
      <c r="E98" s="128"/>
      <c r="F98" s="128"/>
      <c r="G98" s="154" t="s">
        <v>338</v>
      </c>
      <c r="H98" s="167">
        <v>1.7</v>
      </c>
      <c r="I98" s="155" t="s">
        <v>11</v>
      </c>
      <c r="J98" s="230"/>
      <c r="K98" s="116"/>
      <c r="L98" s="116"/>
      <c r="M98" s="116"/>
      <c r="N98" s="116"/>
      <c r="O98" s="116"/>
      <c r="P98" s="116"/>
      <c r="Q98" s="116"/>
      <c r="R98" s="116"/>
      <c r="S98" s="116"/>
      <c r="T98" s="116"/>
      <c r="U98" s="116"/>
      <c r="V98" s="116"/>
      <c r="W98" s="116"/>
      <c r="X98" s="119"/>
      <c r="Y98" s="116"/>
      <c r="Z98" s="116"/>
      <c r="AA98" s="116"/>
      <c r="AB98" s="116"/>
      <c r="AC98" s="116"/>
      <c r="AD98" s="116"/>
      <c r="AE98" s="116"/>
      <c r="AF98" s="102"/>
    </row>
    <row r="99" spans="1:32" x14ac:dyDescent="0.25">
      <c r="A99" s="116"/>
      <c r="B99" s="116"/>
      <c r="C99" s="116"/>
      <c r="D99" s="116"/>
      <c r="E99" s="116"/>
      <c r="F99" s="116"/>
      <c r="G99" s="117"/>
      <c r="H99" s="116"/>
      <c r="I99" s="119"/>
      <c r="J99" s="119"/>
      <c r="K99" s="116"/>
      <c r="L99" s="116"/>
      <c r="M99" s="116"/>
      <c r="N99" s="116"/>
      <c r="O99" s="116"/>
      <c r="P99" s="116"/>
      <c r="Q99" s="116"/>
      <c r="R99" s="116"/>
      <c r="S99" s="116"/>
      <c r="T99" s="116"/>
      <c r="U99" s="116"/>
      <c r="V99" s="116"/>
      <c r="W99" s="116"/>
      <c r="X99" s="119"/>
      <c r="Y99" s="116"/>
      <c r="Z99" s="116"/>
      <c r="AA99" s="116"/>
      <c r="AB99" s="116"/>
      <c r="AC99" s="116"/>
      <c r="AD99" s="116"/>
      <c r="AE99" s="116"/>
      <c r="AF99" s="102"/>
    </row>
    <row r="100" spans="1:32" ht="18.75" x14ac:dyDescent="0.3">
      <c r="A100" s="253" t="s">
        <v>343</v>
      </c>
      <c r="B100" s="119"/>
      <c r="C100" s="119"/>
      <c r="D100" s="119"/>
      <c r="E100" s="119"/>
      <c r="F100" s="119"/>
      <c r="G100" s="133"/>
      <c r="H100" s="116"/>
      <c r="I100" s="116"/>
      <c r="J100" s="116"/>
      <c r="K100" s="116"/>
      <c r="L100" s="116"/>
      <c r="M100" s="116"/>
      <c r="N100" s="116"/>
      <c r="O100" s="116"/>
      <c r="P100" s="116"/>
      <c r="Q100" s="116"/>
      <c r="R100" s="116"/>
      <c r="S100" s="116"/>
      <c r="T100" s="116"/>
      <c r="U100" s="116"/>
      <c r="V100" s="116"/>
      <c r="W100" s="116"/>
      <c r="X100" s="119"/>
      <c r="Y100" s="116"/>
      <c r="Z100" s="116"/>
      <c r="AA100" s="116"/>
      <c r="AB100" s="116"/>
      <c r="AC100" s="116"/>
      <c r="AD100" s="116"/>
      <c r="AE100" s="116"/>
      <c r="AF100" s="102"/>
    </row>
    <row r="101" spans="1:32" ht="16.5" thickBot="1" x14ac:dyDescent="0.3">
      <c r="A101" s="124"/>
      <c r="B101" s="119"/>
      <c r="C101" s="119"/>
      <c r="D101" s="119"/>
      <c r="E101" s="119"/>
      <c r="F101" s="119"/>
      <c r="G101" s="236" t="s">
        <v>673</v>
      </c>
      <c r="H101" s="252"/>
      <c r="I101" s="119"/>
      <c r="J101" s="119"/>
      <c r="K101" s="116"/>
      <c r="L101" s="116"/>
      <c r="M101" s="116"/>
      <c r="N101" s="116"/>
      <c r="O101" s="116"/>
      <c r="P101" s="116"/>
      <c r="Q101" s="116"/>
      <c r="R101" s="116"/>
      <c r="S101" s="116"/>
      <c r="T101" s="116"/>
      <c r="U101" s="116"/>
      <c r="V101" s="116"/>
      <c r="W101" s="116"/>
      <c r="X101" s="119"/>
      <c r="Y101" s="116"/>
      <c r="Z101" s="116"/>
      <c r="AA101" s="116"/>
      <c r="AB101" s="116"/>
      <c r="AC101" s="116"/>
      <c r="AD101" s="116"/>
      <c r="AE101" s="116"/>
      <c r="AF101" s="102"/>
    </row>
    <row r="102" spans="1:32" ht="18" x14ac:dyDescent="0.35">
      <c r="A102" s="120"/>
      <c r="B102" s="121"/>
      <c r="C102" s="121"/>
      <c r="D102" s="121"/>
      <c r="E102" s="121"/>
      <c r="F102" s="121"/>
      <c r="G102" s="137" t="s">
        <v>694</v>
      </c>
      <c r="H102" s="161">
        <v>300</v>
      </c>
      <c r="I102" s="123" t="s">
        <v>147</v>
      </c>
      <c r="J102" s="119"/>
      <c r="K102" s="116"/>
      <c r="L102" s="116"/>
      <c r="M102" s="116"/>
      <c r="N102" s="116"/>
      <c r="O102" s="116"/>
      <c r="P102" s="116"/>
      <c r="Q102" s="116"/>
      <c r="R102" s="116"/>
      <c r="S102" s="116"/>
      <c r="T102" s="116"/>
      <c r="U102" s="116"/>
      <c r="V102" s="116"/>
      <c r="W102" s="116"/>
      <c r="X102" s="119"/>
      <c r="Y102" s="116"/>
      <c r="Z102" s="116"/>
      <c r="AA102" s="116"/>
      <c r="AB102" s="116"/>
      <c r="AC102" s="116"/>
      <c r="AD102" s="116"/>
      <c r="AE102" s="116"/>
      <c r="AF102" s="102"/>
    </row>
    <row r="103" spans="1:32" ht="18.75" thickBot="1" x14ac:dyDescent="0.4">
      <c r="A103" s="131"/>
      <c r="B103" s="128"/>
      <c r="C103" s="128"/>
      <c r="D103" s="128"/>
      <c r="E103" s="128"/>
      <c r="F103" s="128"/>
      <c r="G103" s="135" t="s">
        <v>692</v>
      </c>
      <c r="H103" s="167">
        <v>10</v>
      </c>
      <c r="I103" s="129" t="s">
        <v>340</v>
      </c>
      <c r="J103" s="119"/>
      <c r="K103" s="116"/>
      <c r="L103" s="116"/>
      <c r="M103" s="116"/>
      <c r="N103" s="116"/>
      <c r="O103" s="116"/>
      <c r="P103" s="116"/>
      <c r="Q103" s="116"/>
      <c r="R103" s="116"/>
      <c r="S103" s="116"/>
      <c r="T103" s="116"/>
      <c r="U103" s="116"/>
      <c r="V103" s="116"/>
      <c r="W103" s="116"/>
      <c r="X103" s="119"/>
      <c r="Y103" s="116"/>
      <c r="Z103" s="116"/>
      <c r="AA103" s="116"/>
      <c r="AB103" s="116"/>
      <c r="AC103" s="116"/>
      <c r="AD103" s="116"/>
      <c r="AE103" s="116"/>
      <c r="AF103" s="102"/>
    </row>
    <row r="104" spans="1:32" x14ac:dyDescent="0.25">
      <c r="A104" s="124"/>
      <c r="B104" s="119"/>
      <c r="C104" s="119"/>
      <c r="D104" s="119"/>
      <c r="E104" s="119"/>
      <c r="F104" s="116"/>
      <c r="G104" s="117"/>
      <c r="H104" s="116"/>
      <c r="I104" s="116"/>
      <c r="J104" s="119"/>
      <c r="K104" s="116"/>
      <c r="L104" s="116"/>
      <c r="M104" s="116"/>
      <c r="N104" s="116"/>
      <c r="O104" s="116"/>
      <c r="P104" s="116"/>
      <c r="Q104" s="116"/>
      <c r="R104" s="116"/>
      <c r="S104" s="116"/>
      <c r="T104" s="116"/>
      <c r="U104" s="116"/>
      <c r="V104" s="116"/>
      <c r="W104" s="116"/>
      <c r="X104" s="119"/>
      <c r="Y104" s="116"/>
      <c r="Z104" s="116"/>
      <c r="AA104" s="116"/>
      <c r="AB104" s="116"/>
      <c r="AC104" s="116"/>
      <c r="AD104" s="116"/>
      <c r="AE104" s="116"/>
      <c r="AF104" s="102"/>
    </row>
    <row r="105" spans="1:32" ht="16.5" thickBot="1" x14ac:dyDescent="0.3">
      <c r="A105" s="124"/>
      <c r="B105" s="119"/>
      <c r="C105" s="119"/>
      <c r="D105" s="119"/>
      <c r="E105" s="119"/>
      <c r="F105" s="119"/>
      <c r="G105" s="236" t="s">
        <v>674</v>
      </c>
      <c r="H105" s="119"/>
      <c r="I105" s="119"/>
      <c r="J105" s="119"/>
      <c r="K105" s="116"/>
      <c r="L105" s="116"/>
      <c r="M105" s="116"/>
      <c r="N105" s="116"/>
      <c r="O105" s="116"/>
      <c r="P105" s="116"/>
      <c r="Q105" s="116"/>
      <c r="R105" s="116"/>
      <c r="S105" s="116"/>
      <c r="T105" s="116"/>
      <c r="U105" s="116"/>
      <c r="V105" s="116"/>
      <c r="W105" s="116"/>
      <c r="X105" s="119"/>
      <c r="Y105" s="116"/>
      <c r="Z105" s="116"/>
      <c r="AA105" s="116"/>
      <c r="AB105" s="116"/>
      <c r="AC105" s="116"/>
      <c r="AD105" s="116"/>
      <c r="AE105" s="116"/>
      <c r="AF105" s="102"/>
    </row>
    <row r="106" spans="1:32" ht="18" x14ac:dyDescent="0.35">
      <c r="A106" s="120"/>
      <c r="B106" s="121"/>
      <c r="C106" s="121"/>
      <c r="D106" s="121"/>
      <c r="E106" s="121"/>
      <c r="F106" s="121"/>
      <c r="G106" s="137" t="s">
        <v>695</v>
      </c>
      <c r="H106" s="161">
        <v>300</v>
      </c>
      <c r="I106" s="123" t="s">
        <v>147</v>
      </c>
      <c r="J106" s="119"/>
      <c r="K106" s="116"/>
      <c r="L106" s="116"/>
      <c r="M106" s="116"/>
      <c r="N106" s="116"/>
      <c r="O106" s="116"/>
      <c r="P106" s="116"/>
      <c r="Q106" s="116"/>
      <c r="R106" s="116"/>
      <c r="S106" s="116"/>
      <c r="T106" s="116"/>
      <c r="U106" s="116"/>
      <c r="V106" s="116"/>
      <c r="W106" s="116"/>
      <c r="X106" s="119"/>
      <c r="Y106" s="116"/>
      <c r="Z106" s="116"/>
      <c r="AA106" s="116"/>
      <c r="AB106" s="116"/>
      <c r="AC106" s="116"/>
      <c r="AD106" s="116"/>
      <c r="AE106" s="116"/>
      <c r="AF106" s="102"/>
    </row>
    <row r="107" spans="1:32" ht="18.75" thickBot="1" x14ac:dyDescent="0.4">
      <c r="A107" s="131"/>
      <c r="B107" s="128"/>
      <c r="C107" s="128"/>
      <c r="D107" s="128"/>
      <c r="E107" s="128"/>
      <c r="F107" s="128"/>
      <c r="G107" s="135" t="s">
        <v>693</v>
      </c>
      <c r="H107" s="167">
        <v>10</v>
      </c>
      <c r="I107" s="129" t="s">
        <v>340</v>
      </c>
      <c r="J107" s="119"/>
      <c r="K107" s="116"/>
      <c r="L107" s="116"/>
      <c r="M107" s="116"/>
      <c r="N107" s="116"/>
      <c r="O107" s="116"/>
      <c r="P107" s="116"/>
      <c r="Q107" s="116"/>
      <c r="R107" s="116"/>
      <c r="S107" s="116"/>
      <c r="T107" s="116"/>
      <c r="U107" s="116"/>
      <c r="V107" s="116"/>
      <c r="W107" s="116"/>
      <c r="X107" s="119"/>
      <c r="Y107" s="116"/>
      <c r="Z107" s="116"/>
      <c r="AA107" s="116"/>
      <c r="AB107" s="116"/>
      <c r="AC107" s="116"/>
      <c r="AD107" s="116"/>
      <c r="AE107" s="116"/>
      <c r="AF107" s="102"/>
    </row>
    <row r="108" spans="1:32" x14ac:dyDescent="0.25">
      <c r="A108" s="119"/>
      <c r="B108" s="119"/>
      <c r="C108" s="119"/>
      <c r="D108" s="119"/>
      <c r="E108" s="119"/>
      <c r="F108" s="116"/>
      <c r="G108" s="117"/>
      <c r="H108" s="116"/>
      <c r="I108" s="116"/>
      <c r="J108" s="119"/>
      <c r="K108" s="116"/>
      <c r="L108" s="116"/>
      <c r="M108" s="116"/>
      <c r="N108" s="116"/>
      <c r="O108" s="116"/>
      <c r="P108" s="116"/>
      <c r="Q108" s="116"/>
      <c r="R108" s="116"/>
      <c r="S108" s="116"/>
      <c r="T108" s="116"/>
      <c r="U108" s="116"/>
      <c r="V108" s="116"/>
      <c r="W108" s="116"/>
      <c r="X108" s="119"/>
      <c r="Y108" s="116"/>
      <c r="Z108" s="116"/>
      <c r="AA108" s="116"/>
      <c r="AB108" s="116"/>
      <c r="AC108" s="116"/>
      <c r="AD108" s="116"/>
      <c r="AE108" s="116"/>
      <c r="AF108" s="102"/>
    </row>
    <row r="109" spans="1:32" ht="16.5" thickBot="1" x14ac:dyDescent="0.3">
      <c r="A109" s="119"/>
      <c r="B109" s="119"/>
      <c r="C109" s="119"/>
      <c r="D109" s="119"/>
      <c r="E109" s="119"/>
      <c r="F109" s="119"/>
      <c r="G109" s="236" t="s">
        <v>675</v>
      </c>
      <c r="H109" s="119"/>
      <c r="I109" s="119"/>
      <c r="J109" s="119"/>
      <c r="K109" s="116"/>
      <c r="L109" s="116"/>
      <c r="M109" s="116"/>
      <c r="N109" s="116"/>
      <c r="O109" s="116"/>
      <c r="P109" s="116"/>
      <c r="Q109" s="116"/>
      <c r="R109" s="116"/>
      <c r="S109" s="116"/>
      <c r="T109" s="116"/>
      <c r="U109" s="116"/>
      <c r="V109" s="116"/>
      <c r="W109" s="116"/>
      <c r="X109" s="119"/>
      <c r="Y109" s="116"/>
      <c r="Z109" s="116"/>
      <c r="AA109" s="116"/>
      <c r="AB109" s="116"/>
      <c r="AC109" s="116"/>
      <c r="AD109" s="116"/>
      <c r="AE109" s="116"/>
      <c r="AF109" s="102"/>
    </row>
    <row r="110" spans="1:32" ht="18" x14ac:dyDescent="0.35">
      <c r="A110" s="120"/>
      <c r="B110" s="121"/>
      <c r="C110" s="121"/>
      <c r="D110" s="121"/>
      <c r="E110" s="121"/>
      <c r="F110" s="121"/>
      <c r="G110" s="137" t="s">
        <v>696</v>
      </c>
      <c r="H110" s="161">
        <v>500</v>
      </c>
      <c r="I110" s="123" t="s">
        <v>147</v>
      </c>
      <c r="J110" s="116"/>
      <c r="K110" s="116"/>
      <c r="L110" s="116"/>
      <c r="M110" s="116"/>
      <c r="N110" s="116"/>
      <c r="O110" s="116"/>
      <c r="P110" s="116"/>
      <c r="Q110" s="116"/>
      <c r="R110" s="116"/>
      <c r="S110" s="116"/>
      <c r="T110" s="116"/>
      <c r="U110" s="116"/>
      <c r="V110" s="116"/>
      <c r="W110" s="116"/>
      <c r="X110" s="119"/>
      <c r="Y110" s="116"/>
      <c r="Z110" s="116"/>
      <c r="AA110" s="116"/>
      <c r="AB110" s="116"/>
      <c r="AC110" s="116"/>
      <c r="AD110" s="116"/>
      <c r="AE110" s="116"/>
      <c r="AF110" s="102"/>
    </row>
    <row r="111" spans="1:32" ht="18.75" thickBot="1" x14ac:dyDescent="0.4">
      <c r="A111" s="131"/>
      <c r="B111" s="128"/>
      <c r="C111" s="128"/>
      <c r="D111" s="128"/>
      <c r="E111" s="128"/>
      <c r="F111" s="128"/>
      <c r="G111" s="135" t="s">
        <v>691</v>
      </c>
      <c r="H111" s="167">
        <v>10</v>
      </c>
      <c r="I111" s="129" t="s">
        <v>340</v>
      </c>
      <c r="J111" s="116"/>
      <c r="K111" s="116"/>
      <c r="L111" s="116"/>
      <c r="M111" s="116"/>
      <c r="N111" s="116"/>
      <c r="O111" s="116"/>
      <c r="P111" s="116"/>
      <c r="Q111" s="116"/>
      <c r="R111" s="116"/>
      <c r="S111" s="116"/>
      <c r="T111" s="116"/>
      <c r="U111" s="116"/>
      <c r="V111" s="116"/>
      <c r="W111" s="116"/>
      <c r="X111" s="119"/>
      <c r="Y111" s="116"/>
      <c r="Z111" s="116"/>
      <c r="AA111" s="116"/>
      <c r="AB111" s="116"/>
      <c r="AC111" s="116"/>
      <c r="AD111" s="116"/>
      <c r="AE111" s="116"/>
      <c r="AF111" s="102"/>
    </row>
    <row r="112" spans="1:32" x14ac:dyDescent="0.25">
      <c r="A112" s="116"/>
      <c r="B112" s="116"/>
      <c r="C112" s="116"/>
      <c r="D112" s="116"/>
      <c r="E112" s="116"/>
      <c r="F112" s="116"/>
      <c r="G112" s="117"/>
      <c r="H112" s="116"/>
      <c r="I112" s="116"/>
      <c r="J112" s="116"/>
      <c r="K112" s="116"/>
      <c r="L112" s="116"/>
      <c r="M112" s="116"/>
      <c r="N112" s="116"/>
      <c r="O112" s="116"/>
      <c r="P112" s="116"/>
      <c r="Q112" s="116"/>
      <c r="R112" s="116"/>
      <c r="S112" s="116"/>
      <c r="T112" s="116"/>
      <c r="U112" s="116"/>
      <c r="V112" s="116"/>
      <c r="W112" s="116"/>
      <c r="X112" s="119"/>
      <c r="Y112" s="116"/>
      <c r="Z112" s="116"/>
      <c r="AA112" s="116"/>
      <c r="AB112" s="116"/>
      <c r="AC112" s="116"/>
      <c r="AD112" s="116"/>
      <c r="AE112" s="116"/>
      <c r="AF112" s="102"/>
    </row>
    <row r="113" spans="1:32" x14ac:dyDescent="0.25">
      <c r="A113" s="116"/>
      <c r="B113" s="116"/>
      <c r="C113" s="116"/>
      <c r="D113" s="116"/>
      <c r="E113" s="116"/>
      <c r="F113" s="116"/>
      <c r="G113" s="116"/>
      <c r="H113" s="116"/>
      <c r="I113" s="116"/>
      <c r="J113" s="116"/>
      <c r="K113" s="116"/>
      <c r="L113" s="116"/>
      <c r="M113" s="116"/>
      <c r="N113" s="116"/>
      <c r="O113" s="116"/>
      <c r="P113" s="116"/>
      <c r="Q113" s="116"/>
      <c r="R113" s="116"/>
      <c r="S113" s="116"/>
      <c r="T113" s="116"/>
      <c r="U113" s="116"/>
      <c r="V113" s="116"/>
      <c r="W113" s="116"/>
      <c r="X113" s="119"/>
      <c r="Y113" s="116"/>
      <c r="Z113" s="116"/>
      <c r="AA113" s="116"/>
      <c r="AB113" s="116"/>
      <c r="AC113" s="116"/>
      <c r="AD113" s="116"/>
      <c r="AE113" s="116"/>
      <c r="AF113" s="102"/>
    </row>
    <row r="114" spans="1:32" x14ac:dyDescent="0.25">
      <c r="A114" s="116"/>
      <c r="B114" s="116"/>
      <c r="C114" s="116"/>
      <c r="D114" s="116"/>
      <c r="E114" s="116"/>
      <c r="F114" s="116"/>
      <c r="G114" s="116"/>
      <c r="H114" s="116"/>
      <c r="I114" s="116"/>
      <c r="J114" s="116"/>
      <c r="K114" s="116"/>
      <c r="L114" s="116"/>
      <c r="M114" s="116"/>
      <c r="N114" s="116"/>
      <c r="O114" s="116"/>
      <c r="P114" s="116"/>
      <c r="Q114" s="116"/>
      <c r="R114" s="116"/>
      <c r="S114" s="116"/>
      <c r="T114" s="116"/>
      <c r="U114" s="116"/>
      <c r="V114" s="116"/>
      <c r="W114" s="116"/>
      <c r="X114" s="119"/>
      <c r="Y114" s="116"/>
      <c r="Z114" s="116"/>
      <c r="AA114" s="116"/>
      <c r="AB114" s="116"/>
      <c r="AC114" s="116"/>
      <c r="AD114" s="116"/>
      <c r="AE114" s="116"/>
      <c r="AF114" s="102"/>
    </row>
    <row r="115" spans="1:32" x14ac:dyDescent="0.25">
      <c r="A115" s="116"/>
      <c r="B115" s="116"/>
      <c r="C115" s="116"/>
      <c r="D115" s="116"/>
      <c r="E115" s="116"/>
      <c r="F115" s="116"/>
      <c r="G115" s="117"/>
      <c r="H115" s="116"/>
      <c r="I115" s="116"/>
      <c r="J115" s="116"/>
      <c r="K115" s="116"/>
      <c r="L115" s="116"/>
      <c r="M115" s="116"/>
      <c r="N115" s="116"/>
      <c r="O115" s="116"/>
      <c r="P115" s="116"/>
      <c r="Q115" s="116"/>
      <c r="R115" s="116"/>
      <c r="S115" s="116"/>
      <c r="T115" s="116"/>
      <c r="U115" s="116"/>
      <c r="V115" s="116"/>
      <c r="W115" s="116"/>
      <c r="X115" s="119"/>
      <c r="Y115" s="116"/>
      <c r="Z115" s="116"/>
      <c r="AA115" s="116"/>
      <c r="AB115" s="116"/>
      <c r="AC115" s="116"/>
      <c r="AD115" s="116"/>
      <c r="AE115" s="116"/>
      <c r="AF115" s="102"/>
    </row>
    <row r="116" spans="1:32" x14ac:dyDescent="0.25">
      <c r="A116" s="116"/>
      <c r="B116" s="116"/>
      <c r="C116" s="116"/>
      <c r="D116" s="116"/>
      <c r="E116" s="116"/>
      <c r="F116" s="116"/>
      <c r="G116" s="117"/>
      <c r="H116" s="116"/>
      <c r="I116" s="116"/>
      <c r="J116" s="116"/>
      <c r="K116" s="116"/>
      <c r="L116" s="116"/>
      <c r="M116" s="116"/>
      <c r="N116" s="116"/>
      <c r="O116" s="116"/>
      <c r="P116" s="116"/>
      <c r="Q116" s="116"/>
      <c r="R116" s="116"/>
      <c r="S116" s="116"/>
      <c r="T116" s="116"/>
      <c r="U116" s="116"/>
      <c r="V116" s="116"/>
      <c r="W116" s="116"/>
      <c r="X116" s="119"/>
      <c r="Y116" s="116"/>
      <c r="Z116" s="116"/>
      <c r="AA116" s="116"/>
      <c r="AB116" s="116"/>
      <c r="AC116" s="116"/>
      <c r="AD116" s="116"/>
      <c r="AE116" s="116"/>
      <c r="AF116" s="102"/>
    </row>
    <row r="117" spans="1:32" x14ac:dyDescent="0.25">
      <c r="A117" s="116"/>
      <c r="B117" s="116"/>
      <c r="C117" s="116"/>
      <c r="D117" s="116"/>
      <c r="E117" s="116"/>
      <c r="F117" s="116"/>
      <c r="G117" s="116"/>
      <c r="H117" s="116"/>
      <c r="I117" s="116"/>
      <c r="J117" s="116"/>
      <c r="K117" s="116"/>
      <c r="L117" s="116"/>
      <c r="M117" s="116"/>
      <c r="N117" s="116"/>
      <c r="O117" s="116"/>
      <c r="P117" s="116"/>
      <c r="Q117" s="116"/>
      <c r="R117" s="116"/>
      <c r="S117" s="116"/>
      <c r="T117" s="116"/>
      <c r="U117" s="116"/>
      <c r="V117" s="116"/>
      <c r="W117" s="116"/>
      <c r="X117" s="119"/>
      <c r="Y117" s="116"/>
      <c r="Z117" s="116"/>
      <c r="AA117" s="116"/>
      <c r="AB117" s="116"/>
      <c r="AC117" s="116"/>
      <c r="AD117" s="116"/>
      <c r="AE117" s="116"/>
      <c r="AF117" s="102"/>
    </row>
    <row r="118" spans="1:32" x14ac:dyDescent="0.25">
      <c r="A118" s="116"/>
      <c r="B118" s="116"/>
      <c r="C118" s="116"/>
      <c r="D118" s="116"/>
      <c r="E118" s="116"/>
      <c r="F118" s="116"/>
      <c r="G118" s="116"/>
      <c r="H118" s="116"/>
      <c r="I118" s="116"/>
      <c r="J118" s="116"/>
      <c r="K118" s="116"/>
      <c r="L118" s="116"/>
      <c r="M118" s="116"/>
      <c r="N118" s="116"/>
      <c r="O118" s="116"/>
      <c r="P118" s="116"/>
      <c r="Q118" s="116"/>
      <c r="R118" s="116"/>
      <c r="S118" s="116"/>
      <c r="T118" s="116"/>
      <c r="U118" s="116"/>
      <c r="V118" s="116"/>
      <c r="W118" s="116"/>
      <c r="X118" s="119"/>
      <c r="Y118" s="116"/>
      <c r="Z118" s="116"/>
      <c r="AA118" s="116"/>
      <c r="AB118" s="116"/>
      <c r="AC118" s="116"/>
      <c r="AD118" s="116"/>
      <c r="AE118" s="116"/>
      <c r="AF118" s="102"/>
    </row>
    <row r="119" spans="1:32" x14ac:dyDescent="0.25">
      <c r="A119" s="116"/>
      <c r="B119" s="116"/>
      <c r="C119" s="116"/>
      <c r="D119" s="116"/>
      <c r="E119" s="116"/>
      <c r="F119" s="116"/>
      <c r="G119" s="117"/>
      <c r="H119" s="116"/>
      <c r="I119" s="116"/>
      <c r="J119" s="116"/>
      <c r="K119" s="116"/>
      <c r="L119" s="116"/>
      <c r="M119" s="116"/>
      <c r="N119" s="116"/>
      <c r="O119" s="116"/>
      <c r="P119" s="116"/>
      <c r="Q119" s="116"/>
      <c r="R119" s="116"/>
      <c r="S119" s="116"/>
      <c r="T119" s="116"/>
      <c r="U119" s="116"/>
      <c r="V119" s="116"/>
      <c r="W119" s="116"/>
      <c r="X119" s="119"/>
      <c r="Y119" s="116"/>
      <c r="Z119" s="116"/>
      <c r="AA119" s="116"/>
      <c r="AB119" s="116"/>
      <c r="AC119" s="116"/>
      <c r="AD119" s="116"/>
      <c r="AE119" s="116"/>
      <c r="AF119" s="102"/>
    </row>
    <row r="120" spans="1:32" x14ac:dyDescent="0.25">
      <c r="A120" s="116"/>
      <c r="B120" s="116"/>
      <c r="C120" s="116"/>
      <c r="D120" s="116"/>
      <c r="E120" s="116"/>
      <c r="F120" s="116"/>
      <c r="G120" s="117"/>
      <c r="H120" s="116"/>
      <c r="I120" s="116"/>
      <c r="J120" s="116"/>
      <c r="K120" s="116"/>
      <c r="L120" s="116"/>
      <c r="M120" s="116"/>
      <c r="N120" s="116"/>
      <c r="O120" s="116"/>
      <c r="P120" s="116"/>
      <c r="Q120" s="116"/>
      <c r="R120" s="116"/>
      <c r="S120" s="116"/>
      <c r="T120" s="116"/>
      <c r="U120" s="116"/>
      <c r="V120" s="116"/>
      <c r="W120" s="116"/>
      <c r="X120" s="119"/>
      <c r="Y120" s="116"/>
      <c r="Z120" s="116"/>
      <c r="AA120" s="116"/>
      <c r="AB120" s="116"/>
      <c r="AC120" s="116"/>
      <c r="AD120" s="116"/>
      <c r="AE120" s="116"/>
      <c r="AF120" s="102"/>
    </row>
    <row r="121" spans="1:32" x14ac:dyDescent="0.25">
      <c r="A121" s="116"/>
      <c r="B121" s="116"/>
      <c r="C121" s="116"/>
      <c r="D121" s="116"/>
      <c r="E121" s="116"/>
      <c r="F121" s="116"/>
      <c r="G121" s="117"/>
      <c r="H121" s="116"/>
      <c r="I121" s="116"/>
      <c r="J121" s="116"/>
      <c r="K121" s="116"/>
      <c r="L121" s="116"/>
      <c r="M121" s="116"/>
      <c r="N121" s="116"/>
      <c r="O121" s="116"/>
      <c r="P121" s="116"/>
      <c r="Q121" s="116"/>
      <c r="R121" s="116"/>
      <c r="S121" s="116"/>
      <c r="T121" s="116"/>
      <c r="U121" s="116"/>
      <c r="V121" s="116"/>
      <c r="W121" s="116"/>
      <c r="X121" s="119"/>
      <c r="Y121" s="116"/>
      <c r="Z121" s="116"/>
      <c r="AA121" s="116"/>
      <c r="AB121" s="116"/>
      <c r="AC121" s="116"/>
      <c r="AD121" s="116"/>
      <c r="AE121" s="116"/>
      <c r="AF121" s="102"/>
    </row>
    <row r="122" spans="1:32" x14ac:dyDescent="0.25">
      <c r="A122" s="116"/>
      <c r="B122" s="116"/>
      <c r="C122" s="116"/>
      <c r="D122" s="116"/>
      <c r="E122" s="116"/>
      <c r="F122" s="116"/>
      <c r="G122" s="117"/>
      <c r="H122" s="116"/>
      <c r="I122" s="116"/>
      <c r="J122" s="116"/>
      <c r="K122" s="116"/>
      <c r="L122" s="116"/>
      <c r="M122" s="116"/>
      <c r="N122" s="116"/>
      <c r="O122" s="116"/>
      <c r="P122" s="116"/>
      <c r="Q122" s="116"/>
      <c r="R122" s="116"/>
      <c r="S122" s="116"/>
      <c r="T122" s="116"/>
      <c r="U122" s="116"/>
      <c r="V122" s="116"/>
      <c r="W122" s="116"/>
      <c r="X122" s="119"/>
      <c r="Y122" s="116"/>
      <c r="Z122" s="116"/>
      <c r="AA122" s="116"/>
      <c r="AB122" s="116"/>
      <c r="AC122" s="116"/>
      <c r="AD122" s="116"/>
      <c r="AE122" s="116"/>
      <c r="AF122" s="102"/>
    </row>
    <row r="123" spans="1:32" x14ac:dyDescent="0.25">
      <c r="A123" s="156"/>
      <c r="B123" s="156"/>
      <c r="C123" s="156"/>
      <c r="D123" s="156"/>
      <c r="E123" s="156"/>
      <c r="F123" s="156"/>
      <c r="G123" s="157"/>
      <c r="H123" s="156"/>
      <c r="I123" s="156"/>
      <c r="J123" s="156"/>
      <c r="K123" s="156"/>
      <c r="L123" s="156"/>
      <c r="M123" s="156"/>
      <c r="N123" s="156"/>
      <c r="O123" s="156"/>
      <c r="P123" s="156"/>
      <c r="Q123" s="156"/>
      <c r="R123" s="156"/>
      <c r="S123" s="156"/>
      <c r="T123" s="156"/>
      <c r="U123" s="156"/>
      <c r="V123" s="156"/>
      <c r="W123" s="156"/>
      <c r="X123" s="104"/>
      <c r="Y123" s="156"/>
      <c r="Z123" s="156"/>
      <c r="AA123" s="156"/>
      <c r="AB123" s="156"/>
      <c r="AC123" s="156"/>
      <c r="AD123" s="156"/>
      <c r="AE123" s="156"/>
      <c r="AF123" s="102"/>
    </row>
  </sheetData>
  <sheetProtection password="E1A4" sheet="1" objects="1" scenarios="1"/>
  <conditionalFormatting sqref="H59">
    <cfRule type="expression" dxfId="17" priority="34">
      <formula>$H$8&gt;$H$9</formula>
    </cfRule>
    <cfRule type="expression" dxfId="16" priority="35">
      <formula>$H$8&lt;$H$7</formula>
    </cfRule>
  </conditionalFormatting>
  <conditionalFormatting sqref="H14">
    <cfRule type="cellIs" dxfId="15" priority="3" operator="greaterThan">
      <formula>2200</formula>
    </cfRule>
    <cfRule type="cellIs" dxfId="14" priority="4" operator="lessThan">
      <formula>50</formula>
    </cfRule>
  </conditionalFormatting>
  <pageMargins left="0.2" right="0.2" top="0.25" bottom="0.25" header="0" footer="0"/>
  <pageSetup paperSize="9" scale="44"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1060" r:id="rId4" name="Spinner 36">
              <controlPr defaultSize="0" autoPict="0">
                <anchor moveWithCells="1" sizeWithCells="1">
                  <from>
                    <xdr:col>8</xdr:col>
                    <xdr:colOff>9525</xdr:colOff>
                    <xdr:row>58</xdr:row>
                    <xdr:rowOff>9525</xdr:rowOff>
                  </from>
                  <to>
                    <xdr:col>9</xdr:col>
                    <xdr:colOff>0</xdr:colOff>
                    <xdr:row>59</xdr:row>
                    <xdr:rowOff>95250</xdr:rowOff>
                  </to>
                </anchor>
              </controlPr>
            </control>
          </mc:Choice>
        </mc:AlternateContent>
        <mc:AlternateContent xmlns:mc="http://schemas.openxmlformats.org/markup-compatibility/2006">
          <mc:Choice Requires="x14">
            <control shapeId="1064" r:id="rId5" name="Drop Down 40">
              <controlPr defaultSize="0" autoLine="0" autoPict="0">
                <anchor moveWithCells="1">
                  <from>
                    <xdr:col>7</xdr:col>
                    <xdr:colOff>9525</xdr:colOff>
                    <xdr:row>11</xdr:row>
                    <xdr:rowOff>0</xdr:rowOff>
                  </from>
                  <to>
                    <xdr:col>9</xdr:col>
                    <xdr:colOff>9525</xdr:colOff>
                    <xdr:row>12</xdr:row>
                    <xdr:rowOff>104775</xdr:rowOff>
                  </to>
                </anchor>
              </controlPr>
            </control>
          </mc:Choice>
        </mc:AlternateContent>
        <mc:AlternateContent xmlns:mc="http://schemas.openxmlformats.org/markup-compatibility/2006">
          <mc:Choice Requires="x14">
            <control shapeId="1157" r:id="rId6" name="Drop Down 133">
              <controlPr defaultSize="0" autoLine="0" autoPict="0">
                <anchor moveWithCells="1">
                  <from>
                    <xdr:col>7</xdr:col>
                    <xdr:colOff>9525</xdr:colOff>
                    <xdr:row>9</xdr:row>
                    <xdr:rowOff>28575</xdr:rowOff>
                  </from>
                  <to>
                    <xdr:col>9</xdr:col>
                    <xdr:colOff>0</xdr:colOff>
                    <xdr:row>10</xdr:row>
                    <xdr:rowOff>66675</xdr:rowOff>
                  </to>
                </anchor>
              </controlPr>
            </control>
          </mc:Choice>
        </mc:AlternateContent>
      </controls>
    </mc:Choice>
  </mc:AlternateContent>
  <extLst>
    <ext xmlns:x14="http://schemas.microsoft.com/office/spreadsheetml/2009/9/main" uri="{78C0D931-6437-407d-A8EE-F0AAD7539E65}">
      <x14:conditionalFormattings>
        <x14:conditionalFormatting xmlns:xm="http://schemas.microsoft.com/office/excel/2006/main">
          <x14:cfRule type="expression" priority="25" id="{AC968A9C-58F4-4EB9-B20E-EEB4BEC63EEA}">
            <xm:f>Variable_Management!$B$175=2</xm:f>
            <x14:dxf>
              <font>
                <strike/>
              </font>
              <fill>
                <patternFill>
                  <bgColor theme="0" tint="-0.24994659260841701"/>
                </patternFill>
              </fill>
            </x14:dxf>
          </x14:cfRule>
          <xm:sqref>H62</xm:sqref>
        </x14:conditionalFormatting>
        <x14:conditionalFormatting xmlns:xm="http://schemas.microsoft.com/office/excel/2006/main">
          <x14:cfRule type="expression" priority="24" id="{6AEF7AEB-8233-47F6-AF37-19EB8376E645}">
            <xm:f>Variable_Management!$B$175=2</xm:f>
            <x14:dxf>
              <font>
                <strike/>
              </font>
              <fill>
                <patternFill>
                  <bgColor theme="0" tint="-0.24994659260841701"/>
                </patternFill>
              </fill>
            </x14:dxf>
          </x14:cfRule>
          <xm:sqref>H68:H72</xm:sqref>
        </x14:conditionalFormatting>
        <x14:conditionalFormatting xmlns:xm="http://schemas.microsoft.com/office/excel/2006/main">
          <x14:cfRule type="expression" priority="23" id="{81FE1FA5-D030-47BB-8660-B00C315F14DB}">
            <xm:f>Variable_Management!$B$175=2</xm:f>
            <x14:dxf>
              <font>
                <strike/>
              </font>
              <fill>
                <patternFill>
                  <bgColor theme="0" tint="-0.24994659260841701"/>
                </patternFill>
              </fill>
            </x14:dxf>
          </x14:cfRule>
          <xm:sqref>H75:H77</xm:sqref>
        </x14:conditionalFormatting>
        <x14:conditionalFormatting xmlns:xm="http://schemas.microsoft.com/office/excel/2006/main">
          <x14:cfRule type="expression" priority="22" id="{E6F4B62A-2486-4776-951C-54AB970AD7E6}">
            <xm:f>Variable_Management!$B$175=1</xm:f>
            <x14:dxf>
              <font>
                <strike/>
              </font>
              <fill>
                <patternFill>
                  <bgColor theme="0" tint="-0.24994659260841701"/>
                </patternFill>
              </fill>
            </x14:dxf>
          </x14:cfRule>
          <xm:sqref>H88</xm:sqref>
        </x14:conditionalFormatting>
        <x14:conditionalFormatting xmlns:xm="http://schemas.microsoft.com/office/excel/2006/main">
          <x14:cfRule type="expression" priority="21" id="{E825D698-3E97-4429-BCA3-4B674CCA2086}">
            <xm:f>Variable_Management!$B$175=2</xm:f>
            <x14:dxf>
              <font>
                <strike/>
              </font>
              <fill>
                <patternFill>
                  <bgColor theme="0" tint="-0.24994659260841701"/>
                </patternFill>
              </fill>
            </x14:dxf>
          </x14:cfRule>
          <xm:sqref>H78:H79</xm:sqref>
        </x14:conditionalFormatting>
        <x14:conditionalFormatting xmlns:xm="http://schemas.microsoft.com/office/excel/2006/main">
          <x14:cfRule type="expression" priority="20" id="{26B2D2DD-EEF0-4676-9BB3-C4CF725A354D}">
            <xm:f>Variable_Management!$B$23=0</xm:f>
            <x14:dxf>
              <font>
                <strike val="0"/>
                <color theme="0"/>
              </font>
              <fill>
                <patternFill>
                  <bgColor theme="0"/>
                </patternFill>
              </fill>
              <border>
                <left/>
                <right/>
                <top/>
                <bottom/>
                <vertical/>
                <horizontal/>
              </border>
            </x14:dxf>
          </x14:cfRule>
          <xm:sqref>L13:O19 L39:N39</xm:sqref>
        </x14:conditionalFormatting>
        <x14:conditionalFormatting xmlns:xm="http://schemas.microsoft.com/office/excel/2006/main">
          <x14:cfRule type="expression" priority="19" id="{D8EED069-6203-4DCF-8C46-3C5EE8B9DF10}">
            <xm:f>Variable_Management!$B$32=0</xm:f>
            <x14:dxf>
              <font>
                <strike val="0"/>
                <color theme="0"/>
              </font>
              <fill>
                <patternFill>
                  <bgColor theme="0"/>
                </patternFill>
              </fill>
              <border>
                <left/>
                <right/>
                <top/>
                <bottom/>
                <vertical/>
                <horizontal/>
              </border>
            </x14:dxf>
          </x14:cfRule>
          <xm:sqref>L21:O28 R39:V39</xm:sqref>
        </x14:conditionalFormatting>
        <x14:conditionalFormatting xmlns:xm="http://schemas.microsoft.com/office/excel/2006/main">
          <x14:cfRule type="expression" priority="17" id="{A1636F6A-F43A-4AFB-95AC-F82BAB3F9F89}">
            <xm:f>Variable_Management!$B$23=0</xm:f>
            <x14:dxf>
              <font>
                <strike val="0"/>
                <color theme="0"/>
              </font>
              <fill>
                <patternFill>
                  <bgColor theme="0"/>
                </patternFill>
              </fill>
              <border>
                <left/>
                <right/>
                <top/>
                <bottom/>
                <vertical/>
                <horizontal/>
              </border>
            </x14:dxf>
          </x14:cfRule>
          <xm:sqref>N39</xm:sqref>
        </x14:conditionalFormatting>
        <x14:conditionalFormatting xmlns:xm="http://schemas.microsoft.com/office/excel/2006/main">
          <x14:cfRule type="expression" priority="16" id="{BDFF76D6-2BAE-460D-B594-665CE6C8F926}">
            <xm:f>Variable_Management!$B$23=0</xm:f>
            <x14:dxf>
              <font>
                <strike val="0"/>
                <color theme="0"/>
              </font>
              <fill>
                <patternFill>
                  <bgColor theme="0"/>
                </patternFill>
              </fill>
              <border>
                <left/>
                <right/>
                <top/>
                <bottom/>
                <vertical/>
                <horizontal/>
              </border>
            </x14:dxf>
          </x14:cfRule>
          <xm:sqref>K38:O38 K40:O43 O39</xm:sqref>
        </x14:conditionalFormatting>
        <x14:conditionalFormatting xmlns:xm="http://schemas.microsoft.com/office/excel/2006/main">
          <x14:cfRule type="expression" priority="15" id="{0A150974-020D-4E5A-BC65-8908D4CB4565}">
            <xm:f>Variable_Management!$B$32=0</xm:f>
            <x14:dxf>
              <font>
                <strike val="0"/>
                <color theme="0"/>
              </font>
              <fill>
                <patternFill>
                  <bgColor theme="0"/>
                </patternFill>
              </fill>
              <border>
                <left/>
                <right/>
                <top/>
                <bottom/>
                <vertical/>
                <horizontal/>
              </border>
            </x14:dxf>
          </x14:cfRule>
          <xm:sqref>Q38:W38 Q40:W43 W39</xm:sqref>
        </x14:conditionalFormatting>
        <x14:conditionalFormatting xmlns:xm="http://schemas.microsoft.com/office/excel/2006/main">
          <x14:cfRule type="expression" priority="14" id="{76EB9617-E5DB-468F-B8A0-DF3F0F41DE32}">
            <xm:f>Variable_Management!$B$175=1</xm:f>
            <x14:dxf>
              <font>
                <strike/>
              </font>
              <fill>
                <patternFill>
                  <bgColor theme="0" tint="-0.24994659260841701"/>
                </patternFill>
              </fill>
            </x14:dxf>
          </x14:cfRule>
          <xm:sqref>H47:H49</xm:sqref>
        </x14:conditionalFormatting>
        <x14:conditionalFormatting xmlns:xm="http://schemas.microsoft.com/office/excel/2006/main">
          <x14:cfRule type="expression" priority="12" id="{345BC91B-B706-4467-BDC9-AA2F120BCEF3}">
            <xm:f>Variable_Management!$B$23=0</xm:f>
            <x14:dxf>
              <border>
                <left/>
                <right/>
                <top/>
                <bottom/>
                <vertical/>
                <horizontal/>
              </border>
            </x14:dxf>
          </x14:cfRule>
          <xm:sqref>A30:C35</xm:sqref>
        </x14:conditionalFormatting>
        <x14:conditionalFormatting xmlns:xm="http://schemas.microsoft.com/office/excel/2006/main">
          <x14:cfRule type="expression" priority="2" id="{CF5C59F3-9578-4F3D-8CFA-89B0A81DA010}">
            <xm:f>Variable_Management!$B$23=0</xm:f>
            <x14:dxf>
              <font>
                <color theme="0"/>
              </font>
              <fill>
                <patternFill>
                  <bgColor theme="0"/>
                </patternFill>
              </fill>
              <border>
                <left style="thin">
                  <color theme="0"/>
                </left>
                <right style="thin">
                  <color theme="0"/>
                </right>
                <top style="thin">
                  <color theme="0"/>
                </top>
                <bottom style="thin">
                  <color theme="0"/>
                </bottom>
                <vertical/>
                <horizontal/>
              </border>
            </x14:dxf>
          </x14:cfRule>
          <xm:sqref>A105:I107</xm:sqref>
        </x14:conditionalFormatting>
        <x14:conditionalFormatting xmlns:xm="http://schemas.microsoft.com/office/excel/2006/main">
          <x14:cfRule type="expression" priority="1" id="{A0AC3576-B134-405E-A248-7E1B49921D90}">
            <xm:f>Variable_Management!$B$32=0</xm:f>
            <x14:dxf>
              <font>
                <color theme="0"/>
              </font>
              <fill>
                <patternFill>
                  <bgColor theme="0"/>
                </patternFill>
              </fill>
              <border>
                <left style="hair">
                  <color theme="0"/>
                </left>
                <right style="hair">
                  <color theme="0"/>
                </right>
                <top style="hair">
                  <color theme="0"/>
                </top>
                <bottom style="hair">
                  <color theme="0"/>
                </bottom>
                <vertical/>
                <horizontal/>
              </border>
            </x14:dxf>
          </x14:cfRule>
          <xm:sqref>A109:I111</xm:sqref>
        </x14:conditionalFormatting>
      </x14:conditionalFormatting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G8"/>
  <sheetViews>
    <sheetView zoomScale="70" zoomScaleNormal="70" workbookViewId="0">
      <selection activeCell="H6" sqref="H6"/>
    </sheetView>
  </sheetViews>
  <sheetFormatPr defaultColWidth="9.28515625" defaultRowHeight="15" x14ac:dyDescent="0.25"/>
  <cols>
    <col min="1" max="1" width="8.7109375" style="237" customWidth="1"/>
    <col min="2" max="2" width="91.5703125" style="238" customWidth="1"/>
    <col min="3" max="3" width="9.28515625" style="237"/>
    <col min="4" max="4" width="91.7109375" style="237" customWidth="1"/>
    <col min="5" max="5" width="9.28515625" style="237"/>
    <col min="6" max="6" width="91.7109375" style="237" customWidth="1"/>
    <col min="7" max="16384" width="9.28515625" style="237"/>
  </cols>
  <sheetData>
    <row r="1" spans="1:7" x14ac:dyDescent="0.25">
      <c r="A1" s="245" t="str">
        <f>IF(FB_type=1,CHOOSE(Variable_Management!B13,"sch_ISO_1","sch_ISO_2","sch_ISO_3"),CHOOSE(Variable_Management!B13,"sch_nISO_1","sch_nISO_2","sch_nISO_3"))</f>
        <v>sch_ISO_1</v>
      </c>
      <c r="B1" s="246"/>
      <c r="C1" s="245"/>
      <c r="D1" s="245"/>
      <c r="E1" s="245"/>
      <c r="F1" s="245"/>
      <c r="G1" s="242"/>
    </row>
    <row r="2" spans="1:7" x14ac:dyDescent="0.25">
      <c r="G2" s="242"/>
    </row>
    <row r="3" spans="1:7" ht="15.6" customHeight="1" x14ac:dyDescent="0.25">
      <c r="G3" s="242"/>
    </row>
    <row r="4" spans="1:7" ht="392.25" customHeight="1" x14ac:dyDescent="0.25">
      <c r="G4" s="242"/>
    </row>
    <row r="5" spans="1:7" x14ac:dyDescent="0.25">
      <c r="G5" s="242"/>
    </row>
    <row r="6" spans="1:7" ht="392.25" customHeight="1" x14ac:dyDescent="0.25">
      <c r="G6" s="242"/>
    </row>
    <row r="7" spans="1:7" x14ac:dyDescent="0.25">
      <c r="A7" s="243"/>
      <c r="B7" s="244"/>
      <c r="C7" s="243"/>
      <c r="D7" s="243"/>
      <c r="E7" s="243"/>
      <c r="F7" s="243"/>
    </row>
    <row r="8" spans="1:7" ht="321" customHeight="1" x14ac:dyDescent="0.25"/>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Q291"/>
  <sheetViews>
    <sheetView zoomScale="85" zoomScaleNormal="85" workbookViewId="0">
      <pane ySplit="5" topLeftCell="A69" activePane="bottomLeft" state="frozen"/>
      <selection pane="bottomLeft" activeCell="N92" sqref="N92"/>
    </sheetView>
  </sheetViews>
  <sheetFormatPr defaultRowHeight="15" x14ac:dyDescent="0.25"/>
  <cols>
    <col min="1" max="1" width="28.85546875" customWidth="1"/>
    <col min="2" max="2" width="19.5703125" customWidth="1"/>
    <col min="3" max="3" width="10.85546875" customWidth="1"/>
    <col min="4" max="4" width="10" bestFit="1" customWidth="1"/>
    <col min="5" max="5" width="18.7109375" customWidth="1"/>
    <col min="6" max="6" width="14.7109375" customWidth="1"/>
    <col min="7" max="7" width="15.140625" customWidth="1"/>
    <col min="8" max="8" width="12.5703125" customWidth="1"/>
    <col min="9" max="9" width="12.5703125" style="4" customWidth="1"/>
    <col min="12" max="12" width="10.28515625" bestFit="1" customWidth="1"/>
  </cols>
  <sheetData>
    <row r="1" spans="1:17" ht="27.75" x14ac:dyDescent="0.4">
      <c r="A1" s="261" t="s">
        <v>16</v>
      </c>
      <c r="B1" s="261"/>
      <c r="C1" s="261"/>
      <c r="D1" s="261"/>
      <c r="E1" s="261"/>
      <c r="F1" s="261"/>
      <c r="G1" s="261"/>
      <c r="H1" s="261"/>
      <c r="I1" s="261"/>
      <c r="J1" s="261"/>
    </row>
    <row r="2" spans="1:17" x14ac:dyDescent="0.25">
      <c r="A2" s="6"/>
      <c r="B2" s="6" t="s">
        <v>17</v>
      </c>
      <c r="C2" s="7"/>
      <c r="D2" s="5"/>
      <c r="E2" s="6"/>
      <c r="F2" s="6"/>
      <c r="G2" s="6"/>
      <c r="H2" s="6"/>
      <c r="I2" s="11"/>
      <c r="J2" s="6"/>
    </row>
    <row r="3" spans="1:17" x14ac:dyDescent="0.25">
      <c r="A3" s="6"/>
      <c r="B3" s="6" t="s">
        <v>18</v>
      </c>
      <c r="C3" s="183"/>
      <c r="D3" s="5"/>
      <c r="E3" s="6"/>
      <c r="F3" s="23" t="s">
        <v>657</v>
      </c>
      <c r="G3" s="24" t="s">
        <v>56</v>
      </c>
      <c r="H3" s="38" t="s">
        <v>59</v>
      </c>
      <c r="I3" s="11"/>
      <c r="J3" s="6"/>
    </row>
    <row r="4" spans="1:17" x14ac:dyDescent="0.25">
      <c r="A4" s="6"/>
      <c r="B4" s="6" t="s">
        <v>19</v>
      </c>
      <c r="C4" s="8"/>
      <c r="D4" s="5"/>
      <c r="E4" s="6"/>
      <c r="F4" s="23" t="s">
        <v>655</v>
      </c>
      <c r="G4" s="6" t="s">
        <v>656</v>
      </c>
      <c r="H4" s="6"/>
      <c r="I4" s="11"/>
      <c r="J4" s="6"/>
      <c r="O4" t="s">
        <v>654</v>
      </c>
    </row>
    <row r="5" spans="1:17" x14ac:dyDescent="0.25">
      <c r="A5" s="10" t="s">
        <v>20</v>
      </c>
      <c r="B5" s="10" t="s">
        <v>21</v>
      </c>
      <c r="C5" s="10" t="s">
        <v>22</v>
      </c>
      <c r="D5" s="9"/>
      <c r="E5" s="262" t="s">
        <v>23</v>
      </c>
      <c r="F5" s="262"/>
      <c r="G5" s="262"/>
      <c r="H5" s="262"/>
      <c r="I5" s="19"/>
      <c r="J5" s="25" t="s">
        <v>24</v>
      </c>
      <c r="K5" s="10" t="s">
        <v>63</v>
      </c>
      <c r="L5" s="9"/>
      <c r="M5" s="9"/>
      <c r="N5" s="9"/>
      <c r="O5" s="9">
        <v>20200226</v>
      </c>
      <c r="P5" s="9"/>
      <c r="Q5" s="9"/>
    </row>
    <row r="6" spans="1:17" ht="15.75" x14ac:dyDescent="0.25">
      <c r="A6" s="18" t="s">
        <v>25</v>
      </c>
      <c r="B6" s="15"/>
      <c r="C6" s="15"/>
      <c r="D6" s="15"/>
      <c r="E6" s="16"/>
      <c r="F6" s="16"/>
      <c r="G6" s="16"/>
      <c r="H6" s="16"/>
      <c r="I6" s="16"/>
      <c r="J6" s="15"/>
      <c r="K6" s="9"/>
      <c r="L6" s="9"/>
      <c r="M6" s="9"/>
      <c r="N6" s="9"/>
      <c r="O6" s="9"/>
      <c r="P6" s="9"/>
      <c r="Q6" s="9"/>
    </row>
    <row r="7" spans="1:17" x14ac:dyDescent="0.25">
      <c r="A7" t="s">
        <v>26</v>
      </c>
      <c r="B7" s="3">
        <f>'Design Converter'!H7</f>
        <v>12</v>
      </c>
      <c r="C7" t="s">
        <v>11</v>
      </c>
      <c r="E7" t="s">
        <v>29</v>
      </c>
    </row>
    <row r="8" spans="1:17" x14ac:dyDescent="0.25">
      <c r="A8" t="s">
        <v>27</v>
      </c>
      <c r="B8" s="3">
        <f>'Design Converter'!H8</f>
        <v>12</v>
      </c>
      <c r="C8" t="s">
        <v>11</v>
      </c>
      <c r="E8" t="s">
        <v>30</v>
      </c>
      <c r="K8">
        <f>IF(VIN_min&lt;VIN_min,1,IF(VIN_nom&gt;VIN_max,1,0))</f>
        <v>0</v>
      </c>
    </row>
    <row r="9" spans="1:17" x14ac:dyDescent="0.25">
      <c r="A9" t="s">
        <v>28</v>
      </c>
      <c r="B9" s="3">
        <f>'Design Converter'!H9</f>
        <v>12</v>
      </c>
      <c r="C9" t="s">
        <v>11</v>
      </c>
      <c r="E9" t="s">
        <v>31</v>
      </c>
    </row>
    <row r="10" spans="1:17" s="4" customFormat="1" x14ac:dyDescent="0.25">
      <c r="A10" s="4" t="s">
        <v>60</v>
      </c>
      <c r="B10" s="3">
        <f>'Design Converter'!H14*1000</f>
        <v>252400</v>
      </c>
      <c r="C10" s="4" t="s">
        <v>61</v>
      </c>
      <c r="E10" s="4" t="s">
        <v>62</v>
      </c>
    </row>
    <row r="11" spans="1:17" s="4" customFormat="1" x14ac:dyDescent="0.25">
      <c r="A11" s="4" t="s">
        <v>65</v>
      </c>
      <c r="B11" s="29">
        <f>((2.21*10^10)/Fsw)-955</f>
        <v>86604.429477020603</v>
      </c>
      <c r="C11" s="2" t="s">
        <v>35</v>
      </c>
      <c r="E11" s="4" t="s">
        <v>66</v>
      </c>
    </row>
    <row r="13" spans="1:17" s="31" customFormat="1" x14ac:dyDescent="0.25">
      <c r="A13" s="31" t="s">
        <v>634</v>
      </c>
      <c r="B13" s="31">
        <v>1</v>
      </c>
    </row>
    <row r="14" spans="1:17" s="31" customFormat="1" x14ac:dyDescent="0.25"/>
    <row r="15" spans="1:17" x14ac:dyDescent="0.25">
      <c r="A15" t="s">
        <v>419</v>
      </c>
      <c r="B15" s="3">
        <f>ABS('Design Converter'!N7)</f>
        <v>15</v>
      </c>
      <c r="C15" t="s">
        <v>11</v>
      </c>
      <c r="E15" t="s">
        <v>437</v>
      </c>
    </row>
    <row r="16" spans="1:17" x14ac:dyDescent="0.25">
      <c r="A16" t="s">
        <v>420</v>
      </c>
      <c r="B16" s="3">
        <f>ABS('Design Converter'!N8)</f>
        <v>0.1</v>
      </c>
      <c r="C16" t="s">
        <v>12</v>
      </c>
      <c r="E16" t="s">
        <v>34</v>
      </c>
    </row>
    <row r="17" spans="1:5" x14ac:dyDescent="0.25">
      <c r="A17" t="s">
        <v>421</v>
      </c>
      <c r="B17" s="1">
        <f>VOUT1/IOUT1</f>
        <v>150</v>
      </c>
      <c r="C17" s="2" t="s">
        <v>35</v>
      </c>
      <c r="E17" t="s">
        <v>39</v>
      </c>
    </row>
    <row r="18" spans="1:5" x14ac:dyDescent="0.25">
      <c r="A18" t="s">
        <v>422</v>
      </c>
      <c r="B18" s="1">
        <f>VOUT1*IOUT1</f>
        <v>1.5</v>
      </c>
      <c r="C18" s="2" t="s">
        <v>36</v>
      </c>
      <c r="E18" t="s">
        <v>38</v>
      </c>
    </row>
    <row r="19" spans="1:5" x14ac:dyDescent="0.25">
      <c r="A19" t="s">
        <v>620</v>
      </c>
      <c r="B19" s="3">
        <f>'Design Converter'!H102/1000</f>
        <v>0.3</v>
      </c>
      <c r="C19" s="2" t="s">
        <v>11</v>
      </c>
    </row>
    <row r="20" spans="1:5" s="31" customFormat="1" x14ac:dyDescent="0.25">
      <c r="A20" s="31" t="s">
        <v>621</v>
      </c>
      <c r="B20" s="3">
        <f>'Design Converter'!H103/(10^9)</f>
        <v>1E-8</v>
      </c>
      <c r="C20" s="2" t="s">
        <v>352</v>
      </c>
    </row>
    <row r="21" spans="1:5" s="31" customFormat="1" x14ac:dyDescent="0.25"/>
    <row r="22" spans="1:5" s="31" customFormat="1" x14ac:dyDescent="0.25">
      <c r="B22" s="31" t="b">
        <v>0</v>
      </c>
    </row>
    <row r="23" spans="1:5" s="31" customFormat="1" x14ac:dyDescent="0.25">
      <c r="A23" s="31" t="s">
        <v>434</v>
      </c>
      <c r="B23" s="31">
        <f>CHOOSE(B13,0,1,1)</f>
        <v>0</v>
      </c>
      <c r="E23" s="31" t="s">
        <v>435</v>
      </c>
    </row>
    <row r="24" spans="1:5" s="31" customFormat="1" x14ac:dyDescent="0.25">
      <c r="A24" s="31" t="s">
        <v>423</v>
      </c>
      <c r="B24" s="3">
        <f>IF($B$23=1,ABS('Design Converter'!N14),0)</f>
        <v>0</v>
      </c>
      <c r="C24" s="31" t="s">
        <v>11</v>
      </c>
      <c r="E24" s="31" t="s">
        <v>459</v>
      </c>
    </row>
    <row r="25" spans="1:5" s="31" customFormat="1" x14ac:dyDescent="0.25">
      <c r="A25" s="31" t="s">
        <v>424</v>
      </c>
      <c r="B25" s="3">
        <f>IF($B$23=1,ABS('Design Converter'!N15),0)</f>
        <v>0</v>
      </c>
      <c r="C25" s="31" t="s">
        <v>12</v>
      </c>
      <c r="E25" s="31" t="s">
        <v>34</v>
      </c>
    </row>
    <row r="26" spans="1:5" s="31" customFormat="1" x14ac:dyDescent="0.25">
      <c r="A26" s="31" t="s">
        <v>425</v>
      </c>
      <c r="B26" s="1">
        <f>IF($B$23=1,VOUT2/IOUT2,0)</f>
        <v>0</v>
      </c>
      <c r="C26" s="2" t="s">
        <v>35</v>
      </c>
      <c r="E26" s="31" t="s">
        <v>39</v>
      </c>
    </row>
    <row r="27" spans="1:5" s="31" customFormat="1" x14ac:dyDescent="0.25">
      <c r="A27" s="31" t="s">
        <v>426</v>
      </c>
      <c r="B27" s="1">
        <f>VOUT2*IOUT2</f>
        <v>0</v>
      </c>
      <c r="C27" s="2" t="s">
        <v>36</v>
      </c>
      <c r="E27" s="31" t="s">
        <v>38</v>
      </c>
    </row>
    <row r="28" spans="1:5" s="31" customFormat="1" x14ac:dyDescent="0.25">
      <c r="A28" s="31" t="s">
        <v>624</v>
      </c>
      <c r="B28" s="20">
        <f>IF($B$23=1,ABS('Design Converter'!H106/1000),0)</f>
        <v>0</v>
      </c>
      <c r="C28" s="2" t="s">
        <v>11</v>
      </c>
    </row>
    <row r="29" spans="1:5" s="31" customFormat="1" x14ac:dyDescent="0.25">
      <c r="A29" s="31" t="s">
        <v>625</v>
      </c>
      <c r="B29" s="202">
        <f>IF($B$23=1,ABS('Design Converter'!H107*10^-9),0)</f>
        <v>0</v>
      </c>
      <c r="C29" s="31" t="s">
        <v>352</v>
      </c>
    </row>
    <row r="30" spans="1:5" s="31" customFormat="1" x14ac:dyDescent="0.25">
      <c r="B30" s="176"/>
    </row>
    <row r="31" spans="1:5" s="31" customFormat="1" x14ac:dyDescent="0.25">
      <c r="B31" s="176" t="b">
        <v>1</v>
      </c>
    </row>
    <row r="32" spans="1:5" s="31" customFormat="1" x14ac:dyDescent="0.25">
      <c r="A32" s="31" t="s">
        <v>433</v>
      </c>
      <c r="B32" s="178">
        <f>CHOOSE(B13,0,0,1)</f>
        <v>0</v>
      </c>
      <c r="E32" s="31" t="s">
        <v>436</v>
      </c>
    </row>
    <row r="33" spans="1:5" s="31" customFormat="1" x14ac:dyDescent="0.25">
      <c r="A33" s="31" t="s">
        <v>427</v>
      </c>
      <c r="B33" s="3">
        <f>IF($B$32=1,ABS('Design Converter'!N22),0)</f>
        <v>0</v>
      </c>
      <c r="C33" s="31" t="s">
        <v>11</v>
      </c>
      <c r="E33" s="31" t="s">
        <v>460</v>
      </c>
    </row>
    <row r="34" spans="1:5" s="31" customFormat="1" x14ac:dyDescent="0.25">
      <c r="A34" s="31" t="s">
        <v>428</v>
      </c>
      <c r="B34" s="3">
        <f>IF($B$32=1,ABS('Design Converter'!N23),0)</f>
        <v>0</v>
      </c>
      <c r="C34" s="31" t="s">
        <v>12</v>
      </c>
      <c r="E34" s="31" t="s">
        <v>34</v>
      </c>
    </row>
    <row r="35" spans="1:5" s="31" customFormat="1" x14ac:dyDescent="0.25">
      <c r="A35" s="31" t="s">
        <v>429</v>
      </c>
      <c r="B35" s="1">
        <f>IF(B32=1,VOUT3/IOUT3,0)</f>
        <v>0</v>
      </c>
      <c r="C35" s="2" t="s">
        <v>35</v>
      </c>
      <c r="E35" s="31" t="s">
        <v>39</v>
      </c>
    </row>
    <row r="36" spans="1:5" s="31" customFormat="1" x14ac:dyDescent="0.25">
      <c r="A36" s="31" t="s">
        <v>430</v>
      </c>
      <c r="B36" s="1">
        <f>VOUT3*IOUT3</f>
        <v>0</v>
      </c>
      <c r="C36" s="2" t="s">
        <v>36</v>
      </c>
      <c r="E36" s="31" t="s">
        <v>38</v>
      </c>
    </row>
    <row r="37" spans="1:5" s="31" customFormat="1" x14ac:dyDescent="0.25">
      <c r="A37" s="31" t="s">
        <v>622</v>
      </c>
      <c r="B37" s="3">
        <f>IF($B$32=1,ABS('Design Converter'!H110/1000),0)</f>
        <v>0</v>
      </c>
      <c r="C37" s="2" t="s">
        <v>11</v>
      </c>
    </row>
    <row r="38" spans="1:5" s="31" customFormat="1" x14ac:dyDescent="0.25">
      <c r="A38" s="31" t="s">
        <v>623</v>
      </c>
      <c r="B38" s="213">
        <f>IF($B$32=1,ABS('Design Converter'!H111*10^-9),0)</f>
        <v>0</v>
      </c>
      <c r="C38" s="2" t="s">
        <v>352</v>
      </c>
    </row>
    <row r="39" spans="1:5" s="31" customFormat="1" x14ac:dyDescent="0.25">
      <c r="B39" s="176"/>
    </row>
    <row r="40" spans="1:5" s="31" customFormat="1" x14ac:dyDescent="0.25">
      <c r="A40" s="31" t="s">
        <v>431</v>
      </c>
      <c r="B40" s="176">
        <f>SUM(POUT1,POUT2,POUT3)</f>
        <v>1.5</v>
      </c>
    </row>
    <row r="41" spans="1:5" s="31" customFormat="1" x14ac:dyDescent="0.25">
      <c r="A41" t="s">
        <v>37</v>
      </c>
      <c r="B41" s="180">
        <v>1</v>
      </c>
      <c r="E41" s="31" t="s">
        <v>476</v>
      </c>
    </row>
    <row r="42" spans="1:5" s="31" customFormat="1" x14ac:dyDescent="0.25">
      <c r="B42" s="176"/>
    </row>
    <row r="43" spans="1:5" s="31" customFormat="1" x14ac:dyDescent="0.25">
      <c r="A43" s="31" t="s">
        <v>683</v>
      </c>
      <c r="B43" s="176"/>
      <c r="E43" s="31" t="s">
        <v>684</v>
      </c>
    </row>
    <row r="44" spans="1:5" s="31" customFormat="1" x14ac:dyDescent="0.25">
      <c r="A44" s="31" t="s">
        <v>685</v>
      </c>
      <c r="B44" s="176"/>
      <c r="E44" s="31" t="s">
        <v>687</v>
      </c>
    </row>
    <row r="45" spans="1:5" s="31" customFormat="1" x14ac:dyDescent="0.25">
      <c r="A45" s="31" t="s">
        <v>686</v>
      </c>
      <c r="B45" s="176"/>
      <c r="E45" s="31" t="s">
        <v>688</v>
      </c>
    </row>
    <row r="46" spans="1:5" s="31" customFormat="1" x14ac:dyDescent="0.25">
      <c r="B46" s="176"/>
    </row>
    <row r="47" spans="1:5" s="31" customFormat="1" x14ac:dyDescent="0.25">
      <c r="B47" s="176"/>
    </row>
    <row r="48" spans="1:5" s="31" customFormat="1" x14ac:dyDescent="0.25">
      <c r="B48" s="176"/>
    </row>
    <row r="49" spans="1:5" s="31" customFormat="1" ht="15.75" x14ac:dyDescent="0.25">
      <c r="A49" s="18" t="s">
        <v>442</v>
      </c>
      <c r="B49" s="176"/>
    </row>
    <row r="50" spans="1:5" s="31" customFormat="1" x14ac:dyDescent="0.25">
      <c r="B50" s="176"/>
    </row>
    <row r="51" spans="1:5" s="31" customFormat="1" x14ac:dyDescent="0.25">
      <c r="A51" s="31" t="s">
        <v>441</v>
      </c>
      <c r="B51" s="180">
        <v>1</v>
      </c>
      <c r="E51" s="31" t="s">
        <v>443</v>
      </c>
    </row>
    <row r="52" spans="1:5" s="31" customFormat="1" x14ac:dyDescent="0.25">
      <c r="A52" s="31" t="s">
        <v>449</v>
      </c>
      <c r="B52" s="20">
        <f>'Design Converter'!H17/100</f>
        <v>0.55600000000000005</v>
      </c>
      <c r="E52" s="31" t="s">
        <v>444</v>
      </c>
    </row>
    <row r="53" spans="1:5" s="31" customFormat="1" x14ac:dyDescent="0.25">
      <c r="A53" s="31" t="s">
        <v>456</v>
      </c>
      <c r="B53" s="28">
        <f>((VOUT1+VD)*(1-Dmax_limit)*Np)/(Dmax_limit*VIN_min)</f>
        <v>0.99820143884892065</v>
      </c>
      <c r="C53" s="31" t="s">
        <v>458</v>
      </c>
      <c r="E53" s="31" t="s">
        <v>450</v>
      </c>
    </row>
    <row r="54" spans="1:5" s="31" customFormat="1" x14ac:dyDescent="0.25">
      <c r="A54" s="31" t="s">
        <v>457</v>
      </c>
      <c r="B54" s="20">
        <f>'Design Converter'!N10</f>
        <v>1</v>
      </c>
      <c r="C54" s="31" t="s">
        <v>458</v>
      </c>
      <c r="E54" s="31" t="s">
        <v>451</v>
      </c>
    </row>
    <row r="55" spans="1:5" s="31" customFormat="1" x14ac:dyDescent="0.25">
      <c r="A55" s="31" t="s">
        <v>604</v>
      </c>
      <c r="B55" s="28">
        <f>'Design Converter'!N11/1000</f>
        <v>15.32</v>
      </c>
      <c r="C55" s="2" t="s">
        <v>35</v>
      </c>
      <c r="E55" s="31" t="s">
        <v>605</v>
      </c>
    </row>
    <row r="56" spans="1:5" s="31" customFormat="1" x14ac:dyDescent="0.25">
      <c r="B56" s="176"/>
      <c r="C56" s="2"/>
    </row>
    <row r="57" spans="1:5" s="31" customFormat="1" ht="15" customHeight="1" x14ac:dyDescent="0.25">
      <c r="A57" s="31" t="s">
        <v>471</v>
      </c>
      <c r="B57" s="27">
        <f>((Np/NS1_)*(VOUT1+VD))/((VIN_min+(Np/NS1_)*(VOUT1+VD)))</f>
        <v>0.55555555555555558</v>
      </c>
      <c r="E57" s="31" t="s">
        <v>473</v>
      </c>
    </row>
    <row r="58" spans="1:5" s="31" customFormat="1" ht="15" customHeight="1" x14ac:dyDescent="0.25">
      <c r="B58" s="39">
        <f>((Np/NS1_)*(VOUT1+VD))/((VIN_nom+(Np/NS1_)*(VOUT1+VD)))</f>
        <v>0.55555555555555558</v>
      </c>
      <c r="E58" s="31" t="s">
        <v>474</v>
      </c>
    </row>
    <row r="59" spans="1:5" s="31" customFormat="1" ht="15" customHeight="1" x14ac:dyDescent="0.25">
      <c r="B59" s="28">
        <f>((Np/NS1_)*(VOUT1+VD))/((VIN_max+(Np/NS1_)*(VOUT1+VD)))</f>
        <v>0.55555555555555558</v>
      </c>
      <c r="E59" s="31" t="s">
        <v>475</v>
      </c>
    </row>
    <row r="60" spans="1:5" s="31" customFormat="1" ht="15" customHeight="1" x14ac:dyDescent="0.25">
      <c r="A60" s="31" t="s">
        <v>477</v>
      </c>
      <c r="B60" s="28">
        <f>(Np/NS1_)*VOUT1+VD</f>
        <v>15</v>
      </c>
      <c r="E60" s="31" t="s">
        <v>663</v>
      </c>
    </row>
    <row r="61" spans="1:5" s="31" customFormat="1" ht="15" customHeight="1" x14ac:dyDescent="0.25">
      <c r="B61" s="176"/>
    </row>
    <row r="62" spans="1:5" s="31" customFormat="1" ht="15" customHeight="1" x14ac:dyDescent="0.25">
      <c r="B62" s="176"/>
    </row>
    <row r="63" spans="1:5" s="31" customFormat="1" ht="15" customHeight="1" x14ac:dyDescent="0.25">
      <c r="A63" s="31" t="s">
        <v>452</v>
      </c>
      <c r="B63" s="28">
        <f>IF(EN_OUT_2=1,(NS1_*((VOUT2+VD)/(VOUT1+VD))),0)</f>
        <v>0</v>
      </c>
      <c r="C63" s="31" t="s">
        <v>458</v>
      </c>
      <c r="E63" s="31" t="s">
        <v>454</v>
      </c>
    </row>
    <row r="64" spans="1:5" s="31" customFormat="1" ht="15" customHeight="1" x14ac:dyDescent="0.25">
      <c r="A64" s="31" t="s">
        <v>453</v>
      </c>
      <c r="B64" s="20">
        <f>IF(EN_OUT_2=1,'Design Converter'!N17,0)</f>
        <v>0</v>
      </c>
      <c r="C64" s="31" t="s">
        <v>458</v>
      </c>
      <c r="E64" s="31" t="s">
        <v>455</v>
      </c>
    </row>
    <row r="65" spans="1:5" s="31" customFormat="1" ht="15" customHeight="1" x14ac:dyDescent="0.25">
      <c r="A65" s="31" t="s">
        <v>468</v>
      </c>
      <c r="B65" s="28">
        <f>IF(EN_OUT_2=1,((NS2_*VD)-(NS1_*VD)+(NS2_*VOUT1))/NS1_,0)</f>
        <v>0</v>
      </c>
      <c r="C65" s="31" t="s">
        <v>11</v>
      </c>
      <c r="E65" s="31" t="s">
        <v>469</v>
      </c>
    </row>
    <row r="66" spans="1:5" s="31" customFormat="1" ht="15" customHeight="1" x14ac:dyDescent="0.25">
      <c r="A66" s="31" t="s">
        <v>606</v>
      </c>
      <c r="B66" s="28">
        <f>IF(EN_OUT_2=1,'Design Converter'!N18/1000,0)</f>
        <v>0</v>
      </c>
    </row>
    <row r="67" spans="1:5" s="31" customFormat="1" ht="15" customHeight="1" x14ac:dyDescent="0.25"/>
    <row r="68" spans="1:5" s="31" customFormat="1" ht="15" customHeight="1" x14ac:dyDescent="0.25">
      <c r="A68" s="31" t="s">
        <v>463</v>
      </c>
      <c r="B68" s="28">
        <f>IF(EN_OUT_3=1,(NS1_*((VOUT3+VD)/(VOUT1+VD))),0)</f>
        <v>0</v>
      </c>
      <c r="C68" s="31" t="s">
        <v>458</v>
      </c>
      <c r="E68" s="31" t="s">
        <v>465</v>
      </c>
    </row>
    <row r="69" spans="1:5" s="31" customFormat="1" ht="15" customHeight="1" x14ac:dyDescent="0.25">
      <c r="A69" s="31" t="s">
        <v>464</v>
      </c>
      <c r="B69" s="20">
        <f>'Design Converter'!N25</f>
        <v>0.42</v>
      </c>
      <c r="C69" s="31" t="s">
        <v>458</v>
      </c>
      <c r="E69" s="31" t="s">
        <v>466</v>
      </c>
    </row>
    <row r="70" spans="1:5" s="31" customFormat="1" ht="15" customHeight="1" x14ac:dyDescent="0.25">
      <c r="A70" s="31" t="s">
        <v>470</v>
      </c>
      <c r="B70" s="28">
        <f>IF(EN_OUT_3=1,((NS3_*VD)-(NS1_*VD)+(NS3_*VOUT1))/NS1_,0)</f>
        <v>0</v>
      </c>
      <c r="C70" s="31" t="s">
        <v>11</v>
      </c>
      <c r="E70" s="31" t="s">
        <v>469</v>
      </c>
    </row>
    <row r="71" spans="1:5" s="31" customFormat="1" ht="15" customHeight="1" x14ac:dyDescent="0.25">
      <c r="A71" s="31" t="s">
        <v>607</v>
      </c>
      <c r="B71" s="28">
        <f>IF(EN_OUT_3=1,'Design Converter'!N26/1000,0)</f>
        <v>0</v>
      </c>
    </row>
    <row r="72" spans="1:5" s="31" customFormat="1" ht="15" customHeight="1" x14ac:dyDescent="0.25"/>
    <row r="74" spans="1:5" x14ac:dyDescent="0.25">
      <c r="A74" t="s">
        <v>76</v>
      </c>
      <c r="B74" s="3">
        <f>'Design Converter'!H22/100</f>
        <v>0.6</v>
      </c>
      <c r="E74" t="s">
        <v>92</v>
      </c>
    </row>
    <row r="75" spans="1:5" x14ac:dyDescent="0.25">
      <c r="A75" t="s">
        <v>74</v>
      </c>
      <c r="B75" s="37">
        <f>((Np^2)*(VIN_max^2)*((VOUT1+VD)^2))/(ILrip*POUT_Total*Fsw*((Np*VD)+(NS1_*VIN_max)+(Np*VOUT1))^2)</f>
        <v>1.9565259924478101E-4</v>
      </c>
      <c r="C75" t="s">
        <v>75</v>
      </c>
      <c r="E75" t="s">
        <v>478</v>
      </c>
    </row>
    <row r="76" spans="1:5" x14ac:dyDescent="0.25">
      <c r="A76" t="s">
        <v>77</v>
      </c>
      <c r="B76" s="33">
        <f>'Design Converter'!H24*10^-6</f>
        <v>1.7999999999999998E-4</v>
      </c>
      <c r="C76" t="s">
        <v>75</v>
      </c>
      <c r="E76" t="s">
        <v>78</v>
      </c>
    </row>
    <row r="77" spans="1:5" x14ac:dyDescent="0.25">
      <c r="A77" t="s">
        <v>80</v>
      </c>
      <c r="B77" s="3">
        <f>'Design Converter'!H25*(10^-3)</f>
        <v>15.32</v>
      </c>
      <c r="C77" s="2" t="s">
        <v>35</v>
      </c>
      <c r="E77" t="s">
        <v>102</v>
      </c>
    </row>
    <row r="78" spans="1:5" s="31" customFormat="1" x14ac:dyDescent="0.25">
      <c r="A78" s="31" t="s">
        <v>103</v>
      </c>
      <c r="B78" s="21">
        <v>0.2</v>
      </c>
      <c r="C78" s="2"/>
      <c r="E78" s="31" t="s">
        <v>104</v>
      </c>
    </row>
    <row r="79" spans="1:5" x14ac:dyDescent="0.25">
      <c r="B79" t="s">
        <v>82</v>
      </c>
    </row>
    <row r="80" spans="1:5" s="31" customFormat="1" x14ac:dyDescent="0.25">
      <c r="A80" s="31" t="s">
        <v>479</v>
      </c>
      <c r="B80" s="27">
        <f>POUT_Total/(VIN_min*EFF_est*Dc_VIN_min)</f>
        <v>0.22499999999999998</v>
      </c>
      <c r="C80" s="31" t="s">
        <v>12</v>
      </c>
    </row>
    <row r="81" spans="1:5" s="31" customFormat="1" x14ac:dyDescent="0.25">
      <c r="A81" s="31" t="s">
        <v>85</v>
      </c>
      <c r="B81" s="27">
        <f>(VIN_min*Dc_VIN_min)/(Lm*Fsw)</f>
        <v>0.14673944943358574</v>
      </c>
      <c r="C81" s="31" t="s">
        <v>12</v>
      </c>
      <c r="E81" s="31" t="s">
        <v>86</v>
      </c>
    </row>
    <row r="82" spans="1:5" x14ac:dyDescent="0.25">
      <c r="A82" t="s">
        <v>83</v>
      </c>
      <c r="B82" s="27">
        <f>(IL_avg_VIN_min/EFF_est)+(ILrip_VINmin/2)</f>
        <v>0.29836972471679285</v>
      </c>
      <c r="C82" t="s">
        <v>12</v>
      </c>
      <c r="E82" t="s">
        <v>84</v>
      </c>
    </row>
    <row r="84" spans="1:5" s="31" customFormat="1" x14ac:dyDescent="0.25">
      <c r="A84" s="31" t="s">
        <v>479</v>
      </c>
      <c r="B84" s="27">
        <f>POUT_Total/(VIN_nom*EFF_est*Dc_VIN_nom)</f>
        <v>0.22499999999999998</v>
      </c>
    </row>
    <row r="85" spans="1:5" x14ac:dyDescent="0.25">
      <c r="A85" s="31" t="s">
        <v>87</v>
      </c>
      <c r="B85" s="27">
        <f>(VIN_nom*Dc_VIN_nom)/(Lm*Fsw)</f>
        <v>0.14673944943358574</v>
      </c>
      <c r="C85" s="31" t="s">
        <v>12</v>
      </c>
      <c r="E85" s="31" t="s">
        <v>93</v>
      </c>
    </row>
    <row r="86" spans="1:5" x14ac:dyDescent="0.25">
      <c r="A86" s="31" t="s">
        <v>88</v>
      </c>
      <c r="B86" s="27">
        <f>(IL_avg_VIN_nom/EFF_est)+(ILrip_VINnom/2)</f>
        <v>0.29836972471679285</v>
      </c>
      <c r="C86" s="31" t="s">
        <v>12</v>
      </c>
      <c r="E86" s="31" t="s">
        <v>94</v>
      </c>
    </row>
    <row r="88" spans="1:5" s="31" customFormat="1" x14ac:dyDescent="0.25">
      <c r="A88" s="31" t="s">
        <v>479</v>
      </c>
      <c r="B88" s="27">
        <f>POUT_Total/(VIN_max*EFF_est*Dc_VIN_max)</f>
        <v>0.22499999999999998</v>
      </c>
      <c r="E88" s="31" t="s">
        <v>480</v>
      </c>
    </row>
    <row r="89" spans="1:5" x14ac:dyDescent="0.25">
      <c r="A89" s="31" t="s">
        <v>89</v>
      </c>
      <c r="B89" s="27">
        <f>(VIN_max*Dc_VIN_max)/(Lm*Fsw)</f>
        <v>0.14673944943358574</v>
      </c>
      <c r="C89" s="31" t="s">
        <v>12</v>
      </c>
      <c r="E89" s="31" t="s">
        <v>95</v>
      </c>
    </row>
    <row r="90" spans="1:5" x14ac:dyDescent="0.25">
      <c r="A90" s="31" t="s">
        <v>90</v>
      </c>
      <c r="B90" s="27">
        <f>(IL_avg_VIN_max/EFF_est)+(ILrip_VINmax/2)</f>
        <v>0.29836972471679285</v>
      </c>
      <c r="C90" s="31" t="s">
        <v>12</v>
      </c>
      <c r="E90" s="31" t="s">
        <v>96</v>
      </c>
    </row>
    <row r="92" spans="1:5" x14ac:dyDescent="0.25">
      <c r="A92" s="30" t="s">
        <v>91</v>
      </c>
    </row>
    <row r="93" spans="1:5" x14ac:dyDescent="0.25">
      <c r="A93" t="s">
        <v>98</v>
      </c>
      <c r="B93" s="3">
        <f>'Design Converter'!H30/100</f>
        <v>0.3</v>
      </c>
      <c r="E93" t="s">
        <v>99</v>
      </c>
    </row>
    <row r="94" spans="1:5" x14ac:dyDescent="0.25">
      <c r="A94" t="s">
        <v>100</v>
      </c>
      <c r="B94" s="28">
        <f>(1+Ipk_margin)*ILp_VINmin</f>
        <v>0.38788064213183071</v>
      </c>
      <c r="C94" t="s">
        <v>12</v>
      </c>
      <c r="E94" t="s">
        <v>101</v>
      </c>
    </row>
    <row r="95" spans="1:5" s="31" customFormat="1" x14ac:dyDescent="0.25">
      <c r="B95" s="186"/>
    </row>
    <row r="96" spans="1:5" s="31" customFormat="1" x14ac:dyDescent="0.25">
      <c r="A96" s="31" t="s">
        <v>107</v>
      </c>
      <c r="B96" s="21">
        <v>0.83299999999999996</v>
      </c>
      <c r="E96" s="31" t="s">
        <v>108</v>
      </c>
    </row>
    <row r="97" spans="1:11" s="31" customFormat="1" x14ac:dyDescent="0.25">
      <c r="B97" s="26"/>
    </row>
    <row r="98" spans="1:11" x14ac:dyDescent="0.25">
      <c r="A98" t="s">
        <v>105</v>
      </c>
      <c r="B98" s="187">
        <f>(1/B96)*((Fsw*Isl*Rsl_int*Lm)/((Np/NS1_)*ABS(VOUT1)))</f>
        <v>0.14540421608643456</v>
      </c>
      <c r="C98" s="2" t="s">
        <v>35</v>
      </c>
      <c r="E98" t="s">
        <v>106</v>
      </c>
    </row>
    <row r="99" spans="1:11" x14ac:dyDescent="0.25">
      <c r="A99" t="s">
        <v>113</v>
      </c>
      <c r="B99" s="37">
        <f>Vcl/Ipk_selected</f>
        <v>0.25781126753423433</v>
      </c>
      <c r="C99" s="2" t="s">
        <v>35</v>
      </c>
      <c r="E99" t="s">
        <v>114</v>
      </c>
    </row>
    <row r="100" spans="1:11" s="31" customFormat="1" x14ac:dyDescent="0.25">
      <c r="B100" s="26"/>
    </row>
    <row r="101" spans="1:11" s="31" customFormat="1" x14ac:dyDescent="0.25">
      <c r="A101" s="31" t="s">
        <v>119</v>
      </c>
      <c r="B101" s="21">
        <v>0.83299999999999996</v>
      </c>
      <c r="E101" s="31" t="s">
        <v>120</v>
      </c>
    </row>
    <row r="102" spans="1:11" x14ac:dyDescent="0.25">
      <c r="A102" t="s">
        <v>118</v>
      </c>
      <c r="B102" s="36">
        <f>(Lm*NS1_*Fsw*(Vcl+(Dc_VIN_min*Isl*Rsl_int)))/((Dc_VIN_min*Kslope*VOUT1*Np)+(Ipk_selected*Lm*NS1_*Fsw))</f>
        <v>0.22604540165918549</v>
      </c>
      <c r="C102" s="2" t="s">
        <v>35</v>
      </c>
      <c r="E102" t="s">
        <v>129</v>
      </c>
    </row>
    <row r="103" spans="1:11" x14ac:dyDescent="0.25">
      <c r="A103" t="s">
        <v>121</v>
      </c>
      <c r="B103" s="27">
        <f>(Vcl-(Ipk_selected*Rcs_w_sl))/(Isl*Dc_VIN_min)</f>
        <v>739.28186720925237</v>
      </c>
      <c r="C103" s="2" t="s">
        <v>35</v>
      </c>
      <c r="E103" s="31" t="s">
        <v>128</v>
      </c>
    </row>
    <row r="105" spans="1:11" x14ac:dyDescent="0.25">
      <c r="A105" t="s">
        <v>117</v>
      </c>
      <c r="B105" s="1">
        <f>IF(Rcs_wo_sl&gt;Rcs_max,1,0)</f>
        <v>1</v>
      </c>
      <c r="E105" t="s">
        <v>664</v>
      </c>
    </row>
    <row r="106" spans="1:11" x14ac:dyDescent="0.25">
      <c r="A106" t="s">
        <v>122</v>
      </c>
      <c r="B106" s="39">
        <f>IF(B105=0,Rcs_wo_sl,Rcs_w_sl)</f>
        <v>0.22604540165918549</v>
      </c>
      <c r="C106" s="2" t="s">
        <v>35</v>
      </c>
      <c r="E106" t="s">
        <v>126</v>
      </c>
    </row>
    <row r="107" spans="1:11" x14ac:dyDescent="0.25">
      <c r="A107" t="s">
        <v>123</v>
      </c>
      <c r="B107" s="1">
        <f>IF(B105=0,0,B103)</f>
        <v>739.28186720925237</v>
      </c>
      <c r="C107" s="2" t="s">
        <v>35</v>
      </c>
      <c r="E107" t="s">
        <v>127</v>
      </c>
    </row>
    <row r="109" spans="1:11" x14ac:dyDescent="0.25">
      <c r="A109" t="s">
        <v>124</v>
      </c>
      <c r="B109" s="40">
        <f>'Design Converter'!H34/1000</f>
        <v>0.02</v>
      </c>
      <c r="C109" s="2" t="s">
        <v>35</v>
      </c>
      <c r="E109" t="s">
        <v>131</v>
      </c>
    </row>
    <row r="110" spans="1:11" x14ac:dyDescent="0.25">
      <c r="A110" t="s">
        <v>125</v>
      </c>
      <c r="B110" s="3">
        <f>'Design Converter'!H35</f>
        <v>0</v>
      </c>
      <c r="C110" s="2" t="s">
        <v>35</v>
      </c>
      <c r="E110" t="s">
        <v>132</v>
      </c>
    </row>
    <row r="112" spans="1:11" x14ac:dyDescent="0.25">
      <c r="A112" t="s">
        <v>136</v>
      </c>
      <c r="B112" s="28">
        <f>(Isl*(Rsl_int+R_sl)*Fsw)/(((VOUT1*(Np/NS1_))/Lm)*R_cs)</f>
        <v>6.0560855999999985</v>
      </c>
      <c r="C112" t="s">
        <v>144</v>
      </c>
      <c r="E112" t="s">
        <v>134</v>
      </c>
      <c r="K112">
        <f>IF(B112&lt;0.5,1,0)</f>
        <v>0</v>
      </c>
    </row>
    <row r="113" spans="1:16" s="31" customFormat="1" x14ac:dyDescent="0.25">
      <c r="A113" s="31" t="s">
        <v>138</v>
      </c>
      <c r="B113" s="28">
        <f>(Vcl-(Isl*R_sl*Dc_VIN_min))/R_cs</f>
        <v>5</v>
      </c>
      <c r="C113" s="31" t="s">
        <v>12</v>
      </c>
      <c r="E113" s="31" t="s">
        <v>140</v>
      </c>
      <c r="K113">
        <f>IF(IL_pk&lt;Ipk_selected,1,0)</f>
        <v>0</v>
      </c>
    </row>
    <row r="114" spans="1:16" x14ac:dyDescent="0.25">
      <c r="A114" t="s">
        <v>139</v>
      </c>
      <c r="B114" s="28">
        <f>(Vcl-(Isl*R_sl*Dc_VIN_max))/R_cs</f>
        <v>5</v>
      </c>
      <c r="C114" t="s">
        <v>12</v>
      </c>
      <c r="E114" t="s">
        <v>141</v>
      </c>
    </row>
    <row r="115" spans="1:16" x14ac:dyDescent="0.25">
      <c r="A115" t="s">
        <v>142</v>
      </c>
      <c r="B115" s="1">
        <f>0.15</f>
        <v>0.15</v>
      </c>
      <c r="E115" t="s">
        <v>143</v>
      </c>
    </row>
    <row r="117" spans="1:16" x14ac:dyDescent="0.25">
      <c r="A117" s="34" t="s">
        <v>145</v>
      </c>
    </row>
    <row r="118" spans="1:16" x14ac:dyDescent="0.25">
      <c r="A118" t="s">
        <v>653</v>
      </c>
    </row>
    <row r="120" spans="1:16" x14ac:dyDescent="0.25">
      <c r="A120" s="42" t="s">
        <v>146</v>
      </c>
      <c r="E120">
        <f>VIN_min</f>
        <v>12</v>
      </c>
    </row>
    <row r="121" spans="1:16" s="31" customFormat="1" x14ac:dyDescent="0.25">
      <c r="A121" s="42"/>
    </row>
    <row r="122" spans="1:16" s="31" customFormat="1" x14ac:dyDescent="0.25">
      <c r="A122" s="196" t="s">
        <v>646</v>
      </c>
      <c r="B122" s="1">
        <f>fz_rhp/5</f>
        <v>9431.4040350752803</v>
      </c>
      <c r="C122" s="31" t="s">
        <v>61</v>
      </c>
      <c r="E122" s="31" t="s">
        <v>647</v>
      </c>
      <c r="O122" s="188"/>
      <c r="P122" s="31" t="s">
        <v>660</v>
      </c>
    </row>
    <row r="123" spans="1:16" s="31" customFormat="1" x14ac:dyDescent="0.25">
      <c r="A123" s="42"/>
    </row>
    <row r="124" spans="1:16" s="31" customFormat="1" x14ac:dyDescent="0.25">
      <c r="A124" s="42"/>
    </row>
    <row r="125" spans="1:16" x14ac:dyDescent="0.25">
      <c r="B125" s="46" t="s">
        <v>489</v>
      </c>
    </row>
    <row r="126" spans="1:16" x14ac:dyDescent="0.25">
      <c r="A126" t="s">
        <v>481</v>
      </c>
      <c r="B126" s="43">
        <f>'Design Converter'!H40/1000</f>
        <v>0.1</v>
      </c>
      <c r="C126" t="s">
        <v>11</v>
      </c>
      <c r="E126" t="s">
        <v>150</v>
      </c>
    </row>
    <row r="127" spans="1:16" s="31" customFormat="1" x14ac:dyDescent="0.25">
      <c r="A127" s="31" t="s">
        <v>648</v>
      </c>
      <c r="B127" s="43">
        <f>IOUT1-(IOUT1/2)</f>
        <v>0.05</v>
      </c>
      <c r="C127" s="31" t="s">
        <v>12</v>
      </c>
      <c r="E127" s="31" t="s">
        <v>649</v>
      </c>
    </row>
    <row r="128" spans="1:16" x14ac:dyDescent="0.25">
      <c r="A128" t="s">
        <v>482</v>
      </c>
      <c r="B128" s="1">
        <f>B127/(2*PI()*Vout1_rip_sel*B122)</f>
        <v>8.4375000000000001E-6</v>
      </c>
      <c r="C128" t="s">
        <v>151</v>
      </c>
      <c r="E128" t="s">
        <v>152</v>
      </c>
    </row>
    <row r="129" spans="1:16" x14ac:dyDescent="0.25">
      <c r="A129" t="s">
        <v>153</v>
      </c>
      <c r="B129" s="27"/>
      <c r="C129" t="s">
        <v>12</v>
      </c>
      <c r="D129" s="188"/>
      <c r="E129" t="s">
        <v>154</v>
      </c>
    </row>
    <row r="130" spans="1:16" x14ac:dyDescent="0.25">
      <c r="A130" t="s">
        <v>482</v>
      </c>
      <c r="B130" s="3">
        <f>'Design Converter'!H42*(10^-6)</f>
        <v>5.4000000000000001E-4</v>
      </c>
      <c r="C130" t="s">
        <v>151</v>
      </c>
      <c r="E130" t="s">
        <v>156</v>
      </c>
    </row>
    <row r="131" spans="1:16" x14ac:dyDescent="0.25">
      <c r="A131" t="s">
        <v>483</v>
      </c>
      <c r="B131" s="3">
        <f>'Design Converter'!H43/1000</f>
        <v>2E-3</v>
      </c>
      <c r="C131" s="2" t="s">
        <v>35</v>
      </c>
      <c r="E131" t="s">
        <v>157</v>
      </c>
    </row>
    <row r="132" spans="1:16" x14ac:dyDescent="0.25">
      <c r="A132" t="s">
        <v>284</v>
      </c>
      <c r="D132" s="188"/>
      <c r="E132" s="94" t="s">
        <v>285</v>
      </c>
    </row>
    <row r="133" spans="1:16" s="31" customFormat="1" x14ac:dyDescent="0.25">
      <c r="B133" s="46" t="s">
        <v>487</v>
      </c>
    </row>
    <row r="134" spans="1:16" s="31" customFormat="1" x14ac:dyDescent="0.25">
      <c r="A134" s="31" t="s">
        <v>492</v>
      </c>
      <c r="B134" s="43">
        <f>'Design Converter'!N40*(10^-3)</f>
        <v>0.1</v>
      </c>
      <c r="C134" s="31" t="s">
        <v>11</v>
      </c>
      <c r="E134" s="31" t="s">
        <v>150</v>
      </c>
    </row>
    <row r="135" spans="1:16" s="31" customFormat="1" x14ac:dyDescent="0.25">
      <c r="B135" s="43">
        <f>IOUT2-(IOUT2/2)</f>
        <v>0</v>
      </c>
      <c r="E135" s="31" t="s">
        <v>661</v>
      </c>
    </row>
    <row r="136" spans="1:16" s="31" customFormat="1" x14ac:dyDescent="0.25">
      <c r="A136" s="31" t="s">
        <v>493</v>
      </c>
      <c r="B136" s="1">
        <f>IF(EN_OUT_2=1,B135/(2*PI()*Vout2_rip_sel*B122),0)</f>
        <v>0</v>
      </c>
      <c r="C136" s="31" t="s">
        <v>151</v>
      </c>
      <c r="E136" s="31" t="s">
        <v>152</v>
      </c>
      <c r="O136" s="188"/>
      <c r="P136" s="31" t="s">
        <v>658</v>
      </c>
    </row>
    <row r="137" spans="1:16" s="31" customFormat="1" x14ac:dyDescent="0.25">
      <c r="A137" s="31" t="s">
        <v>153</v>
      </c>
      <c r="B137" s="27"/>
      <c r="C137" s="31" t="s">
        <v>12</v>
      </c>
      <c r="E137" s="31" t="s">
        <v>154</v>
      </c>
    </row>
    <row r="138" spans="1:16" s="31" customFormat="1" x14ac:dyDescent="0.25">
      <c r="A138" s="31" t="s">
        <v>494</v>
      </c>
      <c r="B138" s="3">
        <f>IF(EN_OUT_2=1,'Design Converter'!N42*(10^-6),0)</f>
        <v>0</v>
      </c>
      <c r="C138" s="31" t="s">
        <v>151</v>
      </c>
      <c r="E138" s="31" t="s">
        <v>156</v>
      </c>
    </row>
    <row r="139" spans="1:16" s="31" customFormat="1" x14ac:dyDescent="0.25">
      <c r="A139" s="31" t="s">
        <v>495</v>
      </c>
      <c r="B139" s="3">
        <f>IF(EN_OUT_2=1,'Design Converter'!N43*(10^-3),0)</f>
        <v>0</v>
      </c>
      <c r="C139" s="2" t="s">
        <v>35</v>
      </c>
      <c r="E139" s="31" t="s">
        <v>157</v>
      </c>
    </row>
    <row r="140" spans="1:16" s="31" customFormat="1" x14ac:dyDescent="0.25">
      <c r="A140" s="31" t="s">
        <v>496</v>
      </c>
      <c r="B140" s="3">
        <f>IF(EN_OUT_2=1,1/(((Np^2)/(NS2_^2))*Resr2),0)</f>
        <v>0</v>
      </c>
      <c r="C140" s="2" t="s">
        <v>35</v>
      </c>
      <c r="E140" s="31" t="s">
        <v>497</v>
      </c>
      <c r="O140" s="31" t="s">
        <v>662</v>
      </c>
    </row>
    <row r="141" spans="1:16" s="31" customFormat="1" x14ac:dyDescent="0.25">
      <c r="B141" s="46" t="s">
        <v>488</v>
      </c>
      <c r="E141" s="189"/>
    </row>
    <row r="142" spans="1:16" s="31" customFormat="1" x14ac:dyDescent="0.25">
      <c r="A142" s="31" t="s">
        <v>484</v>
      </c>
      <c r="B142" s="43">
        <f>'Design Converter'!V40*(10^-3)</f>
        <v>0.70000000000000007</v>
      </c>
      <c r="C142" s="31" t="s">
        <v>11</v>
      </c>
      <c r="E142" s="31" t="s">
        <v>150</v>
      </c>
    </row>
    <row r="143" spans="1:16" s="31" customFormat="1" x14ac:dyDescent="0.25">
      <c r="B143" s="43">
        <f>IOUT3-(IOUT3/2)</f>
        <v>0</v>
      </c>
    </row>
    <row r="144" spans="1:16" s="31" customFormat="1" x14ac:dyDescent="0.25">
      <c r="A144" s="31" t="s">
        <v>485</v>
      </c>
      <c r="B144" s="1">
        <f>IF(EN_OUT_3=1,B143/(2*PI()*Vout3_rip_sel*B122),0)</f>
        <v>0</v>
      </c>
      <c r="C144" s="31" t="s">
        <v>151</v>
      </c>
      <c r="E144" s="31" t="s">
        <v>152</v>
      </c>
      <c r="O144" s="188"/>
      <c r="P144" s="31" t="s">
        <v>659</v>
      </c>
    </row>
    <row r="145" spans="1:11" s="31" customFormat="1" x14ac:dyDescent="0.25">
      <c r="A145" s="31" t="s">
        <v>153</v>
      </c>
      <c r="B145" s="27"/>
      <c r="C145" s="31" t="s">
        <v>12</v>
      </c>
      <c r="E145" s="31" t="s">
        <v>154</v>
      </c>
    </row>
    <row r="146" spans="1:11" s="31" customFormat="1" x14ac:dyDescent="0.25">
      <c r="A146" s="31" t="s">
        <v>485</v>
      </c>
      <c r="B146" s="3">
        <f>IF(EN_OUT_3=1,'Design Converter'!V42*(10^-6),0)</f>
        <v>0</v>
      </c>
      <c r="C146" s="31" t="s">
        <v>151</v>
      </c>
      <c r="E146" s="31" t="s">
        <v>156</v>
      </c>
    </row>
    <row r="147" spans="1:11" s="31" customFormat="1" x14ac:dyDescent="0.25">
      <c r="A147" s="31" t="s">
        <v>486</v>
      </c>
      <c r="B147" s="3">
        <f>IF(EN_OUT_3=1,'Design Converter'!V43*(10^-3),0)</f>
        <v>0</v>
      </c>
      <c r="C147" s="2" t="s">
        <v>35</v>
      </c>
      <c r="E147" s="31" t="s">
        <v>157</v>
      </c>
    </row>
    <row r="148" spans="1:11" s="31" customFormat="1" x14ac:dyDescent="0.25">
      <c r="B148" s="3">
        <f>IF(EN_OUT_3=1,1/(((Np^2)/(NS3_^2))*Resr3),0)</f>
        <v>0</v>
      </c>
      <c r="C148" s="2" t="s">
        <v>35</v>
      </c>
      <c r="E148" s="31" t="s">
        <v>497</v>
      </c>
    </row>
    <row r="149" spans="1:11" s="31" customFormat="1" x14ac:dyDescent="0.25"/>
    <row r="150" spans="1:11" s="31" customFormat="1" x14ac:dyDescent="0.25">
      <c r="A150" s="31" t="s">
        <v>490</v>
      </c>
      <c r="B150" s="202">
        <f>Cout1+(((NS2_^2)/(NS1_^2))*Cout2)+(((NS3_^2)/(NS1_^2))*Cout3)</f>
        <v>5.4000000000000001E-4</v>
      </c>
      <c r="C150" s="31" t="s">
        <v>151</v>
      </c>
      <c r="E150" s="31" t="s">
        <v>499</v>
      </c>
      <c r="K150" s="31">
        <f>(((NS2_^2)/(NS1_^2))*Cout2)</f>
        <v>0</v>
      </c>
    </row>
    <row r="151" spans="1:11" s="31" customFormat="1" x14ac:dyDescent="0.25">
      <c r="A151" s="31" t="s">
        <v>491</v>
      </c>
      <c r="B151" s="3">
        <f>1/((1/Resr1)+Resr2_Trans+Resr3_Trans)</f>
        <v>2E-3</v>
      </c>
      <c r="C151" s="2" t="s">
        <v>35</v>
      </c>
      <c r="E151" s="31" t="s">
        <v>498</v>
      </c>
    </row>
    <row r="152" spans="1:11" s="31" customFormat="1" x14ac:dyDescent="0.25"/>
    <row r="153" spans="1:11" s="26" customFormat="1" x14ac:dyDescent="0.25">
      <c r="E153" s="26" t="s">
        <v>500</v>
      </c>
    </row>
    <row r="154" spans="1:11" s="31" customFormat="1" x14ac:dyDescent="0.25">
      <c r="A154" s="42" t="s">
        <v>303</v>
      </c>
    </row>
    <row r="155" spans="1:11" s="31" customFormat="1" x14ac:dyDescent="0.25">
      <c r="A155" s="31" t="s">
        <v>287</v>
      </c>
      <c r="B155" s="21">
        <f>Iss</f>
        <v>9.9999999999999991E-6</v>
      </c>
      <c r="C155" s="31" t="s">
        <v>12</v>
      </c>
      <c r="E155" s="31" t="s">
        <v>289</v>
      </c>
      <c r="J155" s="31" t="s">
        <v>665</v>
      </c>
    </row>
    <row r="156" spans="1:11" s="31" customFormat="1" x14ac:dyDescent="0.25">
      <c r="A156" s="31" t="s">
        <v>290</v>
      </c>
      <c r="B156" s="1">
        <f>Iss*VOUT1*Cout1/(Vref*IOUT1)</f>
        <v>8.0999999999999997E-7</v>
      </c>
      <c r="C156" s="31" t="s">
        <v>151</v>
      </c>
      <c r="E156" s="31" t="s">
        <v>291</v>
      </c>
    </row>
    <row r="157" spans="1:11" s="31" customFormat="1" x14ac:dyDescent="0.25">
      <c r="A157" s="31" t="s">
        <v>292</v>
      </c>
      <c r="B157" s="3">
        <f>'Design Converter'!H48*(10^-3)</f>
        <v>0.02</v>
      </c>
      <c r="C157" s="31" t="s">
        <v>47</v>
      </c>
      <c r="E157" s="31" t="s">
        <v>293</v>
      </c>
    </row>
    <row r="158" spans="1:11" s="31" customFormat="1" x14ac:dyDescent="0.25">
      <c r="A158" s="31" t="s">
        <v>296</v>
      </c>
      <c r="B158" s="1">
        <f>(tss*Iss)/(Vref)</f>
        <v>1.9999999999999999E-7</v>
      </c>
      <c r="C158" s="31" t="s">
        <v>151</v>
      </c>
      <c r="E158" s="31" t="s">
        <v>297</v>
      </c>
    </row>
    <row r="159" spans="1:11" s="31" customFormat="1" x14ac:dyDescent="0.25"/>
    <row r="160" spans="1:11" s="31" customFormat="1" x14ac:dyDescent="0.25">
      <c r="A160" s="42" t="s">
        <v>302</v>
      </c>
    </row>
    <row r="161" spans="1:5" s="31" customFormat="1" x14ac:dyDescent="0.25">
      <c r="A161" s="31" t="s">
        <v>304</v>
      </c>
      <c r="B161" s="3">
        <f>'Design Converter'!H52</f>
        <v>5.8</v>
      </c>
      <c r="C161" s="31" t="s">
        <v>11</v>
      </c>
      <c r="E161" s="31" t="s">
        <v>306</v>
      </c>
    </row>
    <row r="162" spans="1:5" s="31" customFormat="1" x14ac:dyDescent="0.25">
      <c r="A162" s="31" t="s">
        <v>305</v>
      </c>
      <c r="B162" s="3">
        <f>'Design Converter'!H53</f>
        <v>5.4</v>
      </c>
      <c r="C162" s="31" t="s">
        <v>11</v>
      </c>
      <c r="E162" s="31" t="s">
        <v>307</v>
      </c>
    </row>
    <row r="163" spans="1:5" s="31" customFormat="1" x14ac:dyDescent="0.25">
      <c r="A163" s="31" t="s">
        <v>309</v>
      </c>
      <c r="B163" s="21">
        <f>UV_rise</f>
        <v>1.5</v>
      </c>
      <c r="C163" s="31" t="s">
        <v>11</v>
      </c>
      <c r="E163" s="31" t="s">
        <v>314</v>
      </c>
    </row>
    <row r="164" spans="1:5" s="31" customFormat="1" x14ac:dyDescent="0.25">
      <c r="A164" s="31" t="s">
        <v>310</v>
      </c>
      <c r="B164" s="21">
        <f>UV_fall</f>
        <v>1.45</v>
      </c>
      <c r="C164" s="31" t="s">
        <v>11</v>
      </c>
      <c r="E164" s="31" t="s">
        <v>313</v>
      </c>
    </row>
    <row r="165" spans="1:5" s="31" customFormat="1" x14ac:dyDescent="0.25">
      <c r="A165" s="31" t="s">
        <v>315</v>
      </c>
      <c r="B165" s="21">
        <f>UV_I_hyst</f>
        <v>4.9999999999999996E-6</v>
      </c>
      <c r="C165" s="31" t="s">
        <v>12</v>
      </c>
      <c r="E165" s="31" t="s">
        <v>317</v>
      </c>
    </row>
    <row r="166" spans="1:5" s="31" customFormat="1" x14ac:dyDescent="0.25">
      <c r="A166" s="31" t="s">
        <v>318</v>
      </c>
      <c r="B166" s="29">
        <f>((Vuvlo_on*0.967)-Vuvlo_off)/(UV_I_hyst)</f>
        <v>41719.999999999942</v>
      </c>
      <c r="C166" s="2" t="s">
        <v>35</v>
      </c>
      <c r="E166" s="31" t="s">
        <v>392</v>
      </c>
    </row>
    <row r="167" spans="1:5" s="31" customFormat="1" x14ac:dyDescent="0.25">
      <c r="A167" s="31" t="s">
        <v>318</v>
      </c>
      <c r="B167" s="3">
        <f>'Design Converter'!H55*1000</f>
        <v>41720</v>
      </c>
      <c r="C167" s="2" t="s">
        <v>35</v>
      </c>
      <c r="E167" s="31" t="s">
        <v>393</v>
      </c>
    </row>
    <row r="168" spans="1:5" s="31" customFormat="1" x14ac:dyDescent="0.25">
      <c r="A168" s="31" t="s">
        <v>319</v>
      </c>
      <c r="B168" s="29">
        <f>UV_rise*Ruvlo_top/(Vuvlo_on-UV_rise)</f>
        <v>14553.488372093025</v>
      </c>
      <c r="C168" s="2" t="s">
        <v>35</v>
      </c>
      <c r="E168" s="31" t="s">
        <v>394</v>
      </c>
    </row>
    <row r="169" spans="1:5" s="31" customFormat="1" x14ac:dyDescent="0.25">
      <c r="A169" s="31" t="s">
        <v>320</v>
      </c>
      <c r="B169" s="28">
        <f>UV_rise*(Ruvlo_top+Ruvlo_bottom_calc)/Ruvlo_bottom_calc</f>
        <v>5.8</v>
      </c>
      <c r="E169" s="31" t="s">
        <v>322</v>
      </c>
    </row>
    <row r="170" spans="1:5" s="31" customFormat="1" x14ac:dyDescent="0.25">
      <c r="A170" s="31" t="s">
        <v>321</v>
      </c>
      <c r="B170" s="28">
        <f>Ruvlo_top*((UV_fall/Ruvlo_top)-(UV_I_hyst)+(UV_fall/Ruvlo_bottom_calc))</f>
        <v>5.3980666666666659</v>
      </c>
      <c r="E170" s="31" t="s">
        <v>323</v>
      </c>
    </row>
    <row r="171" spans="1:5" s="31" customFormat="1" x14ac:dyDescent="0.25"/>
    <row r="172" spans="1:5" s="31" customFormat="1" x14ac:dyDescent="0.25"/>
    <row r="173" spans="1:5" x14ac:dyDescent="0.25">
      <c r="A173" s="42" t="s">
        <v>557</v>
      </c>
    </row>
    <row r="174" spans="1:5" s="31" customFormat="1" x14ac:dyDescent="0.25">
      <c r="A174" s="47" t="s">
        <v>186</v>
      </c>
      <c r="B174" s="3">
        <f>'Design Converter'!H59</f>
        <v>12</v>
      </c>
      <c r="C174" s="31" t="s">
        <v>11</v>
      </c>
      <c r="E174" s="31" t="s">
        <v>650</v>
      </c>
    </row>
    <row r="175" spans="1:5" s="31" customFormat="1" x14ac:dyDescent="0.25">
      <c r="A175" s="47" t="s">
        <v>517</v>
      </c>
      <c r="B175" s="26">
        <v>1</v>
      </c>
      <c r="E175" s="31" t="s">
        <v>518</v>
      </c>
    </row>
    <row r="176" spans="1:5" s="31" customFormat="1" x14ac:dyDescent="0.25">
      <c r="A176" s="47"/>
      <c r="B176" s="26"/>
    </row>
    <row r="177" spans="1:5" s="31" customFormat="1" x14ac:dyDescent="0.25">
      <c r="A177" s="47" t="s">
        <v>556</v>
      </c>
      <c r="B177" s="26"/>
    </row>
    <row r="178" spans="1:5" s="31" customFormat="1" x14ac:dyDescent="0.25">
      <c r="A178" s="31" t="s">
        <v>396</v>
      </c>
      <c r="B178" s="32">
        <f>Gcomp*((VOUT1^2)/(POUT_Total))*((1-Dc_VIN_min)/((1+Dc_VIN_min)*((Acs*R_cs)/(Np/NS1_))))</f>
        <v>304.28571428571416</v>
      </c>
      <c r="E178" s="31" t="s">
        <v>559</v>
      </c>
    </row>
    <row r="179" spans="1:5" s="31" customFormat="1" x14ac:dyDescent="0.25"/>
    <row r="180" spans="1:5" s="31" customFormat="1" x14ac:dyDescent="0.25">
      <c r="A180" s="31" t="s">
        <v>397</v>
      </c>
      <c r="B180" s="21">
        <f>(1+Dc_VIN_min)/(Cout_total*((VOUT1^2)/POUT_Total))</f>
        <v>19.204389574759944</v>
      </c>
      <c r="C180" s="31" t="s">
        <v>383</v>
      </c>
      <c r="E180" s="31" t="s">
        <v>382</v>
      </c>
    </row>
    <row r="181" spans="1:5" s="31" customFormat="1" x14ac:dyDescent="0.25">
      <c r="A181" s="31" t="s">
        <v>398</v>
      </c>
      <c r="B181" s="29">
        <f>B180/(2*PI())</f>
        <v>3.056473529885507</v>
      </c>
      <c r="C181" s="31" t="s">
        <v>61</v>
      </c>
      <c r="E181" s="31" t="s">
        <v>240</v>
      </c>
    </row>
    <row r="182" spans="1:5" s="31" customFormat="1" x14ac:dyDescent="0.25">
      <c r="B182" s="26"/>
    </row>
    <row r="183" spans="1:5" s="31" customFormat="1" x14ac:dyDescent="0.25">
      <c r="A183" s="31" t="s">
        <v>399</v>
      </c>
      <c r="B183" s="21">
        <f>1/(Cout_total*Resr_total)</f>
        <v>925925.92592592584</v>
      </c>
      <c r="C183" s="31" t="s">
        <v>384</v>
      </c>
      <c r="E183" s="31" t="s">
        <v>385</v>
      </c>
    </row>
    <row r="184" spans="1:5" s="31" customFormat="1" x14ac:dyDescent="0.25">
      <c r="A184" s="31" t="s">
        <v>400</v>
      </c>
      <c r="B184" s="1">
        <f>B183/(2*PI())</f>
        <v>147365.68804805123</v>
      </c>
      <c r="C184" s="31" t="s">
        <v>61</v>
      </c>
      <c r="E184" s="31" t="s">
        <v>242</v>
      </c>
    </row>
    <row r="185" spans="1:5" s="31" customFormat="1" x14ac:dyDescent="0.25">
      <c r="B185" s="26"/>
    </row>
    <row r="186" spans="1:5" s="31" customFormat="1" x14ac:dyDescent="0.25">
      <c r="A186" s="31" t="s">
        <v>401</v>
      </c>
      <c r="B186" s="21">
        <f>(((VOUT1^2)/POUT_Total)*((1-Dc_VIN_min)^2))/((Lm/((Np/NS1_)^2))*Dc_VIN_min)</f>
        <v>296296.29629629629</v>
      </c>
      <c r="E186" s="31" t="s">
        <v>381</v>
      </c>
    </row>
    <row r="187" spans="1:5" s="31" customFormat="1" x14ac:dyDescent="0.25">
      <c r="A187" s="31" t="s">
        <v>402</v>
      </c>
      <c r="B187" s="29">
        <f>B186/(2*PI())</f>
        <v>47157.020175376398</v>
      </c>
      <c r="C187" s="31" t="s">
        <v>61</v>
      </c>
      <c r="E187" s="31" t="s">
        <v>241</v>
      </c>
    </row>
    <row r="188" spans="1:5" s="31" customFormat="1" x14ac:dyDescent="0.25">
      <c r="B188" s="26">
        <f>Fsw/10</f>
        <v>25240</v>
      </c>
      <c r="C188" s="31" t="s">
        <v>61</v>
      </c>
      <c r="E188" s="31" t="s">
        <v>249</v>
      </c>
    </row>
    <row r="189" spans="1:5" s="31" customFormat="1" x14ac:dyDescent="0.25">
      <c r="B189" s="31">
        <f>IF((B187/5)&lt;(B188),0,1)</f>
        <v>0</v>
      </c>
      <c r="E189" s="31" t="s">
        <v>251</v>
      </c>
    </row>
    <row r="190" spans="1:5" s="31" customFormat="1" x14ac:dyDescent="0.25"/>
    <row r="191" spans="1:5" s="31" customFormat="1" x14ac:dyDescent="0.25">
      <c r="A191" s="31" t="s">
        <v>403</v>
      </c>
      <c r="B191" s="1">
        <f>(Isl*(Rsl_int+R_sl)*Fsw)</f>
        <v>10093.475999999999</v>
      </c>
      <c r="C191" s="31" t="s">
        <v>144</v>
      </c>
      <c r="E191" s="31" t="s">
        <v>202</v>
      </c>
    </row>
    <row r="192" spans="1:5" s="31" customFormat="1" x14ac:dyDescent="0.25">
      <c r="A192" s="31" t="s">
        <v>404</v>
      </c>
      <c r="B192" s="1">
        <f>(R_cs*VIN_min*Acs)/Lm</f>
        <v>1333.3333333333335</v>
      </c>
      <c r="C192" s="31" t="s">
        <v>144</v>
      </c>
      <c r="E192" s="31" t="s">
        <v>203</v>
      </c>
    </row>
    <row r="193" spans="1:7" s="31" customFormat="1" x14ac:dyDescent="0.25">
      <c r="B193" s="1"/>
    </row>
    <row r="194" spans="1:7" s="31" customFormat="1" x14ac:dyDescent="0.25">
      <c r="A194" s="31" t="s">
        <v>405</v>
      </c>
      <c r="B194" s="1">
        <f>2*PI()*Fsw</f>
        <v>1585875.9715321276</v>
      </c>
      <c r="C194" s="31" t="s">
        <v>205</v>
      </c>
    </row>
    <row r="195" spans="1:7" s="31" customFormat="1" x14ac:dyDescent="0.25">
      <c r="A195" s="31" t="s">
        <v>406</v>
      </c>
      <c r="B195" s="1">
        <f>1/(PI()*(((VIN_min/VOUT1)*(1+(B191/B192)))-0.5))</f>
        <v>5.0079546786435773E-2</v>
      </c>
    </row>
    <row r="196" spans="1:7" s="31" customFormat="1" x14ac:dyDescent="0.25">
      <c r="A196" s="47"/>
      <c r="B196" s="26"/>
      <c r="G196" s="31">
        <f>Dc_VIN_min</f>
        <v>0.55555555555555558</v>
      </c>
    </row>
    <row r="197" spans="1:7" s="31" customFormat="1" x14ac:dyDescent="0.25">
      <c r="A197" s="47"/>
      <c r="B197" s="26"/>
    </row>
    <row r="198" spans="1:7" s="31" customFormat="1" x14ac:dyDescent="0.25">
      <c r="A198" s="47"/>
      <c r="B198" s="26"/>
    </row>
    <row r="199" spans="1:7" s="31" customFormat="1" x14ac:dyDescent="0.25">
      <c r="A199" s="47"/>
      <c r="B199" s="26"/>
    </row>
    <row r="200" spans="1:7" s="31" customFormat="1" x14ac:dyDescent="0.25">
      <c r="A200" s="47"/>
      <c r="B200" s="26"/>
    </row>
    <row r="201" spans="1:7" s="31" customFormat="1" x14ac:dyDescent="0.25">
      <c r="A201" s="47"/>
      <c r="B201" s="26"/>
    </row>
    <row r="202" spans="1:7" s="31" customFormat="1" x14ac:dyDescent="0.25">
      <c r="A202" s="195" t="s">
        <v>519</v>
      </c>
      <c r="B202" s="26"/>
    </row>
    <row r="203" spans="1:7" s="31" customFormat="1" x14ac:dyDescent="0.25">
      <c r="A203" s="197" t="s">
        <v>530</v>
      </c>
      <c r="B203" s="26"/>
    </row>
    <row r="204" spans="1:7" s="31" customFormat="1" x14ac:dyDescent="0.25">
      <c r="A204" s="47" t="s">
        <v>520</v>
      </c>
      <c r="B204" s="3">
        <f>'Design Converter'!H62</f>
        <v>1.24</v>
      </c>
      <c r="C204" s="31" t="s">
        <v>11</v>
      </c>
      <c r="E204" s="31" t="s">
        <v>521</v>
      </c>
    </row>
    <row r="205" spans="1:7" s="31" customFormat="1" x14ac:dyDescent="0.25">
      <c r="A205" s="47" t="s">
        <v>522</v>
      </c>
      <c r="B205" s="3">
        <f>'Design Converter'!H63*1000</f>
        <v>30000</v>
      </c>
      <c r="C205" s="2" t="s">
        <v>35</v>
      </c>
      <c r="E205" s="31" t="s">
        <v>526</v>
      </c>
    </row>
    <row r="206" spans="1:7" s="31" customFormat="1" x14ac:dyDescent="0.25">
      <c r="A206" s="47" t="s">
        <v>523</v>
      </c>
      <c r="B206" s="1">
        <f>(RFBT_iso*Vref_iso)/(VOUT1-Vref_iso)</f>
        <v>2703.4883720930234</v>
      </c>
      <c r="C206" s="2" t="s">
        <v>35</v>
      </c>
      <c r="E206" s="31" t="s">
        <v>525</v>
      </c>
    </row>
    <row r="207" spans="1:7" s="31" customFormat="1" x14ac:dyDescent="0.25">
      <c r="A207" s="47" t="s">
        <v>524</v>
      </c>
      <c r="B207" s="3">
        <f>'Design Converter'!H65*1000</f>
        <v>9890</v>
      </c>
      <c r="C207" s="2" t="s">
        <v>35</v>
      </c>
      <c r="E207" s="31" t="s">
        <v>527</v>
      </c>
    </row>
    <row r="208" spans="1:7" s="31" customFormat="1" x14ac:dyDescent="0.25">
      <c r="A208" s="47"/>
      <c r="B208" s="26"/>
    </row>
    <row r="209" spans="1:13" s="31" customFormat="1" x14ac:dyDescent="0.25">
      <c r="A209" s="197" t="s">
        <v>531</v>
      </c>
      <c r="B209" s="26"/>
    </row>
    <row r="210" spans="1:13" s="31" customFormat="1" x14ac:dyDescent="0.25">
      <c r="A210" s="47" t="s">
        <v>533</v>
      </c>
      <c r="B210" s="3">
        <f>'Design Converter'!H68</f>
        <v>1</v>
      </c>
      <c r="C210" s="31" t="s">
        <v>528</v>
      </c>
      <c r="E210" s="31" t="s">
        <v>535</v>
      </c>
    </row>
    <row r="211" spans="1:13" s="31" customFormat="1" x14ac:dyDescent="0.25">
      <c r="A211" s="47" t="s">
        <v>534</v>
      </c>
      <c r="B211" s="3">
        <f>'Design Converter'!H69</f>
        <v>2</v>
      </c>
      <c r="C211" s="31" t="s">
        <v>528</v>
      </c>
      <c r="E211" s="31" t="s">
        <v>536</v>
      </c>
    </row>
    <row r="212" spans="1:13" s="31" customFormat="1" x14ac:dyDescent="0.25">
      <c r="A212" s="47" t="s">
        <v>537</v>
      </c>
      <c r="B212" s="3">
        <f>'Design Converter'!H70</f>
        <v>1.4</v>
      </c>
      <c r="C212" s="31" t="s">
        <v>11</v>
      </c>
      <c r="E212" s="31" t="s">
        <v>538</v>
      </c>
    </row>
    <row r="213" spans="1:13" s="31" customFormat="1" x14ac:dyDescent="0.25">
      <c r="A213" s="47" t="s">
        <v>539</v>
      </c>
      <c r="B213" s="3">
        <f>'Design Converter'!H71/(10^9)</f>
        <v>3.2999999999999998E-9</v>
      </c>
      <c r="C213" s="31" t="s">
        <v>151</v>
      </c>
      <c r="E213" s="31" t="s">
        <v>546</v>
      </c>
    </row>
    <row r="214" spans="1:13" s="31" customFormat="1" x14ac:dyDescent="0.25">
      <c r="A214" s="47"/>
      <c r="B214" s="3">
        <f>'Design Converter'!H72/1000</f>
        <v>0.2</v>
      </c>
    </row>
    <row r="215" spans="1:13" s="31" customFormat="1" x14ac:dyDescent="0.25">
      <c r="A215" s="47" t="s">
        <v>547</v>
      </c>
      <c r="B215" s="3">
        <f>'Design Converter'!H75</f>
        <v>6.8</v>
      </c>
      <c r="C215" s="31" t="s">
        <v>11</v>
      </c>
      <c r="E215" s="31" t="s">
        <v>548</v>
      </c>
      <c r="M215" s="31" t="s">
        <v>666</v>
      </c>
    </row>
    <row r="216" spans="1:13" s="31" customFormat="1" x14ac:dyDescent="0.25">
      <c r="A216" s="47" t="s">
        <v>544</v>
      </c>
      <c r="B216" s="1">
        <f>(Vpullup-Vcomp_max)/Icomp_sink_max</f>
        <v>2687.4999999999995</v>
      </c>
      <c r="C216" s="2" t="s">
        <v>35</v>
      </c>
      <c r="E216" s="31" t="s">
        <v>551</v>
      </c>
    </row>
    <row r="217" spans="1:13" s="31" customFormat="1" x14ac:dyDescent="0.25">
      <c r="A217" s="47" t="s">
        <v>550</v>
      </c>
      <c r="B217" s="3">
        <f>'Design Converter'!H77*1000</f>
        <v>4990</v>
      </c>
      <c r="C217" s="2" t="s">
        <v>35</v>
      </c>
      <c r="E217" s="31" t="s">
        <v>552</v>
      </c>
    </row>
    <row r="218" spans="1:13" s="31" customFormat="1" x14ac:dyDescent="0.25">
      <c r="A218" s="47" t="s">
        <v>561</v>
      </c>
      <c r="B218" s="29">
        <f>1/(2*PI()*Copto*Rpullup)</f>
        <v>9665.0842953722804</v>
      </c>
      <c r="C218" s="2" t="s">
        <v>61</v>
      </c>
      <c r="E218" s="31" t="s">
        <v>563</v>
      </c>
      <c r="M218" s="31" t="s">
        <v>667</v>
      </c>
    </row>
    <row r="219" spans="1:13" s="31" customFormat="1" x14ac:dyDescent="0.25">
      <c r="A219" s="47" t="s">
        <v>567</v>
      </c>
      <c r="B219" s="29">
        <f>((VOUT1-Vref_iso-Vd_opto)/(Vpullup-VCE_sat))*(kopto_min*Rpullup)</f>
        <v>9344.9090909090919</v>
      </c>
      <c r="C219" s="2" t="s">
        <v>35</v>
      </c>
      <c r="E219" s="31" t="s">
        <v>568</v>
      </c>
    </row>
    <row r="220" spans="1:13" s="31" customFormat="1" x14ac:dyDescent="0.25">
      <c r="A220" s="47" t="s">
        <v>558</v>
      </c>
      <c r="B220" s="3">
        <f>'Design Converter'!H79*1000</f>
        <v>1000</v>
      </c>
      <c r="C220" s="2" t="s">
        <v>35</v>
      </c>
      <c r="E220" s="31" t="s">
        <v>571</v>
      </c>
    </row>
    <row r="221" spans="1:13" s="31" customFormat="1" x14ac:dyDescent="0.25">
      <c r="A221" s="47"/>
      <c r="B221" s="26"/>
    </row>
    <row r="222" spans="1:13" s="31" customFormat="1" x14ac:dyDescent="0.25">
      <c r="A222" s="47" t="s">
        <v>554</v>
      </c>
      <c r="B222" s="26"/>
      <c r="E222" s="31">
        <f>NS1_</f>
        <v>1</v>
      </c>
      <c r="F222" s="31">
        <f>Np</f>
        <v>1</v>
      </c>
      <c r="G222" s="31">
        <f>Gcomp</f>
        <v>0.14199999999999999</v>
      </c>
      <c r="K222" s="31">
        <f>fcross_iso</f>
        <v>5000</v>
      </c>
    </row>
    <row r="223" spans="1:13" s="31" customFormat="1" x14ac:dyDescent="0.25">
      <c r="A223" s="47" t="s">
        <v>560</v>
      </c>
      <c r="B223" s="26">
        <f>fz_rhp/5</f>
        <v>9431.4040350752803</v>
      </c>
      <c r="C223" s="31" t="s">
        <v>61</v>
      </c>
    </row>
    <row r="224" spans="1:13" s="31" customFormat="1" x14ac:dyDescent="0.25">
      <c r="A224" s="47" t="s">
        <v>561</v>
      </c>
      <c r="B224" s="26">
        <f>fopto</f>
        <v>9665.0842953722804</v>
      </c>
      <c r="C224" s="31" t="s">
        <v>61</v>
      </c>
      <c r="E224" s="31" t="s">
        <v>562</v>
      </c>
    </row>
    <row r="225" spans="1:11" s="31" customFormat="1" x14ac:dyDescent="0.25">
      <c r="A225" s="47" t="s">
        <v>565</v>
      </c>
      <c r="B225" s="1">
        <f>IF(B223&lt;B224,B223,B224)</f>
        <v>9431.4040350752803</v>
      </c>
      <c r="C225" s="31" t="s">
        <v>61</v>
      </c>
      <c r="E225" s="31" t="s">
        <v>555</v>
      </c>
    </row>
    <row r="226" spans="1:11" s="31" customFormat="1" x14ac:dyDescent="0.25">
      <c r="A226" s="47" t="s">
        <v>564</v>
      </c>
      <c r="B226" s="3">
        <f>'Design Converter'!H83*1000</f>
        <v>5000</v>
      </c>
      <c r="C226" s="31" t="s">
        <v>61</v>
      </c>
      <c r="E226" s="31" t="s">
        <v>566</v>
      </c>
    </row>
    <row r="227" spans="1:11" s="31" customFormat="1" x14ac:dyDescent="0.25">
      <c r="A227" s="47"/>
      <c r="B227" s="26"/>
    </row>
    <row r="228" spans="1:11" s="31" customFormat="1" x14ac:dyDescent="0.25">
      <c r="A228" s="47" t="s">
        <v>572</v>
      </c>
      <c r="B228" s="29">
        <f>(NS1_/Np)*(2*PI()*Acs*Cout_total*RLED*R_cs*fcross_iso)/(Gcomp*(1-Dc_VIN_min)*kopto_max)</f>
        <v>2688.0528690926758</v>
      </c>
      <c r="C228" s="2" t="s">
        <v>35</v>
      </c>
      <c r="E228" s="31" t="s">
        <v>576</v>
      </c>
    </row>
    <row r="229" spans="1:11" s="31" customFormat="1" x14ac:dyDescent="0.25">
      <c r="A229" s="47" t="s">
        <v>573</v>
      </c>
      <c r="B229" s="3">
        <f>'Design Converter'!H86*1000</f>
        <v>1200</v>
      </c>
      <c r="C229" s="2" t="s">
        <v>35</v>
      </c>
      <c r="E229" s="31" t="s">
        <v>574</v>
      </c>
      <c r="K229" s="31">
        <f>Gcomp</f>
        <v>0.14199999999999999</v>
      </c>
    </row>
    <row r="230" spans="1:11" s="31" customFormat="1" x14ac:dyDescent="0.25">
      <c r="A230" s="47" t="s">
        <v>575</v>
      </c>
      <c r="B230" s="1">
        <f>SQRT(((VOUT1^2)*Cout_total)/(2*PI()*(Rcomp_iso^2)*POUT_Total*fcross_iso*(1+Dc_VIN_max)))</f>
        <v>1.0728612607700163E-6</v>
      </c>
      <c r="C230" s="2" t="s">
        <v>151</v>
      </c>
      <c r="E230" s="31">
        <f>(2*PI()*(Rcomp_iso^2)*POUT_Total*fcross_iso*(1+Dc_VIN_max))</f>
        <v>105557513160.61705</v>
      </c>
      <c r="H230" s="31">
        <f>Acs</f>
        <v>1</v>
      </c>
    </row>
    <row r="231" spans="1:11" s="31" customFormat="1" x14ac:dyDescent="0.25">
      <c r="A231" s="47" t="s">
        <v>577</v>
      </c>
      <c r="B231" s="3">
        <f>'Design Converter'!$H$87*(10^-9)</f>
        <v>2.2000000000000001E-7</v>
      </c>
      <c r="C231" s="2" t="s">
        <v>151</v>
      </c>
      <c r="E231" s="31">
        <f>(1+Dc_VIN_max)</f>
        <v>1.5555555555555556</v>
      </c>
      <c r="H231" s="31">
        <f>(NS1_/Np)</f>
        <v>1</v>
      </c>
      <c r="I231" s="31">
        <f>R_cs</f>
        <v>0.02</v>
      </c>
    </row>
    <row r="232" spans="1:11" s="31" customFormat="1" x14ac:dyDescent="0.25">
      <c r="A232" s="47"/>
      <c r="B232" s="26"/>
      <c r="E232" s="31">
        <f>fcross_iso</f>
        <v>5000</v>
      </c>
      <c r="F232" s="31">
        <f>POUT_Total</f>
        <v>1.5</v>
      </c>
    </row>
    <row r="233" spans="1:11" s="31" customFormat="1" x14ac:dyDescent="0.25">
      <c r="A233" s="47"/>
      <c r="B233" s="26"/>
    </row>
    <row r="234" spans="1:11" s="31" customFormat="1" x14ac:dyDescent="0.25">
      <c r="A234" s="47"/>
      <c r="B234" s="26"/>
    </row>
    <row r="235" spans="1:11" s="31" customFormat="1" x14ac:dyDescent="0.25">
      <c r="A235" s="47"/>
      <c r="B235" s="26"/>
    </row>
    <row r="236" spans="1:11" s="31" customFormat="1" x14ac:dyDescent="0.25">
      <c r="A236" s="195" t="s">
        <v>532</v>
      </c>
      <c r="B236" s="26"/>
    </row>
    <row r="237" spans="1:11" x14ac:dyDescent="0.25">
      <c r="A237" s="196" t="s">
        <v>243</v>
      </c>
    </row>
    <row r="238" spans="1:11" s="31" customFormat="1" x14ac:dyDescent="0.25">
      <c r="A238" s="31" t="s">
        <v>178</v>
      </c>
      <c r="B238" s="3">
        <f>'Design Converter'!H63*(10^3)</f>
        <v>30000</v>
      </c>
      <c r="C238" s="2" t="s">
        <v>35</v>
      </c>
      <c r="E238" s="31" t="s">
        <v>229</v>
      </c>
    </row>
    <row r="239" spans="1:11" s="31" customFormat="1" x14ac:dyDescent="0.25">
      <c r="A239" s="31" t="s">
        <v>233</v>
      </c>
      <c r="B239" s="29">
        <f>(RFBT*Vref)/(VOUT1-Vref)</f>
        <v>2142.8571428571427</v>
      </c>
      <c r="C239" s="2" t="s">
        <v>35</v>
      </c>
      <c r="E239" s="31" t="s">
        <v>236</v>
      </c>
    </row>
    <row r="240" spans="1:11" x14ac:dyDescent="0.25">
      <c r="A240" t="s">
        <v>179</v>
      </c>
      <c r="B240" s="3">
        <f>'Design Converter'!H65*(10^3)</f>
        <v>9890</v>
      </c>
      <c r="C240" s="2" t="s">
        <v>35</v>
      </c>
      <c r="E240" t="s">
        <v>237</v>
      </c>
    </row>
    <row r="241" spans="1:5" x14ac:dyDescent="0.25">
      <c r="A241" t="s">
        <v>238</v>
      </c>
      <c r="B241" s="1">
        <f>VOUT1/(RFBB+RFBT)</f>
        <v>3.7603409375783404E-4</v>
      </c>
      <c r="C241" s="2" t="s">
        <v>12</v>
      </c>
      <c r="E241" t="s">
        <v>239</v>
      </c>
    </row>
    <row r="242" spans="1:5" s="31" customFormat="1" x14ac:dyDescent="0.25">
      <c r="B242" s="26"/>
      <c r="C242" s="2"/>
    </row>
    <row r="243" spans="1:5" s="31" customFormat="1" x14ac:dyDescent="0.25">
      <c r="A243" s="46" t="s">
        <v>244</v>
      </c>
      <c r="E243" s="31" t="s">
        <v>386</v>
      </c>
    </row>
    <row r="244" spans="1:5" s="31" customFormat="1" x14ac:dyDescent="0.25"/>
    <row r="249" spans="1:5" x14ac:dyDescent="0.25">
      <c r="A249" s="42" t="s">
        <v>557</v>
      </c>
    </row>
    <row r="251" spans="1:5" s="31" customFormat="1" x14ac:dyDescent="0.25">
      <c r="B251" s="26"/>
    </row>
    <row r="252" spans="1:5" s="31" customFormat="1" x14ac:dyDescent="0.25">
      <c r="A252" s="31" t="s">
        <v>245</v>
      </c>
      <c r="B252" s="28">
        <f>IF(B189=0,fz_rhp/5,Fsw/10)</f>
        <v>9431.4040350752803</v>
      </c>
      <c r="C252" s="31" t="s">
        <v>61</v>
      </c>
      <c r="E252" s="31" t="s">
        <v>250</v>
      </c>
    </row>
    <row r="253" spans="1:5" s="31" customFormat="1" x14ac:dyDescent="0.25">
      <c r="A253" s="31" t="s">
        <v>247</v>
      </c>
      <c r="B253" s="3">
        <f>'Design Converter'!H83*1000</f>
        <v>5000</v>
      </c>
      <c r="C253" s="31" t="s">
        <v>61</v>
      </c>
      <c r="E253" s="31" t="s">
        <v>248</v>
      </c>
    </row>
    <row r="254" spans="1:5" s="31" customFormat="1" x14ac:dyDescent="0.25"/>
    <row r="255" spans="1:5" s="31" customFormat="1" x14ac:dyDescent="0.25">
      <c r="A255" s="31" t="s">
        <v>256</v>
      </c>
      <c r="B255" s="32">
        <f>Gplant_fc_dB</f>
        <v>-16.658343531617138</v>
      </c>
      <c r="C255" s="31" t="s">
        <v>228</v>
      </c>
      <c r="E255" s="31" t="s">
        <v>257</v>
      </c>
    </row>
    <row r="256" spans="1:5" s="31" customFormat="1" x14ac:dyDescent="0.25">
      <c r="A256" s="31" t="s">
        <v>252</v>
      </c>
      <c r="B256" s="32">
        <f>10^(B255/20)</f>
        <v>0.14692064403065291</v>
      </c>
      <c r="C256" s="31" t="s">
        <v>144</v>
      </c>
      <c r="E256" s="31" t="s">
        <v>253</v>
      </c>
    </row>
    <row r="257" spans="1:5" s="31" customFormat="1" x14ac:dyDescent="0.25">
      <c r="A257" s="31" t="s">
        <v>258</v>
      </c>
      <c r="B257" s="32">
        <f>1/B256</f>
        <v>6.8063954292996707</v>
      </c>
      <c r="C257" s="31" t="s">
        <v>144</v>
      </c>
      <c r="E257" s="31" t="s">
        <v>259</v>
      </c>
    </row>
    <row r="258" spans="1:5" s="31" customFormat="1" x14ac:dyDescent="0.25"/>
    <row r="259" spans="1:5" s="31" customFormat="1" x14ac:dyDescent="0.25">
      <c r="A259" s="31" t="s">
        <v>265</v>
      </c>
      <c r="B259" s="31">
        <f>fcross/10</f>
        <v>500</v>
      </c>
      <c r="C259" s="31" t="s">
        <v>61</v>
      </c>
      <c r="E259" s="31" t="s">
        <v>263</v>
      </c>
    </row>
    <row r="260" spans="1:5" s="31" customFormat="1" x14ac:dyDescent="0.25">
      <c r="A260" s="31" t="s">
        <v>266</v>
      </c>
      <c r="B260" s="70">
        <f>SQRT(B181*fcross)</f>
        <v>123.62187366897307</v>
      </c>
      <c r="C260" s="31" t="s">
        <v>61</v>
      </c>
      <c r="E260" s="31" t="s">
        <v>264</v>
      </c>
    </row>
    <row r="261" spans="1:5" s="31" customFormat="1" x14ac:dyDescent="0.25">
      <c r="A261" s="31" t="s">
        <v>262</v>
      </c>
      <c r="B261" s="70">
        <f>B260</f>
        <v>123.62187366897307</v>
      </c>
      <c r="C261" s="31" t="s">
        <v>61</v>
      </c>
    </row>
    <row r="262" spans="1:5" s="31" customFormat="1" x14ac:dyDescent="0.25"/>
    <row r="263" spans="1:5" s="31" customFormat="1" x14ac:dyDescent="0.25">
      <c r="A263" s="31" t="s">
        <v>269</v>
      </c>
      <c r="B263" s="44">
        <f>fz_rhp</f>
        <v>47157.020175376398</v>
      </c>
      <c r="C263" s="31" t="s">
        <v>61</v>
      </c>
      <c r="E263" s="31" t="s">
        <v>415</v>
      </c>
    </row>
    <row r="264" spans="1:5" s="31" customFormat="1" x14ac:dyDescent="0.25">
      <c r="E264" s="31" t="s">
        <v>416</v>
      </c>
    </row>
    <row r="265" spans="1:5" s="31" customFormat="1" x14ac:dyDescent="0.25"/>
    <row r="266" spans="1:5" s="31" customFormat="1" x14ac:dyDescent="0.25"/>
    <row r="267" spans="1:5" s="31" customFormat="1" x14ac:dyDescent="0.25">
      <c r="A267" s="31" t="s">
        <v>260</v>
      </c>
      <c r="B267" s="28">
        <f>(2*PI()*Acs*Cout_total*NS1_*R_cs*VOUT1*fcross)/(Gcomp*Np*gm_ea*(1-Dc_VIN_min))</f>
        <v>40320.793036390132</v>
      </c>
      <c r="C267" s="2" t="s">
        <v>35</v>
      </c>
      <c r="E267" s="31" t="s">
        <v>261</v>
      </c>
    </row>
    <row r="268" spans="1:5" x14ac:dyDescent="0.25">
      <c r="A268" t="s">
        <v>168</v>
      </c>
      <c r="B268" s="3">
        <f>'Design Converter'!H86*1000</f>
        <v>1200</v>
      </c>
      <c r="C268" s="2" t="s">
        <v>35</v>
      </c>
      <c r="E268" t="s">
        <v>175</v>
      </c>
    </row>
    <row r="269" spans="1:5" s="31" customFormat="1" x14ac:dyDescent="0.25">
      <c r="A269" s="31" t="s">
        <v>267</v>
      </c>
      <c r="B269" s="22">
        <f>SQRT((Cout_total*(VOUT1^2))/(2*PI()*(RCOMP^2)*fcross*POUT_Total*(1+Dc_VIN_min)))</f>
        <v>1.0728612607700163E-6</v>
      </c>
      <c r="C269" s="2" t="s">
        <v>151</v>
      </c>
    </row>
    <row r="270" spans="1:5" x14ac:dyDescent="0.25">
      <c r="A270" t="s">
        <v>173</v>
      </c>
      <c r="B270" s="3">
        <f>'Design Converter'!H87*(10^-9)</f>
        <v>2.2000000000000001E-7</v>
      </c>
      <c r="C270" t="s">
        <v>151</v>
      </c>
      <c r="E270" t="s">
        <v>176</v>
      </c>
    </row>
    <row r="271" spans="1:5" s="31" customFormat="1" x14ac:dyDescent="0.25">
      <c r="A271" s="31" t="s">
        <v>268</v>
      </c>
      <c r="B271" s="22">
        <f>(Dc_VIN_min*Lm*(NS1_^2)*POUT_Total)/((Np^2)*RCOMP*(VOUT1^2)*(1-Dc_VIN_min)^2)</f>
        <v>2.8125E-9</v>
      </c>
      <c r="C271" s="31" t="s">
        <v>151</v>
      </c>
    </row>
    <row r="272" spans="1:5" x14ac:dyDescent="0.25">
      <c r="A272" t="s">
        <v>174</v>
      </c>
      <c r="B272" s="3">
        <f>'Design Converter'!H88*(10^-12)</f>
        <v>7.2E-10</v>
      </c>
      <c r="C272" t="s">
        <v>151</v>
      </c>
      <c r="E272" t="s">
        <v>177</v>
      </c>
    </row>
    <row r="275" spans="1:8" x14ac:dyDescent="0.25">
      <c r="A275" s="42" t="s">
        <v>330</v>
      </c>
    </row>
    <row r="276" spans="1:8" s="31" customFormat="1" x14ac:dyDescent="0.25"/>
    <row r="277" spans="1:8" x14ac:dyDescent="0.25">
      <c r="A277" s="42" t="s">
        <v>345</v>
      </c>
    </row>
    <row r="278" spans="1:8" ht="15.75" x14ac:dyDescent="0.3">
      <c r="A278" t="s">
        <v>353</v>
      </c>
      <c r="B278" s="3">
        <f>'Design Converter'!H93*(10^-3)</f>
        <v>8.6999999999999994E-3</v>
      </c>
      <c r="C278" s="2" t="s">
        <v>35</v>
      </c>
      <c r="E278" s="95" t="s">
        <v>333</v>
      </c>
    </row>
    <row r="279" spans="1:8" ht="15.75" x14ac:dyDescent="0.3">
      <c r="A279" t="s">
        <v>346</v>
      </c>
      <c r="B279" s="3">
        <f>'Design Converter'!H94*(10^-9)</f>
        <v>3.5000000000000002E-8</v>
      </c>
      <c r="C279" t="s">
        <v>151</v>
      </c>
      <c r="E279" s="95" t="s">
        <v>334</v>
      </c>
    </row>
    <row r="280" spans="1:8" ht="15.75" x14ac:dyDescent="0.3">
      <c r="A280" t="s">
        <v>348</v>
      </c>
      <c r="B280" s="3">
        <f>'Design Converter'!H95*(10^-9)</f>
        <v>4.9000000000000009E-9</v>
      </c>
      <c r="C280" t="s">
        <v>151</v>
      </c>
      <c r="E280" s="95" t="s">
        <v>335</v>
      </c>
    </row>
    <row r="281" spans="1:8" ht="15.75" x14ac:dyDescent="0.3">
      <c r="A281" t="s">
        <v>347</v>
      </c>
      <c r="B281" s="3">
        <f>'Design Converter'!H96*(10^-9)</f>
        <v>7.9000000000000013E-9</v>
      </c>
      <c r="C281" t="s">
        <v>151</v>
      </c>
      <c r="E281" s="95" t="s">
        <v>336</v>
      </c>
    </row>
    <row r="282" spans="1:8" ht="15.75" x14ac:dyDescent="0.3">
      <c r="A282" t="s">
        <v>349</v>
      </c>
      <c r="B282" s="3">
        <f>'Design Converter'!H97</f>
        <v>1.5</v>
      </c>
      <c r="C282" s="2" t="s">
        <v>35</v>
      </c>
      <c r="E282" s="95" t="s">
        <v>337</v>
      </c>
    </row>
    <row r="283" spans="1:8" s="31" customFormat="1" x14ac:dyDescent="0.25">
      <c r="A283" s="31" t="s">
        <v>354</v>
      </c>
      <c r="B283" s="21">
        <v>1.5</v>
      </c>
      <c r="C283" s="2"/>
      <c r="E283" s="95" t="s">
        <v>355</v>
      </c>
      <c r="H283" s="31" t="s">
        <v>364</v>
      </c>
    </row>
    <row r="284" spans="1:8" ht="15.75" x14ac:dyDescent="0.3">
      <c r="A284" t="s">
        <v>350</v>
      </c>
      <c r="B284" s="21">
        <v>50</v>
      </c>
      <c r="C284" s="2" t="s">
        <v>342</v>
      </c>
      <c r="E284" s="248" t="s">
        <v>669</v>
      </c>
    </row>
    <row r="285" spans="1:8" ht="15.75" x14ac:dyDescent="0.3">
      <c r="A285" t="s">
        <v>351</v>
      </c>
      <c r="B285" s="3">
        <f>'Design Converter'!H98</f>
        <v>1.7</v>
      </c>
      <c r="C285" s="2" t="s">
        <v>11</v>
      </c>
      <c r="E285" s="95" t="s">
        <v>338</v>
      </c>
    </row>
    <row r="286" spans="1:8" s="31" customFormat="1" x14ac:dyDescent="0.25">
      <c r="A286" s="31" t="s">
        <v>360</v>
      </c>
      <c r="B286" s="21">
        <f>Vcc</f>
        <v>6.75</v>
      </c>
      <c r="C286" s="2" t="s">
        <v>11</v>
      </c>
      <c r="E286" s="95" t="s">
        <v>365</v>
      </c>
    </row>
    <row r="287" spans="1:8" s="31" customFormat="1" x14ac:dyDescent="0.25">
      <c r="B287" s="26"/>
      <c r="C287" s="2"/>
      <c r="E287" s="95"/>
    </row>
    <row r="288" spans="1:8" s="31" customFormat="1" x14ac:dyDescent="0.25">
      <c r="B288" s="26"/>
      <c r="C288" s="2"/>
      <c r="E288" s="95"/>
    </row>
    <row r="289" spans="1:5" x14ac:dyDescent="0.25">
      <c r="A289" t="s">
        <v>356</v>
      </c>
      <c r="B289" s="39">
        <f>Vth+(((VOUT1*IOUT1)/VIN_min)/gfs)</f>
        <v>1.7024999999999999</v>
      </c>
      <c r="C289" s="2" t="s">
        <v>11</v>
      </c>
      <c r="E289" s="95" t="s">
        <v>357</v>
      </c>
    </row>
    <row r="290" spans="1:5" x14ac:dyDescent="0.25">
      <c r="A290" t="s">
        <v>366</v>
      </c>
      <c r="B290" s="1">
        <f>(Qgd+(Qgs/2))*((Rgate+B283)/(Vcc-B289))</f>
        <v>5.260029717682022E-9</v>
      </c>
      <c r="C290" s="2" t="s">
        <v>47</v>
      </c>
      <c r="E290" s="95" t="s">
        <v>358</v>
      </c>
    </row>
    <row r="291" spans="1:5" ht="15.75" thickBot="1" x14ac:dyDescent="0.3">
      <c r="A291" t="s">
        <v>367</v>
      </c>
      <c r="B291" s="1">
        <f>(Qgd+(Qgs/2))*((B283+Rgate)/B289)</f>
        <v>1.5594713656387668E-8</v>
      </c>
      <c r="C291" t="s">
        <v>47</v>
      </c>
      <c r="E291" s="96" t="s">
        <v>359</v>
      </c>
    </row>
  </sheetData>
  <mergeCells count="2">
    <mergeCell ref="A1:J1"/>
    <mergeCell ref="E5:H5"/>
  </mergeCells>
  <conditionalFormatting sqref="Q11:U17">
    <cfRule type="expression" priority="1">
      <formula>$B$23=0</formula>
    </cfRule>
  </conditionalFormatting>
  <pageMargins left="0.7" right="0.7" top="0.75" bottom="0.75" header="0.3" footer="0.3"/>
  <pageSetup orientation="portrait" r:id="rId1"/>
  <drawing r:id="rId2"/>
  <legacyDrawing r:id="rId3"/>
  <oleObjects>
    <mc:AlternateContent xmlns:mc="http://schemas.openxmlformats.org/markup-compatibility/2006">
      <mc:Choice Requires="x14">
        <oleObject progId="Mathcad" shapeId="2053" r:id="rId4">
          <objectPr defaultSize="0" autoPict="0" r:id="rId5">
            <anchor moveWithCells="1">
              <from>
                <xdr:col>8</xdr:col>
                <xdr:colOff>57150</xdr:colOff>
                <xdr:row>129</xdr:row>
                <xdr:rowOff>133350</xdr:rowOff>
              </from>
              <to>
                <xdr:col>13</xdr:col>
                <xdr:colOff>161925</xdr:colOff>
                <xdr:row>132</xdr:row>
                <xdr:rowOff>19050</xdr:rowOff>
              </to>
            </anchor>
          </objectPr>
        </oleObject>
      </mc:Choice>
      <mc:Fallback>
        <oleObject progId="Mathcad" shapeId="2053" r:id="rId4"/>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X708"/>
  <sheetViews>
    <sheetView topLeftCell="A37" zoomScale="55" zoomScaleNormal="55" workbookViewId="0">
      <selection activeCell="H35" sqref="H35"/>
    </sheetView>
  </sheetViews>
  <sheetFormatPr defaultColWidth="8.85546875" defaultRowHeight="15" x14ac:dyDescent="0.25"/>
  <cols>
    <col min="1" max="1" width="13.140625" style="31" customWidth="1"/>
    <col min="2" max="2" width="25" style="31" customWidth="1"/>
    <col min="3" max="14" width="8.85546875" style="31"/>
    <col min="15" max="15" width="16.7109375" style="50" bestFit="1" customWidth="1"/>
    <col min="16" max="16" width="16.7109375" style="31" customWidth="1"/>
    <col min="17" max="32" width="8.85546875" style="31"/>
    <col min="33" max="33" width="10.140625" style="31" customWidth="1"/>
    <col min="34" max="34" width="12" style="31" bestFit="1" customWidth="1"/>
    <col min="35" max="44" width="8.85546875" style="31"/>
    <col min="45" max="45" width="9.140625" style="31" customWidth="1"/>
    <col min="46" max="16384" width="8.85546875" style="31"/>
  </cols>
  <sheetData>
    <row r="1" spans="1:50" ht="27.75" x14ac:dyDescent="0.4">
      <c r="A1" s="261" t="s">
        <v>16</v>
      </c>
      <c r="B1" s="261"/>
      <c r="C1" s="261"/>
      <c r="D1" s="261"/>
      <c r="E1" s="261"/>
      <c r="F1" s="261"/>
      <c r="G1" s="261"/>
      <c r="H1" s="261"/>
      <c r="I1" s="261"/>
      <c r="J1" s="261"/>
      <c r="K1" s="261"/>
      <c r="L1" s="261"/>
      <c r="M1" s="261"/>
      <c r="N1" s="261" t="s">
        <v>183</v>
      </c>
      <c r="O1" s="261"/>
      <c r="P1" s="261"/>
      <c r="Q1" s="261"/>
      <c r="R1" s="261"/>
      <c r="S1" s="261"/>
      <c r="T1" s="261"/>
      <c r="U1" s="261"/>
      <c r="V1" s="261"/>
      <c r="W1" s="261"/>
      <c r="X1" s="261"/>
    </row>
    <row r="2" spans="1:50" x14ac:dyDescent="0.25">
      <c r="A2" s="11"/>
      <c r="B2" s="11" t="s">
        <v>17</v>
      </c>
      <c r="C2" s="12"/>
      <c r="D2" s="17"/>
      <c r="E2" s="11"/>
      <c r="F2" s="11"/>
      <c r="G2" s="11"/>
      <c r="H2" s="11"/>
      <c r="I2" s="11"/>
      <c r="J2" s="11"/>
      <c r="K2" s="11"/>
      <c r="L2" s="11"/>
      <c r="M2" s="11"/>
      <c r="O2" s="31"/>
    </row>
    <row r="3" spans="1:50" ht="15.75" thickBot="1" x14ac:dyDescent="0.3">
      <c r="A3" s="11"/>
      <c r="B3" s="11" t="s">
        <v>18</v>
      </c>
      <c r="C3" s="13"/>
      <c r="D3" s="17"/>
      <c r="E3" s="11"/>
      <c r="F3" s="23"/>
      <c r="G3" s="24"/>
      <c r="H3" s="24"/>
      <c r="I3" s="24"/>
      <c r="J3" s="24"/>
      <c r="K3" s="38"/>
      <c r="L3" s="11"/>
      <c r="M3" s="11"/>
      <c r="O3" s="31"/>
    </row>
    <row r="4" spans="1:50" ht="15.75" thickBot="1" x14ac:dyDescent="0.3">
      <c r="A4" s="11"/>
      <c r="B4" s="11" t="s">
        <v>19</v>
      </c>
      <c r="C4" s="14"/>
      <c r="D4" s="17"/>
      <c r="E4" s="11"/>
      <c r="F4" s="23"/>
      <c r="G4" s="24"/>
      <c r="H4" s="24"/>
      <c r="I4" s="24"/>
      <c r="J4" s="24"/>
      <c r="K4" s="38"/>
      <c r="L4" s="11"/>
      <c r="M4" s="11"/>
      <c r="N4" s="84"/>
      <c r="O4" s="90"/>
      <c r="P4" s="264" t="s">
        <v>214</v>
      </c>
      <c r="Q4" s="264"/>
      <c r="R4" s="264"/>
      <c r="S4" s="264"/>
      <c r="T4" s="264"/>
      <c r="U4" s="264"/>
      <c r="V4" s="264"/>
      <c r="W4" s="264"/>
      <c r="X4" s="264"/>
      <c r="Y4" s="264"/>
      <c r="Z4" s="264"/>
      <c r="AA4" s="264"/>
      <c r="AB4" s="264"/>
      <c r="AC4" s="264"/>
      <c r="AD4" s="264"/>
      <c r="AE4" s="265"/>
      <c r="AF4" s="263" t="s">
        <v>215</v>
      </c>
      <c r="AG4" s="264"/>
      <c r="AH4" s="264"/>
      <c r="AI4" s="264"/>
      <c r="AJ4" s="264"/>
      <c r="AK4" s="264"/>
      <c r="AL4" s="264"/>
      <c r="AM4" s="264"/>
      <c r="AN4" s="264"/>
      <c r="AO4" s="264"/>
      <c r="AP4" s="264"/>
      <c r="AQ4" s="264"/>
      <c r="AR4" s="264"/>
      <c r="AS4" s="264"/>
      <c r="AT4" s="264"/>
      <c r="AU4" s="265"/>
      <c r="AV4" s="263" t="s">
        <v>226</v>
      </c>
      <c r="AW4" s="264"/>
      <c r="AX4" s="265"/>
    </row>
    <row r="5" spans="1:50" x14ac:dyDescent="0.25">
      <c r="A5" s="11"/>
      <c r="D5" s="17"/>
      <c r="E5" s="11"/>
      <c r="F5" s="11"/>
      <c r="G5" s="11"/>
      <c r="H5" s="11"/>
      <c r="I5" s="11"/>
      <c r="J5" s="11"/>
      <c r="K5" s="11"/>
      <c r="L5" s="11"/>
      <c r="M5" s="11"/>
      <c r="N5" s="58"/>
      <c r="O5" s="61"/>
      <c r="P5" s="49"/>
      <c r="Q5" s="266" t="s">
        <v>206</v>
      </c>
      <c r="R5" s="266"/>
      <c r="S5" s="266"/>
      <c r="T5" s="267" t="s">
        <v>208</v>
      </c>
      <c r="U5" s="267"/>
      <c r="V5" s="267"/>
      <c r="W5" s="267" t="s">
        <v>208</v>
      </c>
      <c r="X5" s="267"/>
      <c r="Y5" s="267"/>
      <c r="Z5" s="267" t="s">
        <v>211</v>
      </c>
      <c r="AA5" s="267"/>
      <c r="AB5" s="267"/>
      <c r="AC5" s="268" t="s">
        <v>213</v>
      </c>
      <c r="AD5" s="267"/>
      <c r="AE5" s="269"/>
      <c r="AF5" s="49"/>
      <c r="AG5" s="267" t="s">
        <v>222</v>
      </c>
      <c r="AH5" s="267"/>
      <c r="AI5" s="267"/>
      <c r="AJ5" s="270" t="s">
        <v>223</v>
      </c>
      <c r="AK5" s="270"/>
      <c r="AL5" s="270"/>
      <c r="AM5" s="270" t="s">
        <v>578</v>
      </c>
      <c r="AN5" s="270"/>
      <c r="AO5" s="270"/>
      <c r="AP5" s="267" t="s">
        <v>579</v>
      </c>
      <c r="AQ5" s="267"/>
      <c r="AR5" s="267"/>
      <c r="AS5" s="268" t="s">
        <v>213</v>
      </c>
      <c r="AT5" s="267"/>
      <c r="AU5" s="269"/>
      <c r="AV5" s="268" t="s">
        <v>213</v>
      </c>
      <c r="AW5" s="267"/>
      <c r="AX5" s="269"/>
    </row>
    <row r="6" spans="1:50" ht="15.75" thickBot="1" x14ac:dyDescent="0.3">
      <c r="A6" s="10" t="s">
        <v>20</v>
      </c>
      <c r="B6" s="10" t="s">
        <v>21</v>
      </c>
      <c r="C6" s="10" t="s">
        <v>22</v>
      </c>
      <c r="D6" s="17"/>
      <c r="E6" s="262" t="s">
        <v>23</v>
      </c>
      <c r="F6" s="262"/>
      <c r="G6" s="262"/>
      <c r="H6" s="262"/>
      <c r="I6" s="262"/>
      <c r="J6" s="262"/>
      <c r="K6" s="262"/>
      <c r="L6" s="190"/>
      <c r="M6" s="25"/>
      <c r="N6" s="58"/>
      <c r="O6" s="61"/>
      <c r="P6" s="79" t="s">
        <v>189</v>
      </c>
      <c r="Q6" s="49" t="s">
        <v>212</v>
      </c>
      <c r="R6" s="79" t="s">
        <v>209</v>
      </c>
      <c r="S6" s="79" t="s">
        <v>210</v>
      </c>
      <c r="T6" s="79" t="s">
        <v>212</v>
      </c>
      <c r="U6" s="79" t="s">
        <v>209</v>
      </c>
      <c r="V6" s="79" t="s">
        <v>210</v>
      </c>
      <c r="W6" s="81" t="s">
        <v>212</v>
      </c>
      <c r="X6" s="79" t="s">
        <v>209</v>
      </c>
      <c r="Y6" s="79" t="s">
        <v>210</v>
      </c>
      <c r="Z6" s="81" t="s">
        <v>212</v>
      </c>
      <c r="AA6" s="81" t="s">
        <v>209</v>
      </c>
      <c r="AB6" s="81" t="s">
        <v>210</v>
      </c>
      <c r="AC6" s="82" t="s">
        <v>227</v>
      </c>
      <c r="AD6" s="81" t="s">
        <v>209</v>
      </c>
      <c r="AE6" s="83" t="s">
        <v>210</v>
      </c>
      <c r="AF6" s="79" t="s">
        <v>224</v>
      </c>
      <c r="AG6" s="81" t="s">
        <v>212</v>
      </c>
      <c r="AH6" s="81" t="s">
        <v>225</v>
      </c>
      <c r="AI6" s="81" t="s">
        <v>210</v>
      </c>
      <c r="AJ6" s="81" t="s">
        <v>212</v>
      </c>
      <c r="AK6" s="81" t="s">
        <v>225</v>
      </c>
      <c r="AL6" s="81" t="s">
        <v>210</v>
      </c>
      <c r="AM6" s="81" t="s">
        <v>212</v>
      </c>
      <c r="AN6" s="81" t="s">
        <v>225</v>
      </c>
      <c r="AO6" s="81" t="s">
        <v>210</v>
      </c>
      <c r="AP6" s="81" t="s">
        <v>212</v>
      </c>
      <c r="AQ6" s="81" t="s">
        <v>225</v>
      </c>
      <c r="AR6" s="81" t="s">
        <v>210</v>
      </c>
      <c r="AS6" s="82" t="s">
        <v>227</v>
      </c>
      <c r="AT6" s="81" t="s">
        <v>209</v>
      </c>
      <c r="AU6" s="83" t="s">
        <v>210</v>
      </c>
      <c r="AV6" s="82" t="s">
        <v>227</v>
      </c>
      <c r="AW6" s="81" t="s">
        <v>209</v>
      </c>
      <c r="AX6" s="83" t="s">
        <v>210</v>
      </c>
    </row>
    <row r="7" spans="1:50" ht="15.75" thickBot="1" x14ac:dyDescent="0.3">
      <c r="A7" s="10"/>
      <c r="B7" s="10"/>
      <c r="C7" s="10"/>
      <c r="D7" s="17"/>
      <c r="E7" s="190"/>
      <c r="F7" s="190"/>
      <c r="G7" s="190"/>
      <c r="H7" s="190"/>
      <c r="I7" s="190"/>
      <c r="J7" s="190"/>
      <c r="K7" s="190"/>
      <c r="L7" s="190"/>
      <c r="M7" s="25"/>
      <c r="N7" s="31" t="s">
        <v>395</v>
      </c>
      <c r="O7" s="90">
        <f>fcross</f>
        <v>5000</v>
      </c>
      <c r="P7" s="48" t="str">
        <f t="shared" ref="P7:P13" si="0">COMPLEX(Adc,0)</f>
        <v>304.285714285714</v>
      </c>
      <c r="Q7" s="17" t="str">
        <f t="shared" ref="Q7" si="1">IMSUM(COMPLEX(1,0),IMDIV(COMPLEX(0,2*PI()*O7),COMPLEX(wp_lf,0)))</f>
        <v>1+1635.87217461926i</v>
      </c>
      <c r="R7" s="17">
        <f t="shared" ref="R7" si="2">IMABS(Q7)</f>
        <v>1635.8724802665843</v>
      </c>
      <c r="S7" s="17">
        <f t="shared" ref="S7" si="3">IMARGUMENT(Q7)</f>
        <v>1.5701850321650626</v>
      </c>
      <c r="T7" s="17" t="str">
        <f t="shared" ref="T7" si="4">IMSUM(COMPLEX(1,0),IMDIV(COMPLEX(0,2*PI()*O7),COMPLEX(wz_esr,0)))</f>
        <v>1+0.0339292006587697i</v>
      </c>
      <c r="U7" s="17">
        <f t="shared" ref="U7" si="5">IMABS(T7)</f>
        <v>1.000575429768962</v>
      </c>
      <c r="V7" s="17">
        <f t="shared" ref="V7" si="6">IMARGUMENT(T7)</f>
        <v>3.3916189984644803E-2</v>
      </c>
      <c r="W7" s="31" t="str">
        <f t="shared" ref="W7" si="7">IMSUB(COMPLEX(1,0),IMDIV(COMPLEX(0,2*PI()*O7),COMPLEX(wz_rhp,0)))</f>
        <v>1-0.106028752058656i</v>
      </c>
      <c r="X7" s="17">
        <f t="shared" ref="X7" si="8">IMABS(W7)</f>
        <v>1.0056053382232595</v>
      </c>
      <c r="Y7" s="17">
        <f t="shared" ref="Y7" si="9">IMARGUMENT(W7)</f>
        <v>-0.10563408232777484</v>
      </c>
      <c r="Z7" s="31" t="str">
        <f t="shared" ref="Z7" si="10">IMSUM(COMPLEX(1,0),IMDIV(COMPLEX(0,2*PI()*O7),COMPLEX(Q*(wsl/2),0)),IMDIV(IMPOWER(COMPLEX(0,2*PI()*O7),2),IMPOWER(COMPLEX(wsl/2,0),2)))</f>
        <v>0.998430283227137+0.935327242982931i</v>
      </c>
      <c r="AA7" s="17">
        <f t="shared" ref="AA7" si="11">IMABS(Z7)</f>
        <v>1.3681009034172413</v>
      </c>
      <c r="AB7" s="17">
        <f t="shared" ref="AB7" si="12">IMARGUMENT(Z7)</f>
        <v>0.75277739536026822</v>
      </c>
      <c r="AC7" s="66" t="str">
        <f t="shared" ref="AC7" si="13">(IMDIV(IMPRODUCT(P7,T7,W7),IMPRODUCT(Q7,Z7)))</f>
        <v>-0.100383702618278-0.0929398112330652i</v>
      </c>
      <c r="AD7" s="64">
        <f t="shared" ref="AD7" si="14">20*LOG(IMABS(AC7))</f>
        <v>-17.278172170242033</v>
      </c>
      <c r="AE7" s="61">
        <f t="shared" ref="AE7" si="15">(180/PI())*IMARGUMENT(AC7)</f>
        <v>-137.20507561150103</v>
      </c>
      <c r="AF7" s="31" t="str">
        <f t="shared" ref="AF7:AF13" si="16">COMPLEX(Adc_ea_iso,0)</f>
        <v>-1512.12121212121</v>
      </c>
      <c r="AG7" s="31" t="str">
        <f t="shared" ref="AG7" si="17">COMPLEX(0,1*2*PI()*O7)</f>
        <v>31415.9265358979i</v>
      </c>
      <c r="AH7" s="31">
        <f t="shared" ref="AH7" si="18">IMABS(AG7)</f>
        <v>31415.926535897899</v>
      </c>
      <c r="AI7" s="31">
        <f t="shared" ref="AI7" si="19">IMARGUMENT(AG7)</f>
        <v>1.5707963267948966</v>
      </c>
      <c r="AJ7" s="31" t="str">
        <f t="shared" ref="AJ7:AJ13" si="20">IMSUM(IMPRODUCT(COMPLEX(wpA_ea_iso,0),IMPOWER(COMPLEX(0,2*PI()*O7),2)),COMPLEX(0,wpB_ea_iso*2*PI()*O7),COMPLEX(1,0))</f>
        <v>-3.29060127776029+43.2995348188524i</v>
      </c>
      <c r="AK7" s="31">
        <f t="shared" ref="AK7" si="21">IMABS(AJ7)</f>
        <v>43.424391444189624</v>
      </c>
      <c r="AL7" s="31">
        <f t="shared" ref="AL7" si="22">IMARGUMENT(AJ7)</f>
        <v>1.6466467551658877</v>
      </c>
      <c r="AM7" s="31" t="str">
        <f t="shared" ref="AM7:AM13" si="23">IMSUM(COMPLEX(1,0),IMDIV(COMPLEX(0,2*PI()*O7),COMPLEX(wz1_ea_iso,0)))</f>
        <v>1+215.638919742403i</v>
      </c>
      <c r="AN7" s="31">
        <f t="shared" ref="AN7:AN13" si="24">IMABS(AM7)</f>
        <v>215.64123842083299</v>
      </c>
      <c r="AO7" s="31">
        <f t="shared" ref="AO7" si="25">IMARGUMENT(AM7)</f>
        <v>1.5661589782455232</v>
      </c>
      <c r="AP7" s="31" t="str">
        <f t="shared" ref="AP7:AP13" si="26">IMSUM(COMPLEX(1,0),IMDIV(COMPLEX(0,2*PI()*O7),COMPLEX(wz2_ea_iso,0)))</f>
        <v>1+8.29380460547704i</v>
      </c>
      <c r="AQ7" s="31">
        <f t="shared" ref="AQ7" si="27">IMABS(AP7)</f>
        <v>8.3538730439139535</v>
      </c>
      <c r="AR7" s="31">
        <f t="shared" ref="AR7" si="28">IMARGUMENT(AP7)</f>
        <v>1.4508036312260839</v>
      </c>
      <c r="AS7" s="58" t="str">
        <f t="shared" ref="AS7" si="29">IMDIV(IMPRODUCT(AF7,AM7,AP7),IMPRODUCT(AG7,AJ7))</f>
        <v>-1.95675255028726+0.397632272823855i</v>
      </c>
      <c r="AT7" s="49">
        <f t="shared" ref="AT7" si="30">20*LOG(IMABS(AS7))</f>
        <v>6.0064536069448327</v>
      </c>
      <c r="AU7" s="61">
        <f t="shared" ref="AU7" si="31">(180/PI())*IMARGUMENT(AS7)</f>
        <v>168.51331505158151</v>
      </c>
      <c r="AV7" s="58" t="str">
        <f>IMPRODUCT(AC7,AS7)</f>
        <v>0.233381934482017+0.141944412826937i</v>
      </c>
      <c r="AW7" s="64">
        <f t="shared" ref="AW7" si="32">20*LOG(IMABS(AV7))</f>
        <v>-11.271718563297203</v>
      </c>
      <c r="AX7" s="61">
        <f t="shared" ref="AX7" si="33">(180/PI())*IMARGUMENT(AV7)</f>
        <v>31.308239440080524</v>
      </c>
    </row>
    <row r="8" spans="1:50" ht="15.75" thickBot="1" x14ac:dyDescent="0.3">
      <c r="A8" s="10"/>
      <c r="B8" s="10"/>
      <c r="C8" s="10"/>
      <c r="D8" s="17"/>
      <c r="E8" s="190"/>
      <c r="F8" s="190"/>
      <c r="G8" s="190"/>
      <c r="H8" s="190"/>
      <c r="I8" s="190"/>
      <c r="J8" s="190"/>
      <c r="K8" s="190"/>
      <c r="L8" s="190"/>
      <c r="M8" s="25"/>
      <c r="N8" s="84" t="s">
        <v>254</v>
      </c>
      <c r="O8" s="90">
        <f>fcross</f>
        <v>5000</v>
      </c>
      <c r="P8" s="48" t="str">
        <f t="shared" si="0"/>
        <v>304.285714285714</v>
      </c>
      <c r="Q8" s="17" t="str">
        <f t="shared" ref="Q8:Q13" si="34">IMSUM(COMPLEX(1,0),IMDIV(COMPLEX(0,2*PI()*O8),COMPLEX(wp_lf,0)))</f>
        <v>1+1635.87217461926i</v>
      </c>
      <c r="R8" s="17">
        <f t="shared" ref="R8:R13" si="35">IMABS(Q8)</f>
        <v>1635.8724802665843</v>
      </c>
      <c r="S8" s="17">
        <f t="shared" ref="S8:S13" si="36">IMARGUMENT(Q8)</f>
        <v>1.5701850321650626</v>
      </c>
      <c r="T8" s="17" t="str">
        <f t="shared" ref="T8:T13" si="37">IMSUM(COMPLEX(1,0),IMDIV(COMPLEX(0,2*PI()*O8),COMPLEX(wz_esr,0)))</f>
        <v>1+0.0339292006587697i</v>
      </c>
      <c r="U8" s="17">
        <f t="shared" ref="U8:U13" si="38">IMABS(T8)</f>
        <v>1.000575429768962</v>
      </c>
      <c r="V8" s="17">
        <f t="shared" ref="V8:V13" si="39">IMARGUMENT(T8)</f>
        <v>3.3916189984644803E-2</v>
      </c>
      <c r="W8" s="31" t="str">
        <f t="shared" ref="W8:W13" si="40">IMSUB(COMPLEX(1,0),IMDIV(COMPLEX(0,2*PI()*O8),COMPLEX(wz_rhp,0)))</f>
        <v>1-0.106028752058656i</v>
      </c>
      <c r="X8" s="17">
        <f t="shared" ref="X8:X13" si="41">IMABS(W8)</f>
        <v>1.0056053382232595</v>
      </c>
      <c r="Y8" s="17">
        <f t="shared" ref="Y8:Y13" si="42">IMARGUMENT(W8)</f>
        <v>-0.10563408232777484</v>
      </c>
      <c r="Z8" s="31" t="str">
        <f t="shared" ref="Z8:Z13" si="43">IMSUM(COMPLEX(1,0),IMDIV(COMPLEX(0,2*PI()*O8),COMPLEX(Q*(wsl/2),0)),IMDIV(IMPOWER(COMPLEX(0,2*PI()*O8),2),IMPOWER(COMPLEX(wsl/2,0),2)))</f>
        <v>0.998430283227137+0.935327242982931i</v>
      </c>
      <c r="AA8" s="17">
        <f t="shared" ref="AA8:AA13" si="44">IMABS(Z8)</f>
        <v>1.3681009034172413</v>
      </c>
      <c r="AB8" s="17">
        <f t="shared" ref="AB8:AB13" si="45">IMARGUMENT(Z8)</f>
        <v>0.75277739536026822</v>
      </c>
      <c r="AC8" s="66" t="str">
        <f t="shared" ref="AC8:AC13" si="46">(IMDIV(IMPRODUCT(P8,T8,W8),IMPRODUCT(Q8,Z8)))</f>
        <v>-0.100383702618278-0.0929398112330652i</v>
      </c>
      <c r="AD8" s="64">
        <f t="shared" ref="AD8:AD13" si="47">20*LOG(IMABS(AC8))</f>
        <v>-17.278172170242033</v>
      </c>
      <c r="AE8" s="61">
        <f t="shared" ref="AE8:AE13" si="48">(180/PI())*IMARGUMENT(AC8)</f>
        <v>-137.20507561150103</v>
      </c>
      <c r="AF8" s="31" t="str">
        <f t="shared" si="16"/>
        <v>-1512.12121212121</v>
      </c>
      <c r="AG8" s="31" t="str">
        <f t="shared" ref="AG8:AG13" si="49">COMPLEX(0,1*2*PI()*O8)</f>
        <v>31415.9265358979i</v>
      </c>
      <c r="AH8" s="31">
        <f t="shared" ref="AH8:AH13" si="50">IMABS(AG8)</f>
        <v>31415.926535897899</v>
      </c>
      <c r="AI8" s="31">
        <f t="shared" ref="AI8:AI13" si="51">IMARGUMENT(AG8)</f>
        <v>1.5707963267948966</v>
      </c>
      <c r="AJ8" s="31" t="str">
        <f t="shared" si="20"/>
        <v>-3.29060127776029+43.2995348188524i</v>
      </c>
      <c r="AK8" s="31">
        <f t="shared" ref="AK8:AK13" si="52">IMABS(AJ8)</f>
        <v>43.424391444189624</v>
      </c>
      <c r="AL8" s="31">
        <f t="shared" ref="AL8:AL13" si="53">IMARGUMENT(AJ8)</f>
        <v>1.6466467551658877</v>
      </c>
      <c r="AM8" s="31" t="str">
        <f t="shared" si="23"/>
        <v>1+215.638919742403i</v>
      </c>
      <c r="AN8" s="31">
        <f t="shared" si="24"/>
        <v>215.64123842083299</v>
      </c>
      <c r="AO8" s="31">
        <f t="shared" ref="AO8:AO13" si="54">IMARGUMENT(AM8)</f>
        <v>1.5661589782455232</v>
      </c>
      <c r="AP8" s="31" t="str">
        <f t="shared" si="26"/>
        <v>1+8.29380460547704i</v>
      </c>
      <c r="AQ8" s="31">
        <f t="shared" ref="AQ8:AQ13" si="55">IMABS(AP8)</f>
        <v>8.3538730439139535</v>
      </c>
      <c r="AR8" s="31">
        <f t="shared" ref="AR8:AR13" si="56">IMARGUMENT(AP8)</f>
        <v>1.4508036312260839</v>
      </c>
      <c r="AS8" s="58" t="str">
        <f t="shared" ref="AS8:AS13" si="57">IMDIV(IMPRODUCT(AF8,AM8,AP8),IMPRODUCT(AG8,AJ8))</f>
        <v>-1.95675255028726+0.397632272823855i</v>
      </c>
      <c r="AT8" s="49">
        <f t="shared" ref="AT8:AT13" si="58">20*LOG(IMABS(AS8))</f>
        <v>6.0064536069448327</v>
      </c>
      <c r="AU8" s="61">
        <f t="shared" ref="AU8:AU13" si="59">(180/PI())*IMARGUMENT(AS8)</f>
        <v>168.51331505158151</v>
      </c>
      <c r="AV8" s="58" t="str">
        <f t="shared" ref="AV8:AV13" si="60">IMPRODUCT(AC8,AS8)</f>
        <v>0.233381934482017+0.141944412826937i</v>
      </c>
      <c r="AW8" s="64">
        <f t="shared" ref="AW8:AW13" si="61">20*LOG(IMABS(AV8))</f>
        <v>-11.271718563297203</v>
      </c>
      <c r="AX8" s="61">
        <f t="shared" ref="AX8:AX13" si="62">(180/PI())*IMARGUMENT(AV8)</f>
        <v>31.308239440080524</v>
      </c>
    </row>
    <row r="9" spans="1:50" x14ac:dyDescent="0.25">
      <c r="A9" s="69" t="s">
        <v>159</v>
      </c>
      <c r="B9" s="10"/>
      <c r="C9" s="10"/>
      <c r="D9" s="17"/>
      <c r="E9" s="190"/>
      <c r="F9" s="190"/>
      <c r="G9" s="190"/>
      <c r="H9" s="190"/>
      <c r="I9" s="190"/>
      <c r="J9" s="190"/>
      <c r="K9" s="190"/>
      <c r="L9" s="190"/>
      <c r="M9" s="25"/>
      <c r="N9" s="71" t="s">
        <v>255</v>
      </c>
      <c r="O9" s="91">
        <f>wz_rhp/(2*PI())</f>
        <v>47157.020175376398</v>
      </c>
      <c r="P9" s="48" t="str">
        <f t="shared" si="0"/>
        <v>304.285714285714</v>
      </c>
      <c r="Q9" s="17" t="str">
        <f t="shared" si="34"/>
        <v>1+15428.5714285714i</v>
      </c>
      <c r="R9" s="17">
        <f t="shared" si="35"/>
        <v>15428.571460978806</v>
      </c>
      <c r="S9" s="17">
        <f t="shared" si="36"/>
        <v>1.5707315119801726</v>
      </c>
      <c r="T9" s="17" t="str">
        <f t="shared" si="37"/>
        <v>1+0.32i</v>
      </c>
      <c r="U9" s="17">
        <f t="shared" si="38"/>
        <v>1.049952379872535</v>
      </c>
      <c r="V9" s="17">
        <f t="shared" si="39"/>
        <v>0.30970294454245623</v>
      </c>
      <c r="W9" s="31" t="str">
        <f t="shared" si="40"/>
        <v>1-i</v>
      </c>
      <c r="X9" s="17">
        <f t="shared" si="41"/>
        <v>1.4142135623730951</v>
      </c>
      <c r="Y9" s="17">
        <f t="shared" si="42"/>
        <v>-0.78539816339744828</v>
      </c>
      <c r="Z9" s="31" t="str">
        <f t="shared" si="43"/>
        <v>0.860371523590906+8.82144913358505i</v>
      </c>
      <c r="AA9" s="17">
        <f t="shared" si="44"/>
        <v>8.8633066050450147</v>
      </c>
      <c r="AB9" s="17">
        <f t="shared" si="45"/>
        <v>1.4735720616093195</v>
      </c>
      <c r="AC9" s="66" t="str">
        <f t="shared" si="46"/>
        <v>-0.00307029013979784+0.00122064224829686i</v>
      </c>
      <c r="AD9" s="64">
        <f t="shared" si="47"/>
        <v>-49.619106515943365</v>
      </c>
      <c r="AE9" s="61">
        <f t="shared" si="48"/>
        <v>158.31892530178476</v>
      </c>
      <c r="AF9" s="31" t="str">
        <f t="shared" si="16"/>
        <v>-1512.12121212121</v>
      </c>
      <c r="AG9" s="31" t="str">
        <f t="shared" si="49"/>
        <v>296296.296296296i</v>
      </c>
      <c r="AH9" s="31">
        <f t="shared" si="50"/>
        <v>296296.296296296</v>
      </c>
      <c r="AI9" s="31">
        <f t="shared" si="51"/>
        <v>1.5707963267948966</v>
      </c>
      <c r="AJ9" s="31" t="str">
        <f t="shared" si="20"/>
        <v>-380.654913580246+408.375407407408i</v>
      </c>
      <c r="AK9" s="31">
        <f t="shared" si="52"/>
        <v>558.27290513507012</v>
      </c>
      <c r="AL9" s="31">
        <f t="shared" si="53"/>
        <v>2.3210765782994773</v>
      </c>
      <c r="AM9" s="31" t="str">
        <f t="shared" si="23"/>
        <v>1+2033.77777777777i</v>
      </c>
      <c r="AN9" s="31">
        <f t="shared" si="24"/>
        <v>2033.7780236256572</v>
      </c>
      <c r="AO9" s="31">
        <f t="shared" si="54"/>
        <v>1.5703046310303257</v>
      </c>
      <c r="AP9" s="31" t="str">
        <f t="shared" si="26"/>
        <v>1+78.2222222222221i</v>
      </c>
      <c r="AQ9" s="31">
        <f t="shared" si="55"/>
        <v>78.228614006530222</v>
      </c>
      <c r="AR9" s="31">
        <f t="shared" si="56"/>
        <v>1.5580129322648797</v>
      </c>
      <c r="AS9" s="58" t="str">
        <f t="shared" si="57"/>
        <v>-1.05063045195718+1.00570709314237i</v>
      </c>
      <c r="AT9" s="49">
        <f t="shared" si="58"/>
        <v>3.253660366419763</v>
      </c>
      <c r="AU9" s="61">
        <f t="shared" si="59"/>
        <v>136.25150149023861</v>
      </c>
      <c r="AV9" s="58" t="str">
        <f t="shared" si="60"/>
        <v>0.00199813174991408-0.00437025648860592i</v>
      </c>
      <c r="AW9" s="64">
        <f t="shared" si="61"/>
        <v>-46.365446149523599</v>
      </c>
      <c r="AX9" s="61">
        <f t="shared" si="62"/>
        <v>-65.429573207976546</v>
      </c>
    </row>
    <row r="10" spans="1:50" x14ac:dyDescent="0.25">
      <c r="A10" s="31" t="s">
        <v>26</v>
      </c>
      <c r="B10" s="3">
        <f>VIN_min</f>
        <v>12</v>
      </c>
      <c r="C10" s="31" t="s">
        <v>11</v>
      </c>
      <c r="E10" s="31" t="s">
        <v>29</v>
      </c>
      <c r="N10" s="58" t="s">
        <v>208</v>
      </c>
      <c r="O10" s="92">
        <f>wz_esr/(2*PI())</f>
        <v>147365.68804805123</v>
      </c>
      <c r="P10" s="48" t="str">
        <f t="shared" si="0"/>
        <v>304.285714285714</v>
      </c>
      <c r="Q10" s="17" t="str">
        <f t="shared" si="34"/>
        <v>1+48214.2857142858i</v>
      </c>
      <c r="R10" s="17">
        <f t="shared" si="35"/>
        <v>48214.285724656176</v>
      </c>
      <c r="S10" s="17">
        <f t="shared" si="36"/>
        <v>1.5707755860541588</v>
      </c>
      <c r="T10" s="17" t="str">
        <f t="shared" si="37"/>
        <v>1+i</v>
      </c>
      <c r="U10" s="17">
        <f t="shared" si="38"/>
        <v>1.4142135623730951</v>
      </c>
      <c r="V10" s="17">
        <f t="shared" si="39"/>
        <v>0.78539816339744828</v>
      </c>
      <c r="W10" s="31" t="str">
        <f t="shared" si="40"/>
        <v>1-3.125i</v>
      </c>
      <c r="X10" s="17">
        <f t="shared" si="41"/>
        <v>3.281101187101672</v>
      </c>
      <c r="Y10" s="17">
        <f t="shared" si="42"/>
        <v>-1.2610933822524404</v>
      </c>
      <c r="Z10" s="31" t="str">
        <f t="shared" si="43"/>
        <v>-0.36355933993256+27.5670285424533i</v>
      </c>
      <c r="AA10" s="17">
        <f t="shared" si="44"/>
        <v>27.569425783902123</v>
      </c>
      <c r="AB10" s="17">
        <f t="shared" si="45"/>
        <v>1.5839837569815642</v>
      </c>
      <c r="AC10" s="66" t="str">
        <f t="shared" si="46"/>
        <v>-0.000937796170957213+0.000498839245240089i</v>
      </c>
      <c r="AD10" s="64">
        <f t="shared" si="47"/>
        <v>-59.475745454816447</v>
      </c>
      <c r="AE10" s="61">
        <f t="shared" si="48"/>
        <v>151.99027588964569</v>
      </c>
      <c r="AF10" s="31" t="str">
        <f t="shared" si="16"/>
        <v>-1512.12121212121</v>
      </c>
      <c r="AG10" s="31" t="str">
        <f t="shared" si="49"/>
        <v>925925.925925926i</v>
      </c>
      <c r="AH10" s="31">
        <f t="shared" si="50"/>
        <v>925925.92592592596</v>
      </c>
      <c r="AI10" s="31">
        <f t="shared" si="51"/>
        <v>1.5707963267948966</v>
      </c>
      <c r="AJ10" s="31" t="str">
        <f t="shared" si="20"/>
        <v>-3726.0987654321+1276.17314814815i</v>
      </c>
      <c r="AK10" s="31">
        <f t="shared" si="52"/>
        <v>3938.5822212833114</v>
      </c>
      <c r="AL10" s="31">
        <f t="shared" si="53"/>
        <v>2.8116186762093998</v>
      </c>
      <c r="AM10" s="31" t="str">
        <f t="shared" si="23"/>
        <v>1+6355.55555555554i</v>
      </c>
      <c r="AN10" s="31">
        <f t="shared" si="24"/>
        <v>6355.5556342268692</v>
      </c>
      <c r="AO10" s="31">
        <f t="shared" si="54"/>
        <v>1.5706389841388524</v>
      </c>
      <c r="AP10" s="31" t="str">
        <f t="shared" si="26"/>
        <v>1+244.444444444444i</v>
      </c>
      <c r="AQ10" s="31">
        <f t="shared" si="55"/>
        <v>244.44648989043159</v>
      </c>
      <c r="AR10" s="31">
        <f t="shared" si="56"/>
        <v>1.5667054405249454</v>
      </c>
      <c r="AS10" s="58" t="str">
        <f t="shared" si="57"/>
        <v>-0.206135573593511+0.610308959570744i</v>
      </c>
      <c r="AT10" s="49">
        <f t="shared" si="58"/>
        <v>-3.8198444955943858</v>
      </c>
      <c r="AU10" s="61">
        <f t="shared" si="59"/>
        <v>108.6627106651769</v>
      </c>
      <c r="AV10" s="58" t="str">
        <f t="shared" si="60"/>
        <v>-0.000111132909141471-0.000675173919334844i</v>
      </c>
      <c r="AW10" s="64">
        <f t="shared" si="61"/>
        <v>-63.295589950410836</v>
      </c>
      <c r="AX10" s="61">
        <f t="shared" si="62"/>
        <v>-99.347013445177453</v>
      </c>
    </row>
    <row r="11" spans="1:50" ht="15.75" thickBot="1" x14ac:dyDescent="0.3">
      <c r="A11" s="31" t="s">
        <v>27</v>
      </c>
      <c r="B11" s="3">
        <f>VIN_nom</f>
        <v>12</v>
      </c>
      <c r="C11" s="31" t="s">
        <v>11</v>
      </c>
      <c r="E11" s="31" t="s">
        <v>30</v>
      </c>
      <c r="N11" s="62" t="s">
        <v>206</v>
      </c>
      <c r="O11" s="93">
        <f>wp_lf/(2*PI())</f>
        <v>3.056473529885507</v>
      </c>
      <c r="P11" s="48" t="str">
        <f t="shared" si="0"/>
        <v>304.285714285714</v>
      </c>
      <c r="Q11" s="17" t="str">
        <f t="shared" si="34"/>
        <v>1+i</v>
      </c>
      <c r="R11" s="17">
        <f t="shared" si="35"/>
        <v>1.4142135623730951</v>
      </c>
      <c r="S11" s="17">
        <f t="shared" si="36"/>
        <v>0.78539816339744828</v>
      </c>
      <c r="T11" s="17" t="str">
        <f t="shared" si="37"/>
        <v>1+0.0000207407407407407i</v>
      </c>
      <c r="U11" s="17">
        <f t="shared" si="38"/>
        <v>1.0000000002150893</v>
      </c>
      <c r="V11" s="17">
        <f t="shared" si="39"/>
        <v>2.0740740737766628E-5</v>
      </c>
      <c r="W11" s="31" t="str">
        <f t="shared" si="40"/>
        <v>1-0.0000648148148148147i</v>
      </c>
      <c r="X11" s="17">
        <f t="shared" si="41"/>
        <v>1.00000000210048</v>
      </c>
      <c r="Y11" s="17">
        <f t="shared" si="42"/>
        <v>-6.4814814724053202E-5</v>
      </c>
      <c r="Z11" s="31" t="str">
        <f t="shared" si="43"/>
        <v>0.999999999413426+0.000571760591991623i</v>
      </c>
      <c r="AA11" s="17">
        <f t="shared" si="44"/>
        <v>1.0000001628685</v>
      </c>
      <c r="AB11" s="17">
        <f t="shared" si="45"/>
        <v>5.7176053002223003E-4</v>
      </c>
      <c r="AC11" s="66" t="str">
        <f t="shared" si="46"/>
        <v>152.049109050407-152.23649868084i</v>
      </c>
      <c r="AD11" s="64">
        <f t="shared" si="47"/>
        <v>46.655329917304861</v>
      </c>
      <c r="AE11" s="61">
        <f t="shared" si="48"/>
        <v>-45.035284723687987</v>
      </c>
      <c r="AF11" s="31" t="str">
        <f t="shared" si="16"/>
        <v>-1512.12121212121</v>
      </c>
      <c r="AG11" s="31" t="str">
        <f t="shared" si="49"/>
        <v>19.2043895747599i</v>
      </c>
      <c r="AH11" s="31">
        <f t="shared" si="50"/>
        <v>19.204389574759901</v>
      </c>
      <c r="AI11" s="31">
        <f t="shared" si="51"/>
        <v>1.5707963267948966</v>
      </c>
      <c r="AJ11" s="31" t="str">
        <f t="shared" si="20"/>
        <v>0.99999839668289+0.0264687764060357i</v>
      </c>
      <c r="AK11" s="31">
        <f t="shared" si="52"/>
        <v>1.0003486339735679</v>
      </c>
      <c r="AL11" s="31">
        <f t="shared" si="53"/>
        <v>2.6462640103905675E-2</v>
      </c>
      <c r="AM11" s="31" t="str">
        <f t="shared" si="23"/>
        <v>1+0.131818930041152i</v>
      </c>
      <c r="AN11" s="31">
        <f t="shared" si="24"/>
        <v>1.0086506978717629</v>
      </c>
      <c r="AO11" s="31">
        <f t="shared" si="54"/>
        <v>0.13106328730423555</v>
      </c>
      <c r="AP11" s="31" t="str">
        <f t="shared" si="26"/>
        <v>1+0.00506995884773661i</v>
      </c>
      <c r="AQ11" s="31">
        <f t="shared" si="55"/>
        <v>1.0000128521587699</v>
      </c>
      <c r="AR11" s="31">
        <f t="shared" si="56"/>
        <v>5.0699154081833694E-3</v>
      </c>
      <c r="AS11" s="58" t="str">
        <f t="shared" si="57"/>
        <v>-8.68960875334472+78.9158194096709i</v>
      </c>
      <c r="AT11" s="49">
        <f t="shared" si="58"/>
        <v>37.995621797782078</v>
      </c>
      <c r="AU11" s="61">
        <f t="shared" si="59"/>
        <v>96.283660374293078</v>
      </c>
      <c r="AV11" s="58" t="str">
        <f t="shared" si="60"/>
        <v>10692.6207685151+13321.9556427389i</v>
      </c>
      <c r="AW11" s="64">
        <f t="shared" si="61"/>
        <v>84.650951715086947</v>
      </c>
      <c r="AX11" s="61">
        <f t="shared" si="62"/>
        <v>51.248375650605162</v>
      </c>
    </row>
    <row r="12" spans="1:50" x14ac:dyDescent="0.25">
      <c r="A12" s="31" t="s">
        <v>28</v>
      </c>
      <c r="B12" s="3">
        <f>VIN_max</f>
        <v>12</v>
      </c>
      <c r="C12" s="31" t="s">
        <v>11</v>
      </c>
      <c r="E12" s="31" t="s">
        <v>31</v>
      </c>
      <c r="N12" s="71" t="s">
        <v>217</v>
      </c>
      <c r="O12" s="77">
        <f>wz2_ea_iso/(2*PI())</f>
        <v>602.85963292384599</v>
      </c>
      <c r="P12" s="48" t="str">
        <f t="shared" si="0"/>
        <v>304.285714285714</v>
      </c>
      <c r="Q12" s="17" t="str">
        <f t="shared" si="34"/>
        <v>1+197.24025974026i</v>
      </c>
      <c r="R12" s="17">
        <f t="shared" si="35"/>
        <v>197.242794703394</v>
      </c>
      <c r="S12" s="17">
        <f t="shared" si="36"/>
        <v>1.5657264113867133</v>
      </c>
      <c r="T12" s="17" t="str">
        <f t="shared" si="37"/>
        <v>1+0.00409090909090909i</v>
      </c>
      <c r="U12" s="17">
        <f t="shared" si="38"/>
        <v>1.0000083677335856</v>
      </c>
      <c r="V12" s="17">
        <f t="shared" si="39"/>
        <v>4.0908862699511649E-3</v>
      </c>
      <c r="W12" s="31" t="str">
        <f t="shared" si="40"/>
        <v>1-0.0127840909090909i</v>
      </c>
      <c r="X12" s="17">
        <f t="shared" si="41"/>
        <v>1.0000817131516664</v>
      </c>
      <c r="Y12" s="17">
        <f t="shared" si="42"/>
        <v>-1.2783394530016869E-2</v>
      </c>
      <c r="Z12" s="31" t="str">
        <f t="shared" si="43"/>
        <v>0.999977180101956+0.112774207673673i</v>
      </c>
      <c r="AA12" s="17">
        <f t="shared" si="44"/>
        <v>1.0063162438523412</v>
      </c>
      <c r="AB12" s="17">
        <f t="shared" si="45"/>
        <v>0.11230227601193828</v>
      </c>
      <c r="AC12" s="66" t="str">
        <f t="shared" si="46"/>
        <v>-0.177332572319194-1.52286127866313i</v>
      </c>
      <c r="AD12" s="64">
        <f t="shared" si="47"/>
        <v>3.7117010630463803</v>
      </c>
      <c r="AE12" s="61">
        <f t="shared" si="48"/>
        <v>-96.642005726504465</v>
      </c>
      <c r="AF12" s="31" t="str">
        <f t="shared" si="16"/>
        <v>-1512.12121212121</v>
      </c>
      <c r="AG12" s="31" t="str">
        <f t="shared" si="49"/>
        <v>3787.87878787879i</v>
      </c>
      <c r="AH12" s="31">
        <f t="shared" si="50"/>
        <v>3787.8787878787898</v>
      </c>
      <c r="AI12" s="31">
        <f t="shared" si="51"/>
        <v>1.5707963267948966</v>
      </c>
      <c r="AJ12" s="31" t="str">
        <f t="shared" si="20"/>
        <v>0.937625+5.22070833333333i</v>
      </c>
      <c r="AK12" s="31">
        <f t="shared" si="52"/>
        <v>5.3042375646610207</v>
      </c>
      <c r="AL12" s="31">
        <f t="shared" si="53"/>
        <v>1.3930935003311142</v>
      </c>
      <c r="AM12" s="31" t="str">
        <f t="shared" si="23"/>
        <v>1+26i</v>
      </c>
      <c r="AN12" s="31">
        <f t="shared" si="24"/>
        <v>26.019223662515373</v>
      </c>
      <c r="AO12" s="31">
        <f t="shared" si="54"/>
        <v>1.5323537367737086</v>
      </c>
      <c r="AP12" s="31" t="str">
        <f t="shared" si="26"/>
        <v>1+i</v>
      </c>
      <c r="AQ12" s="31">
        <f t="shared" si="55"/>
        <v>1.4142135623730951</v>
      </c>
      <c r="AR12" s="31">
        <f t="shared" si="56"/>
        <v>0.78539816339744828</v>
      </c>
      <c r="AS12" s="58" t="str">
        <f t="shared" si="57"/>
        <v>-2.21108610845584+1.66744239128964i</v>
      </c>
      <c r="AT12" s="49">
        <f t="shared" si="58"/>
        <v>8.8475379580336515</v>
      </c>
      <c r="AU12" s="61">
        <f t="shared" si="59"/>
        <v>142.97902380215467</v>
      </c>
      <c r="AV12" s="58" t="str">
        <f t="shared" si="60"/>
        <v>2.93138103932816+3.07148556991588i</v>
      </c>
      <c r="AW12" s="64">
        <f t="shared" si="61"/>
        <v>12.559239021080026</v>
      </c>
      <c r="AX12" s="61">
        <f t="shared" si="62"/>
        <v>46.337018075650164</v>
      </c>
    </row>
    <row r="13" spans="1:50" ht="15.75" thickBot="1" x14ac:dyDescent="0.3">
      <c r="A13" s="31" t="s">
        <v>60</v>
      </c>
      <c r="B13" s="3">
        <f>Fsw</f>
        <v>252400</v>
      </c>
      <c r="C13" s="31" t="s">
        <v>61</v>
      </c>
      <c r="E13" s="31" t="s">
        <v>62</v>
      </c>
      <c r="M13" s="203"/>
      <c r="N13" s="62" t="s">
        <v>223</v>
      </c>
      <c r="O13" s="63">
        <f>wpB_ea_iso/(2*PI())</f>
        <v>2.1935800595043736E-4</v>
      </c>
      <c r="P13" s="48" t="str">
        <f t="shared" si="0"/>
        <v>304.285714285714</v>
      </c>
      <c r="Q13" s="17" t="str">
        <f t="shared" si="34"/>
        <v>1+0.0000717683316428573i</v>
      </c>
      <c r="R13" s="17">
        <f t="shared" si="35"/>
        <v>1.0000000025753466</v>
      </c>
      <c r="S13" s="17">
        <f t="shared" si="36"/>
        <v>7.176833151963841E-5</v>
      </c>
      <c r="T13" s="17" t="str">
        <f t="shared" si="37"/>
        <v>1+0.00000000148852836i</v>
      </c>
      <c r="U13" s="17">
        <f t="shared" si="38"/>
        <v>1</v>
      </c>
      <c r="V13" s="17">
        <f t="shared" si="39"/>
        <v>1.48852836E-9</v>
      </c>
      <c r="W13" s="31" t="str">
        <f t="shared" si="40"/>
        <v>1-4.65165112500001E-09i</v>
      </c>
      <c r="X13" s="17">
        <f t="shared" si="41"/>
        <v>1</v>
      </c>
      <c r="Y13" s="17">
        <f t="shared" si="42"/>
        <v>-4.65165112500001E-9</v>
      </c>
      <c r="Z13" s="31" t="str">
        <f t="shared" si="43"/>
        <v>1+4.10343037863712E-08i</v>
      </c>
      <c r="AA13" s="17">
        <f t="shared" si="44"/>
        <v>1.0000000000000009</v>
      </c>
      <c r="AB13" s="17">
        <f t="shared" si="45"/>
        <v>4.1034303786371183E-8</v>
      </c>
      <c r="AC13" s="66" t="str">
        <f t="shared" si="46"/>
        <v>304.285712717466-0.0218515265899981i</v>
      </c>
      <c r="AD13" s="64">
        <f t="shared" si="47"/>
        <v>49.665631246120434</v>
      </c>
      <c r="AE13" s="61">
        <f t="shared" si="48"/>
        <v>-4.114554824777736E-3</v>
      </c>
      <c r="AF13" s="31" t="str">
        <f t="shared" si="16"/>
        <v>-1512.12121212121</v>
      </c>
      <c r="AG13" s="31" t="str">
        <f t="shared" si="49"/>
        <v>0.001378267i</v>
      </c>
      <c r="AH13" s="31">
        <f t="shared" si="50"/>
        <v>1.3782670000000001E-3</v>
      </c>
      <c r="AI13" s="31">
        <f t="shared" si="51"/>
        <v>1.5707963267948966</v>
      </c>
      <c r="AJ13" s="31" t="str">
        <f t="shared" si="20"/>
        <v>0.999999999999992+0.000001899619923289i</v>
      </c>
      <c r="AK13" s="31">
        <f t="shared" si="52"/>
        <v>1.0000000000017963</v>
      </c>
      <c r="AL13" s="31">
        <f t="shared" si="53"/>
        <v>1.8996199232867303E-6</v>
      </c>
      <c r="AM13" s="31" t="str">
        <f t="shared" si="23"/>
        <v>1+9.46042468799998E-06i</v>
      </c>
      <c r="AN13" s="31">
        <f t="shared" si="24"/>
        <v>1.00000000004475</v>
      </c>
      <c r="AO13" s="31">
        <f t="shared" si="54"/>
        <v>9.4604246877177448E-6</v>
      </c>
      <c r="AP13" s="31" t="str">
        <f t="shared" si="26"/>
        <v>1+0.000000363862488i</v>
      </c>
      <c r="AQ13" s="31">
        <f t="shared" si="55"/>
        <v>1.0000000000000662</v>
      </c>
      <c r="AR13" s="31">
        <f t="shared" si="56"/>
        <v>3.6386248799998396E-7</v>
      </c>
      <c r="AS13" s="58" t="str">
        <f t="shared" si="57"/>
        <v>-8.69429323330912+1097117.76610684i</v>
      </c>
      <c r="AT13" s="49">
        <f t="shared" si="58"/>
        <v>120.80506495696773</v>
      </c>
      <c r="AU13" s="61">
        <f t="shared" si="59"/>
        <v>90.00045404998761</v>
      </c>
      <c r="AV13" s="58" t="str">
        <f t="shared" si="60"/>
        <v>21328.1488253708+333837261.584798i</v>
      </c>
      <c r="AW13" s="64">
        <f t="shared" si="61"/>
        <v>170.47069620308815</v>
      </c>
      <c r="AX13" s="61">
        <f t="shared" si="62"/>
        <v>89.996339495162843</v>
      </c>
    </row>
    <row r="14" spans="1:50" x14ac:dyDescent="0.25">
      <c r="B14" s="26"/>
    </row>
    <row r="15" spans="1:50" ht="15.75" thickBot="1" x14ac:dyDescent="0.3">
      <c r="A15" s="68" t="s">
        <v>216</v>
      </c>
      <c r="O15" s="50" t="s">
        <v>185</v>
      </c>
      <c r="P15" s="31">
        <f>B16</f>
        <v>12</v>
      </c>
      <c r="Q15" s="31" t="s">
        <v>11</v>
      </c>
    </row>
    <row r="16" spans="1:50" ht="15.75" thickBot="1" x14ac:dyDescent="0.3">
      <c r="A16" s="31" t="s">
        <v>187</v>
      </c>
      <c r="B16" s="43">
        <f>VIN_var</f>
        <v>12</v>
      </c>
      <c r="C16" s="31" t="s">
        <v>11</v>
      </c>
      <c r="E16" s="31" t="s">
        <v>188</v>
      </c>
      <c r="O16" s="67"/>
      <c r="P16" s="264" t="s">
        <v>214</v>
      </c>
      <c r="Q16" s="264"/>
      <c r="R16" s="264"/>
      <c r="S16" s="264"/>
      <c r="T16" s="264"/>
      <c r="U16" s="264"/>
      <c r="V16" s="264"/>
      <c r="W16" s="264"/>
      <c r="X16" s="264"/>
      <c r="Y16" s="264"/>
      <c r="Z16" s="264"/>
      <c r="AA16" s="264"/>
      <c r="AB16" s="264"/>
      <c r="AC16" s="264"/>
      <c r="AD16" s="264"/>
      <c r="AE16" s="265"/>
      <c r="AF16" s="263" t="s">
        <v>215</v>
      </c>
      <c r="AG16" s="264"/>
      <c r="AH16" s="264"/>
      <c r="AI16" s="264"/>
      <c r="AJ16" s="264"/>
      <c r="AK16" s="264"/>
      <c r="AL16" s="264"/>
      <c r="AM16" s="264"/>
      <c r="AN16" s="264"/>
      <c r="AO16" s="264"/>
      <c r="AP16" s="264"/>
      <c r="AQ16" s="264"/>
      <c r="AR16" s="264"/>
      <c r="AS16" s="264"/>
      <c r="AT16" s="264"/>
      <c r="AU16" s="265"/>
      <c r="AV16" s="263" t="s">
        <v>226</v>
      </c>
      <c r="AW16" s="264"/>
      <c r="AX16" s="265"/>
    </row>
    <row r="17" spans="1:50" x14ac:dyDescent="0.25">
      <c r="A17" s="31" t="s">
        <v>501</v>
      </c>
      <c r="B17" s="43">
        <f>POUT_Total</f>
        <v>1.5</v>
      </c>
      <c r="C17" s="31" t="s">
        <v>36</v>
      </c>
      <c r="E17" s="31" t="s">
        <v>502</v>
      </c>
      <c r="O17" s="52"/>
      <c r="P17" s="49"/>
      <c r="Q17" s="266" t="s">
        <v>206</v>
      </c>
      <c r="R17" s="266"/>
      <c r="S17" s="266"/>
      <c r="T17" s="267" t="s">
        <v>208</v>
      </c>
      <c r="U17" s="267"/>
      <c r="V17" s="267"/>
      <c r="W17" s="267" t="s">
        <v>208</v>
      </c>
      <c r="X17" s="267"/>
      <c r="Y17" s="267"/>
      <c r="Z17" s="267" t="s">
        <v>211</v>
      </c>
      <c r="AA17" s="267"/>
      <c r="AB17" s="267"/>
      <c r="AC17" s="268" t="s">
        <v>213</v>
      </c>
      <c r="AD17" s="267"/>
      <c r="AE17" s="269"/>
      <c r="AF17" s="71"/>
      <c r="AG17" s="270" t="s">
        <v>222</v>
      </c>
      <c r="AH17" s="270"/>
      <c r="AI17" s="270"/>
      <c r="AJ17" s="270" t="s">
        <v>223</v>
      </c>
      <c r="AK17" s="270"/>
      <c r="AL17" s="270"/>
      <c r="AM17" s="270" t="s">
        <v>578</v>
      </c>
      <c r="AN17" s="270"/>
      <c r="AO17" s="270"/>
      <c r="AP17" s="270" t="s">
        <v>217</v>
      </c>
      <c r="AQ17" s="270"/>
      <c r="AR17" s="271"/>
      <c r="AS17" s="268" t="s">
        <v>213</v>
      </c>
      <c r="AT17" s="267"/>
      <c r="AU17" s="269"/>
      <c r="AV17" s="268" t="s">
        <v>213</v>
      </c>
      <c r="AW17" s="267"/>
      <c r="AX17" s="269"/>
    </row>
    <row r="18" spans="1:50" ht="15.75" thickBot="1" x14ac:dyDescent="0.3">
      <c r="A18" s="31" t="s">
        <v>503</v>
      </c>
      <c r="B18" s="1">
        <f>Cout_total</f>
        <v>5.4000000000000001E-4</v>
      </c>
      <c r="C18" s="31" t="s">
        <v>151</v>
      </c>
      <c r="N18" s="10"/>
      <c r="O18" s="53" t="s">
        <v>184</v>
      </c>
      <c r="P18" s="54" t="s">
        <v>189</v>
      </c>
      <c r="Q18" s="55" t="s">
        <v>212</v>
      </c>
      <c r="R18" s="54" t="s">
        <v>209</v>
      </c>
      <c r="S18" s="54" t="s">
        <v>210</v>
      </c>
      <c r="T18" s="54" t="s">
        <v>212</v>
      </c>
      <c r="U18" s="54" t="s">
        <v>209</v>
      </c>
      <c r="V18" s="54" t="s">
        <v>210</v>
      </c>
      <c r="W18" s="56" t="s">
        <v>212</v>
      </c>
      <c r="X18" s="54" t="s">
        <v>209</v>
      </c>
      <c r="Y18" s="54" t="s">
        <v>210</v>
      </c>
      <c r="Z18" s="56" t="s">
        <v>212</v>
      </c>
      <c r="AA18" s="56" t="s">
        <v>209</v>
      </c>
      <c r="AB18" s="56" t="s">
        <v>210</v>
      </c>
      <c r="AC18" s="60" t="s">
        <v>227</v>
      </c>
      <c r="AD18" s="56" t="s">
        <v>209</v>
      </c>
      <c r="AE18" s="57" t="s">
        <v>210</v>
      </c>
      <c r="AF18" s="59" t="s">
        <v>224</v>
      </c>
      <c r="AG18" s="56" t="s">
        <v>212</v>
      </c>
      <c r="AH18" s="56" t="s">
        <v>225</v>
      </c>
      <c r="AI18" s="56" t="s">
        <v>210</v>
      </c>
      <c r="AJ18" s="56" t="s">
        <v>212</v>
      </c>
      <c r="AK18" s="56" t="s">
        <v>225</v>
      </c>
      <c r="AL18" s="56" t="s">
        <v>210</v>
      </c>
      <c r="AM18" s="56" t="s">
        <v>212</v>
      </c>
      <c r="AN18" s="56" t="s">
        <v>225</v>
      </c>
      <c r="AO18" s="56" t="s">
        <v>210</v>
      </c>
      <c r="AP18" s="56" t="s">
        <v>212</v>
      </c>
      <c r="AQ18" s="56" t="s">
        <v>225</v>
      </c>
      <c r="AR18" s="57" t="s">
        <v>210</v>
      </c>
      <c r="AS18" s="60" t="s">
        <v>227</v>
      </c>
      <c r="AT18" s="56" t="s">
        <v>209</v>
      </c>
      <c r="AU18" s="57" t="s">
        <v>210</v>
      </c>
      <c r="AV18" s="60" t="s">
        <v>227</v>
      </c>
      <c r="AW18" s="56" t="s">
        <v>209</v>
      </c>
      <c r="AX18" s="57" t="s">
        <v>210</v>
      </c>
    </row>
    <row r="19" spans="1:50" x14ac:dyDescent="0.25">
      <c r="A19" s="31" t="s">
        <v>491</v>
      </c>
      <c r="B19" s="1">
        <f>Resr_total</f>
        <v>2E-3</v>
      </c>
      <c r="C19" s="2" t="s">
        <v>35</v>
      </c>
      <c r="N19" s="10">
        <v>1</v>
      </c>
      <c r="O19" s="50">
        <f>10^(1+(N19/100))</f>
        <v>10.232929922807543</v>
      </c>
      <c r="P19" s="48" t="str">
        <f>COMPLEX(Adc,0)</f>
        <v>304.285714285714</v>
      </c>
      <c r="Q19" s="17" t="str">
        <f t="shared" ref="Q19:Q82" si="63">IMSUM(COMPLEX(1,0),IMDIV(COMPLEX(0,2*PI()*O19),COMPLEX(wp_lf,0)))</f>
        <v>1+3.34795306510994i</v>
      </c>
      <c r="R19" s="17">
        <f>IMABS(Q19)</f>
        <v>3.4941078584066414</v>
      </c>
      <c r="S19" s="17">
        <f>IMARGUMENT(Q19)</f>
        <v>1.2805418277801008</v>
      </c>
      <c r="T19" s="17" t="str">
        <f t="shared" ref="T19:T82" si="64">IMSUM(COMPLEX(1,0),IMDIV(COMPLEX(0,2*PI()*O19),COMPLEX(wz_esr,0)))</f>
        <v>1+0.0000694390265356133i</v>
      </c>
      <c r="U19" s="17">
        <f>IMABS(T19)</f>
        <v>1.000000002410889</v>
      </c>
      <c r="V19" s="17">
        <f>IMARGUMENT(T19)</f>
        <v>6.9439026424006765E-5</v>
      </c>
      <c r="W19" s="31" t="str">
        <f t="shared" ref="W19:W82" si="65">IMSUB(COMPLEX(1,0),IMDIV(COMPLEX(0,2*PI()*O19),COMPLEX(wz_rhp,0)))</f>
        <v>1-0.000216996957923792i</v>
      </c>
      <c r="X19" s="17">
        <f>IMABS(W19)</f>
        <v>1.0000000235438395</v>
      </c>
      <c r="Y19" s="17">
        <f>IMARGUMENT(W19)</f>
        <v>-2.1699695451783102E-4</v>
      </c>
      <c r="Z19" s="31" t="str">
        <f t="shared" ref="Z19:Z82" si="66">IMSUM(COMPLEX(1,0),IMDIV(COMPLEX(0,2*PI()*O19),COMPLEX(Q*(wsl/2),0)),IMDIV(IMPOWER(COMPLEX(0,2*PI()*O19),2),IMPOWER(COMPLEX(wsl/2,0),2)))</f>
        <v>0.999999993425219+0.00191422762646743i</v>
      </c>
      <c r="AA19" s="17">
        <f>IMABS(Z19)</f>
        <v>1.0000018255572556</v>
      </c>
      <c r="AB19" s="17">
        <f>IMARGUMENT(Z19)</f>
        <v>1.9142253009775188E-3</v>
      </c>
      <c r="AC19" s="66" t="str">
        <f>(IMDIV(IMPRODUCT(P19,T19,W19),IMPRODUCT(Q19,Z19)))</f>
        <v>24.7513572364596-83.4937519344933i</v>
      </c>
      <c r="AD19" s="64">
        <f>20*LOG(IMABS(AC19))</f>
        <v>38.798889498556328</v>
      </c>
      <c r="AE19" s="61">
        <f>(180/PI())*IMARGUMENT(AC19)</f>
        <v>-73.487773699064746</v>
      </c>
      <c r="AF19" s="31" t="str">
        <f>COMPLEX(Adc_ea_iso,0)</f>
        <v>-1512.12121212121</v>
      </c>
      <c r="AG19" s="31" t="str">
        <f>COMPLEX(0,1*2*PI()*O19)</f>
        <v>64.2953949403827i</v>
      </c>
      <c r="AH19" s="31">
        <f>IMABS(AG19)</f>
        <v>64.295394940382707</v>
      </c>
      <c r="AI19" s="31">
        <f>IMARGUMENT(AG19)</f>
        <v>1.5707963267948966</v>
      </c>
      <c r="AJ19" s="31" t="str">
        <f t="shared" ref="AJ19:AJ82" si="67">IMSUM(IMPRODUCT(COMPLEX(wpA_ea_iso,0),IMPOWER(COMPLEX(0,2*PI()*O19),2)),COMPLEX(0,wpB_ea_iso*2*PI()*O19),COMPLEX(1,0))</f>
        <v>0.999982028755655+0.0886162210982964i</v>
      </c>
      <c r="AK19" s="31">
        <f>IMABS(AJ19)</f>
        <v>1.0039008379695764</v>
      </c>
      <c r="AL19" s="31">
        <f>IMARGUMENT(AJ19)</f>
        <v>8.8386925264309982E-2</v>
      </c>
      <c r="AM19" s="31" t="str">
        <f t="shared" ref="AM19:AM82" si="68">IMSUM(COMPLEX(1,0),IMDIV(COMPLEX(0,2*PI()*O19),COMPLEX(wz1_ea_iso,0)))</f>
        <v>1+0.441323590870786i</v>
      </c>
      <c r="AN19" s="31">
        <f>IMABS(AM19)</f>
        <v>1.0930537552467787</v>
      </c>
      <c r="AO19" s="31">
        <f>IMARGUMENT(AM19)</f>
        <v>0.41561523989897337</v>
      </c>
      <c r="AP19" s="31" t="str">
        <f t="shared" ref="AP19:AP82" si="69">IMSUM(COMPLEX(1,0),IMDIV(COMPLEX(0,2*PI()*O19),COMPLEX(wz2_ea_iso,0)))</f>
        <v>1+0.016973984264261i</v>
      </c>
      <c r="AQ19" s="31">
        <f>IMABS(AP19)</f>
        <v>1.0001440476960324</v>
      </c>
      <c r="AR19" s="31">
        <f>IMARGUMENT(AP19)</f>
        <v>1.6972354386389114E-2</v>
      </c>
      <c r="AS19" s="58" t="str">
        <f>IMDIV(IMPRODUCT(AF19,AM19,AP19),IMPRODUCT(AG19,AJ19))</f>
        <v>-8.64215680637561+24.1084361018534i</v>
      </c>
      <c r="AT19" s="49">
        <f>20*LOG(IMABS(AS19))</f>
        <v>28.168399917672563</v>
      </c>
      <c r="AU19" s="61">
        <f>(180/PI())*IMARGUMENT(AS19)</f>
        <v>109.72124564048566</v>
      </c>
      <c r="AV19" s="58" t="str">
        <f t="shared" ref="AV19:AV82" si="70">IMPRODUCT(AC19,AS19)</f>
        <v>1798.99867300863+1318.28261093985i</v>
      </c>
      <c r="AW19" s="64">
        <f>20*LOG(IMABS(AV19))</f>
        <v>66.967289416228894</v>
      </c>
      <c r="AX19" s="61">
        <f>(180/PI())*IMARGUMENT(AV19)</f>
        <v>36.233471941420845</v>
      </c>
    </row>
    <row r="20" spans="1:50" x14ac:dyDescent="0.25">
      <c r="N20" s="10">
        <v>2</v>
      </c>
      <c r="O20" s="50">
        <f t="shared" ref="O20:O83" si="71">10^(1+(N20/100))</f>
        <v>10.471285480509</v>
      </c>
      <c r="P20" s="48" t="str">
        <f t="shared" ref="P20:P82" si="72">COMPLEX(Adc,0)</f>
        <v>304.285714285714</v>
      </c>
      <c r="Q20" s="17" t="str">
        <f t="shared" si="63"/>
        <v>1+3.42593691001187i</v>
      </c>
      <c r="R20" s="17">
        <f t="shared" ref="R20:R83" si="73">IMABS(Q20)</f>
        <v>3.5688995098463723</v>
      </c>
      <c r="S20" s="17">
        <f t="shared" ref="S20:S83" si="74">IMARGUMENT(Q20)</f>
        <v>1.2867955249632843</v>
      </c>
      <c r="T20" s="17" t="str">
        <f t="shared" si="64"/>
        <v>1+0.0000710564692446905i</v>
      </c>
      <c r="U20" s="17">
        <f t="shared" ref="U20:U83" si="75">IMABS(T20)</f>
        <v>1.0000000025245108</v>
      </c>
      <c r="V20" s="17">
        <f t="shared" ref="V20:V83" si="76">IMARGUMENT(T20)</f>
        <v>7.1056469125101943E-5</v>
      </c>
      <c r="W20" s="31" t="str">
        <f t="shared" si="65"/>
        <v>1-0.000222051466389658i</v>
      </c>
      <c r="X20" s="17">
        <f t="shared" ref="X20:X83" si="77">IMABS(W20)</f>
        <v>1.0000000246534266</v>
      </c>
      <c r="Y20" s="17">
        <f t="shared" ref="Y20:Y83" si="78">IMARGUMENT(W20)</f>
        <v>-2.2205146274010507E-4</v>
      </c>
      <c r="Z20" s="31" t="str">
        <f t="shared" si="66"/>
        <v>0.999999993115359+0.00195881571579434i</v>
      </c>
      <c r="AA20" s="17">
        <f t="shared" ref="AA20:AA83" si="79">IMABS(Z20)</f>
        <v>1.0000019115930363</v>
      </c>
      <c r="AB20" s="17">
        <f t="shared" ref="AB20:AB83" si="80">IMARGUMENT(Z20)</f>
        <v>1.9588132239872634E-3</v>
      </c>
      <c r="AC20" s="66" t="str">
        <f t="shared" ref="AC20:AC83" si="81">(IMDIV(IMPRODUCT(P20,T20,W20),IMPRODUCT(Q20,Z20)))</f>
        <v>23.7170475254052-81.8950913282518i</v>
      </c>
      <c r="AD20" s="64">
        <f t="shared" ref="AD20:AD83" si="82">20*LOG(IMABS(AC20))</f>
        <v>38.614928508304359</v>
      </c>
      <c r="AE20" s="61">
        <f t="shared" ref="AE20:AE83" si="83">(180/PI())*IMARGUMENT(AC20)</f>
        <v>-73.848835783167985</v>
      </c>
      <c r="AF20" s="31" t="str">
        <f t="shared" ref="AF20:AF82" si="84">COMPLEX(Adc_ea_iso,0)</f>
        <v>-1512.12121212121</v>
      </c>
      <c r="AG20" s="31" t="str">
        <f t="shared" ref="AG20:AG83" si="85">COMPLEX(0,1*2*PI()*O20)</f>
        <v>65.7930270784171i</v>
      </c>
      <c r="AH20" s="31">
        <f t="shared" ref="AH20:AH83" si="86">IMABS(AG20)</f>
        <v>65.793027078417097</v>
      </c>
      <c r="AI20" s="31">
        <f t="shared" ref="AI20:AI83" si="87">IMARGUMENT(AG20)</f>
        <v>1.5707963267948966</v>
      </c>
      <c r="AJ20" s="31" t="str">
        <f t="shared" si="67"/>
        <v>0.999981181797002+0.0906803580522887i</v>
      </c>
      <c r="AK20" s="31">
        <f t="shared" ref="AK20:AK83" si="88">IMABS(AJ20)</f>
        <v>1.0040843048691779</v>
      </c>
      <c r="AL20" s="31">
        <f t="shared" ref="AL20:AL83" si="89">IMARGUMENT(AJ20)</f>
        <v>9.0434717084100738E-2</v>
      </c>
      <c r="AM20" s="31" t="str">
        <f t="shared" si="68"/>
        <v>1+0.451603337866254i</v>
      </c>
      <c r="AN20" s="31">
        <f t="shared" ref="AN20:AN83" si="90">IMABS(AM20)</f>
        <v>1.0972445373625435</v>
      </c>
      <c r="AO20" s="31">
        <f t="shared" ref="AO20:AO83" si="91">IMARGUMENT(AM20)</f>
        <v>0.42418646292233858</v>
      </c>
      <c r="AP20" s="31" t="str">
        <f t="shared" si="69"/>
        <v>1+0.0173693591487021i</v>
      </c>
      <c r="AQ20" s="31">
        <f t="shared" ref="AQ20:AQ83" si="92">IMABS(AP20)</f>
        <v>1.0001508359428775</v>
      </c>
      <c r="AR20" s="31">
        <f t="shared" ref="AR20:AR83" si="93">IMARGUMENT(AP20)</f>
        <v>1.7367612717322123E-2</v>
      </c>
      <c r="AS20" s="58" t="str">
        <f t="shared" ref="AS20:AS83" si="94">IMDIV(IMPRODUCT(AF20,AM20,AP20),IMPRODUCT(AG20,AJ20))</f>
        <v>-8.63971964104294+23.5866177515725i</v>
      </c>
      <c r="AT20" s="49">
        <f t="shared" ref="AT20:AT83" si="95">20*LOG(IMABS(AS20))</f>
        <v>28.000109770036516</v>
      </c>
      <c r="AU20" s="61">
        <f t="shared" ref="AU20:AU83" si="96">(180/PI())*IMARGUMENT(AS20)</f>
        <v>110.11765735057431</v>
      </c>
      <c r="AV20" s="58" t="str">
        <f t="shared" si="70"/>
        <v>1726.7195735568+1266.95556323131i</v>
      </c>
      <c r="AW20" s="64">
        <f t="shared" ref="AW20:AW83" si="97">20*LOG(IMABS(AV20))</f>
        <v>66.615038278340862</v>
      </c>
      <c r="AX20" s="61">
        <f t="shared" ref="AX20:AX83" si="98">(180/PI())*IMARGUMENT(AV20)</f>
        <v>36.268821567406299</v>
      </c>
    </row>
    <row r="21" spans="1:50" x14ac:dyDescent="0.25">
      <c r="N21" s="10">
        <v>3</v>
      </c>
      <c r="O21" s="50">
        <f t="shared" si="71"/>
        <v>10.715193052376069</v>
      </c>
      <c r="P21" s="48" t="str">
        <f t="shared" si="72"/>
        <v>304.285714285714</v>
      </c>
      <c r="Q21" s="17" t="str">
        <f t="shared" si="63"/>
        <v>1+3.50573723201113i</v>
      </c>
      <c r="R21" s="17">
        <f t="shared" si="73"/>
        <v>3.6455717713287532</v>
      </c>
      <c r="S21" s="17">
        <f t="shared" si="74"/>
        <v>1.2929290111907861</v>
      </c>
      <c r="T21" s="17" t="str">
        <f t="shared" si="64"/>
        <v>1+0.0000727115870343047i</v>
      </c>
      <c r="U21" s="17">
        <f t="shared" si="75"/>
        <v>1.0000000026434874</v>
      </c>
      <c r="V21" s="17">
        <f t="shared" si="76"/>
        <v>7.2711586906163252E-5</v>
      </c>
      <c r="W21" s="31" t="str">
        <f t="shared" si="65"/>
        <v>1-0.000227223709482202i</v>
      </c>
      <c r="X21" s="17">
        <f t="shared" si="77"/>
        <v>1.0000000258153068</v>
      </c>
      <c r="Y21" s="17">
        <f t="shared" si="78"/>
        <v>-2.2722370557163557E-4</v>
      </c>
      <c r="Z21" s="31" t="str">
        <f t="shared" si="66"/>
        <v>0.999999992790896+0.00200444239514176i</v>
      </c>
      <c r="AA21" s="17">
        <f t="shared" si="79"/>
        <v>1.0000020016835505</v>
      </c>
      <c r="AB21" s="17">
        <f t="shared" si="80"/>
        <v>2.0044397251226605E-3</v>
      </c>
      <c r="AC21" s="66" t="str">
        <f t="shared" si="81"/>
        <v>22.7221189384271-80.3147147499023i</v>
      </c>
      <c r="AD21" s="64">
        <f t="shared" si="82"/>
        <v>38.430301074793853</v>
      </c>
      <c r="AE21" s="61">
        <f t="shared" si="83"/>
        <v>-74.203074380075904</v>
      </c>
      <c r="AF21" s="31" t="str">
        <f t="shared" si="84"/>
        <v>-1512.12121212121</v>
      </c>
      <c r="AG21" s="31" t="str">
        <f t="shared" si="85"/>
        <v>67.3255435502821i</v>
      </c>
      <c r="AH21" s="31">
        <f t="shared" si="86"/>
        <v>67.325543550282106</v>
      </c>
      <c r="AI21" s="31">
        <f t="shared" si="87"/>
        <v>1.5707963267948966</v>
      </c>
      <c r="AJ21" s="31" t="str">
        <f t="shared" si="67"/>
        <v>0.999980294922418+0.0927925749324167i</v>
      </c>
      <c r="AK21" s="31">
        <f t="shared" si="88"/>
        <v>1.0042763823747496</v>
      </c>
      <c r="AL21" s="31">
        <f t="shared" si="89"/>
        <v>9.2529426387258043E-2</v>
      </c>
      <c r="AM21" s="31" t="str">
        <f t="shared" si="68"/>
        <v>1+0.462122530929135i</v>
      </c>
      <c r="AN21" s="31">
        <f t="shared" si="90"/>
        <v>1.1016157377199862</v>
      </c>
      <c r="AO21" s="31">
        <f t="shared" si="91"/>
        <v>0.43288916965995183</v>
      </c>
      <c r="AP21" s="31" t="str">
        <f t="shared" si="69"/>
        <v>1+0.0177739434972745i</v>
      </c>
      <c r="AQ21" s="31">
        <f t="shared" si="92"/>
        <v>1.000157944060559</v>
      </c>
      <c r="AR21" s="31">
        <f t="shared" si="93"/>
        <v>1.7772072178295899E-2</v>
      </c>
      <c r="AS21" s="58" t="str">
        <f t="shared" si="94"/>
        <v>-8.63716952391242+23.0772847260973i</v>
      </c>
      <c r="AT21" s="49">
        <f t="shared" si="95"/>
        <v>27.833044167189005</v>
      </c>
      <c r="AU21" s="61">
        <f t="shared" si="96"/>
        <v>110.51944153469982</v>
      </c>
      <c r="AV21" s="58" t="str">
        <f t="shared" si="70"/>
        <v>1657.19074676509+1218.05661488191i</v>
      </c>
      <c r="AW21" s="64">
        <f t="shared" si="97"/>
        <v>66.263345241982876</v>
      </c>
      <c r="AX21" s="61">
        <f t="shared" si="98"/>
        <v>36.316367154623975</v>
      </c>
    </row>
    <row r="22" spans="1:50" x14ac:dyDescent="0.25">
      <c r="N22" s="10">
        <v>4</v>
      </c>
      <c r="O22" s="50">
        <f t="shared" si="71"/>
        <v>10.964781961431854</v>
      </c>
      <c r="P22" s="48" t="str">
        <f t="shared" si="72"/>
        <v>304.285714285714</v>
      </c>
      <c r="Q22" s="17" t="str">
        <f t="shared" si="63"/>
        <v>1+3.58739634229471i</v>
      </c>
      <c r="R22" s="17">
        <f t="shared" si="73"/>
        <v>3.7241660162658512</v>
      </c>
      <c r="S22" s="17">
        <f t="shared" si="74"/>
        <v>1.2989436918881687</v>
      </c>
      <c r="T22" s="17" t="str">
        <f t="shared" si="64"/>
        <v>1+0.0000744052574698161i</v>
      </c>
      <c r="U22" s="17">
        <f t="shared" si="75"/>
        <v>1.0000000027680711</v>
      </c>
      <c r="V22" s="17">
        <f t="shared" si="76"/>
        <v>7.4405257332510068E-5</v>
      </c>
      <c r="W22" s="31" t="str">
        <f t="shared" si="65"/>
        <v>1-0.000232516429593176i</v>
      </c>
      <c r="X22" s="17">
        <f t="shared" si="77"/>
        <v>1.0000000270319447</v>
      </c>
      <c r="Y22" s="17">
        <f t="shared" si="78"/>
        <v>-2.3251642540292856E-4</v>
      </c>
      <c r="Z22" s="31" t="str">
        <f t="shared" si="66"/>
        <v>0.999999992451141+0.00205113185637901i</v>
      </c>
      <c r="AA22" s="17">
        <f t="shared" si="79"/>
        <v>1.0000020960198905</v>
      </c>
      <c r="AB22" s="17">
        <f t="shared" si="80"/>
        <v>2.051128995402325E-3</v>
      </c>
      <c r="AC22" s="66" t="str">
        <f t="shared" si="81"/>
        <v>21.7653601021644-78.7532115045725i</v>
      </c>
      <c r="AD22" s="64">
        <f t="shared" si="82"/>
        <v>38.245032666228894</v>
      </c>
      <c r="AE22" s="61">
        <f t="shared" si="83"/>
        <v>-74.55057150763146</v>
      </c>
      <c r="AF22" s="31" t="str">
        <f t="shared" si="84"/>
        <v>-1512.12121212121</v>
      </c>
      <c r="AG22" s="31" t="str">
        <f t="shared" si="85"/>
        <v>68.8937569164964i</v>
      </c>
      <c r="AH22" s="31">
        <f t="shared" si="86"/>
        <v>68.8937569164964</v>
      </c>
      <c r="AI22" s="31">
        <f t="shared" si="87"/>
        <v>1.5707963267948966</v>
      </c>
      <c r="AJ22" s="31" t="str">
        <f t="shared" si="67"/>
        <v>0.999979366250722+0.0949539916640288i</v>
      </c>
      <c r="AK22" s="31">
        <f t="shared" si="88"/>
        <v>1.0044774728485095</v>
      </c>
      <c r="AL22" s="31">
        <f t="shared" si="89"/>
        <v>9.4672090755611504E-2</v>
      </c>
      <c r="AM22" s="31" t="str">
        <f t="shared" si="68"/>
        <v>1+0.47288674747483i</v>
      </c>
      <c r="AN22" s="31">
        <f t="shared" si="90"/>
        <v>1.10617443287093</v>
      </c>
      <c r="AO22" s="31">
        <f t="shared" si="91"/>
        <v>0.44172270042811407</v>
      </c>
      <c r="AP22" s="31" t="str">
        <f t="shared" si="69"/>
        <v>1+0.018187951825955i</v>
      </c>
      <c r="AQ22" s="31">
        <f t="shared" si="92"/>
        <v>1.0001653871193621</v>
      </c>
      <c r="AR22" s="31">
        <f t="shared" si="93"/>
        <v>1.8185946689450568E-2</v>
      </c>
      <c r="AS22" s="58" t="str">
        <f t="shared" si="94"/>
        <v>-8.63450131343421+22.5801655215009i</v>
      </c>
      <c r="AT22" s="49">
        <f t="shared" si="95"/>
        <v>27.667239462600786</v>
      </c>
      <c r="AU22" s="61">
        <f t="shared" si="96"/>
        <v>110.9265132034319</v>
      </c>
      <c r="AV22" s="58" t="str">
        <f t="shared" si="70"/>
        <v>1590.32752073351+1171.46014191534i</v>
      </c>
      <c r="AW22" s="64">
        <f t="shared" si="97"/>
        <v>65.912272128829684</v>
      </c>
      <c r="AX22" s="61">
        <f t="shared" si="98"/>
        <v>36.375941695800485</v>
      </c>
    </row>
    <row r="23" spans="1:50" x14ac:dyDescent="0.25">
      <c r="N23" s="10">
        <v>5</v>
      </c>
      <c r="O23" s="50">
        <f t="shared" si="71"/>
        <v>11.220184543019636</v>
      </c>
      <c r="P23" s="48" t="str">
        <f t="shared" si="72"/>
        <v>304.285714285714</v>
      </c>
      <c r="Q23" s="17" t="str">
        <f t="shared" si="63"/>
        <v>1+3.67095753760379i</v>
      </c>
      <c r="R23" s="17">
        <f t="shared" si="73"/>
        <v>3.8047245948806969</v>
      </c>
      <c r="S23" s="17">
        <f t="shared" si="74"/>
        <v>1.3048410147186211</v>
      </c>
      <c r="T23" s="17" t="str">
        <f t="shared" si="64"/>
        <v>1+0.0000761383785577081i</v>
      </c>
      <c r="U23" s="17">
        <f t="shared" si="75"/>
        <v>1.0000000028985263</v>
      </c>
      <c r="V23" s="17">
        <f t="shared" si="76"/>
        <v>7.6138378410582039E-5</v>
      </c>
      <c r="W23" s="31" t="str">
        <f t="shared" si="65"/>
        <v>1-0.000237932432992838i</v>
      </c>
      <c r="X23" s="17">
        <f t="shared" si="77"/>
        <v>1.0000000283059209</v>
      </c>
      <c r="Y23" s="17">
        <f t="shared" si="78"/>
        <v>-2.3793242850290701E-4</v>
      </c>
      <c r="Z23" s="31" t="str">
        <f t="shared" si="66"/>
        <v>0.999999992095375+0.00209890885487645i</v>
      </c>
      <c r="AA23" s="17">
        <f t="shared" si="79"/>
        <v>1.0000021948021571</v>
      </c>
      <c r="AB23" s="17">
        <f t="shared" si="80"/>
        <v>2.0989057892850617E-3</v>
      </c>
      <c r="AC23" s="66" t="str">
        <f t="shared" si="81"/>
        <v>20.8455729598846-77.2111097738893i</v>
      </c>
      <c r="AD23" s="64">
        <f t="shared" si="82"/>
        <v>38.05914795927071</v>
      </c>
      <c r="AE23" s="61">
        <f t="shared" si="83"/>
        <v>-74.891411638486929</v>
      </c>
      <c r="AF23" s="31" t="str">
        <f t="shared" si="84"/>
        <v>-1512.12121212121</v>
      </c>
      <c r="AG23" s="31" t="str">
        <f t="shared" si="85"/>
        <v>70.4984986645445i</v>
      </c>
      <c r="AH23" s="31">
        <f t="shared" si="86"/>
        <v>70.498498664544499</v>
      </c>
      <c r="AI23" s="31">
        <f t="shared" si="87"/>
        <v>1.5707963267948966</v>
      </c>
      <c r="AJ23" s="31" t="str">
        <f t="shared" si="67"/>
        <v>0.999978393812078+0.0971657542588858i</v>
      </c>
      <c r="AK23" s="31">
        <f t="shared" si="88"/>
        <v>1.0046879972865612</v>
      </c>
      <c r="AL23" s="31">
        <f t="shared" si="89"/>
        <v>9.6863768064107056E-2</v>
      </c>
      <c r="AM23" s="31" t="str">
        <f t="shared" si="68"/>
        <v>1+0.483901694833432i</v>
      </c>
      <c r="AN23" s="31">
        <f t="shared" si="90"/>
        <v>1.1109279230727203</v>
      </c>
      <c r="AO23" s="31">
        <f t="shared" si="91"/>
        <v>0.45068622353357191</v>
      </c>
      <c r="AP23" s="31" t="str">
        <f t="shared" si="69"/>
        <v>1+0.0186116036474397i</v>
      </c>
      <c r="AQ23" s="31">
        <f t="shared" si="92"/>
        <v>1.0001731808993528</v>
      </c>
      <c r="AR23" s="31">
        <f t="shared" si="93"/>
        <v>1.8609455125057555E-2</v>
      </c>
      <c r="AS23" s="58" t="str">
        <f t="shared" si="94"/>
        <v>-8.63170964292376+22.0949950092164i</v>
      </c>
      <c r="AT23" s="49">
        <f t="shared" si="95"/>
        <v>27.502732226835956</v>
      </c>
      <c r="AU23" s="61">
        <f t="shared" si="96"/>
        <v>111.33877663305971</v>
      </c>
      <c r="AV23" s="58" t="str">
        <f t="shared" si="70"/>
        <v>1526.04615198004+1127.04671128903i</v>
      </c>
      <c r="AW23" s="64">
        <f t="shared" si="97"/>
        <v>65.561880186106677</v>
      </c>
      <c r="AX23" s="61">
        <f t="shared" si="98"/>
        <v>36.447364994572702</v>
      </c>
    </row>
    <row r="24" spans="1:50" x14ac:dyDescent="0.25">
      <c r="N24" s="10">
        <v>6</v>
      </c>
      <c r="O24" s="50">
        <f t="shared" si="71"/>
        <v>11.481536214968834</v>
      </c>
      <c r="P24" s="48" t="str">
        <f t="shared" si="72"/>
        <v>304.285714285714</v>
      </c>
      <c r="Q24" s="17" t="str">
        <f t="shared" si="63"/>
        <v>1+3.75646512319017i</v>
      </c>
      <c r="R24" s="17">
        <f t="shared" si="73"/>
        <v>3.887290858907285</v>
      </c>
      <c r="S24" s="17">
        <f t="shared" si="74"/>
        <v>1.3106224650672598</v>
      </c>
      <c r="T24" s="17" t="str">
        <f t="shared" si="64"/>
        <v>1+0.0000779118692217219i</v>
      </c>
      <c r="U24" s="17">
        <f t="shared" si="75"/>
        <v>1.0000000030351297</v>
      </c>
      <c r="V24" s="17">
        <f t="shared" si="76"/>
        <v>7.7911869064073479E-5</v>
      </c>
      <c r="W24" s="31" t="str">
        <f t="shared" si="65"/>
        <v>1-0.000243474591317881i</v>
      </c>
      <c r="X24" s="17">
        <f t="shared" si="77"/>
        <v>1.0000000296399378</v>
      </c>
      <c r="Y24" s="17">
        <f t="shared" si="78"/>
        <v>-2.4347458650683326E-4</v>
      </c>
      <c r="Z24" s="31" t="str">
        <f t="shared" si="66"/>
        <v>0.999999991722841+0.0021477987226311i</v>
      </c>
      <c r="AA24" s="17">
        <f t="shared" si="79"/>
        <v>1.0000022982398766</v>
      </c>
      <c r="AB24" s="17">
        <f t="shared" si="80"/>
        <v>2.1477954377911545E-3</v>
      </c>
      <c r="AC24" s="66" t="str">
        <f t="shared" si="81"/>
        <v>19.9615748751285-75.6888794384035i</v>
      </c>
      <c r="AD24" s="64">
        <f t="shared" si="82"/>
        <v>37.872670848485491</v>
      </c>
      <c r="AE24" s="61">
        <f t="shared" si="83"/>
        <v>-75.225681442183173</v>
      </c>
      <c r="AF24" s="31" t="str">
        <f t="shared" si="84"/>
        <v>-1512.12121212121</v>
      </c>
      <c r="AG24" s="31" t="str">
        <f t="shared" si="85"/>
        <v>72.1406196497425i</v>
      </c>
      <c r="AH24" s="31">
        <f t="shared" si="86"/>
        <v>72.140619649742504</v>
      </c>
      <c r="AI24" s="31">
        <f t="shared" si="87"/>
        <v>1.5707963267948966</v>
      </c>
      <c r="AJ24" s="31" t="str">
        <f t="shared" si="67"/>
        <v>0.999977375543812+0.0994290354227917i</v>
      </c>
      <c r="AK24" s="31">
        <f t="shared" si="88"/>
        <v>1.004908396165838</v>
      </c>
      <c r="AL24" s="31">
        <f t="shared" si="89"/>
        <v>9.9105536685632864E-2</v>
      </c>
      <c r="AM24" s="31" t="str">
        <f t="shared" si="68"/>
        <v>1+0.495173213275831i</v>
      </c>
      <c r="AN24" s="31">
        <f t="shared" si="90"/>
        <v>1.1158837354966293</v>
      </c>
      <c r="AO24" s="31">
        <f t="shared" si="91"/>
        <v>0.45977872918465224</v>
      </c>
      <c r="AP24" s="31" t="str">
        <f t="shared" si="69"/>
        <v>1+0.019045123587532i</v>
      </c>
      <c r="AQ24" s="31">
        <f t="shared" si="92"/>
        <v>1.0001813419237855</v>
      </c>
      <c r="AR24" s="31">
        <f t="shared" si="93"/>
        <v>1.9042821426864868E-2</v>
      </c>
      <c r="AS24" s="58" t="str">
        <f t="shared" si="94"/>
        <v>-8.62878891155766+21.6215142886338i</v>
      </c>
      <c r="AT24" s="49">
        <f t="shared" si="95"/>
        <v>27.339559175961131</v>
      </c>
      <c r="AU24" s="61">
        <f t="shared" si="96"/>
        <v>111.75612501148403</v>
      </c>
      <c r="AV24" s="58" t="str">
        <f t="shared" si="70"/>
        <v>1464.26397232839+1084.70284001255i</v>
      </c>
      <c r="AW24" s="64">
        <f t="shared" si="97"/>
        <v>65.212230024446654</v>
      </c>
      <c r="AX24" s="61">
        <f t="shared" si="98"/>
        <v>36.530443569300893</v>
      </c>
    </row>
    <row r="25" spans="1:50" x14ac:dyDescent="0.25">
      <c r="A25" s="31" t="s">
        <v>32</v>
      </c>
      <c r="B25" s="43">
        <f>VOUT1</f>
        <v>15</v>
      </c>
      <c r="C25" s="31" t="s">
        <v>11</v>
      </c>
      <c r="E25" s="31" t="s">
        <v>160</v>
      </c>
      <c r="N25" s="10">
        <v>7</v>
      </c>
      <c r="O25" s="50">
        <f t="shared" si="71"/>
        <v>11.748975549395301</v>
      </c>
      <c r="P25" s="48" t="str">
        <f t="shared" si="72"/>
        <v>304.285714285714</v>
      </c>
      <c r="Q25" s="17" t="str">
        <f t="shared" si="63"/>
        <v>1+3.84396443630756i</v>
      </c>
      <c r="R25" s="17">
        <f t="shared" si="73"/>
        <v>3.971909186725862</v>
      </c>
      <c r="S25" s="17">
        <f t="shared" si="74"/>
        <v>1.3162895617383901</v>
      </c>
      <c r="T25" s="17" t="str">
        <f t="shared" si="64"/>
        <v>1+0.0000797266697900826i</v>
      </c>
      <c r="U25" s="17">
        <f t="shared" si="75"/>
        <v>1.0000000031781708</v>
      </c>
      <c r="V25" s="17">
        <f t="shared" si="76"/>
        <v>7.9726669621159278E-5</v>
      </c>
      <c r="W25" s="31" t="str">
        <f t="shared" si="65"/>
        <v>1-0.000249145843094008i</v>
      </c>
      <c r="X25" s="17">
        <f t="shared" si="77"/>
        <v>1.0000000310368251</v>
      </c>
      <c r="Y25" s="17">
        <f t="shared" si="78"/>
        <v>-2.4914583793887751E-4</v>
      </c>
      <c r="Z25" s="31" t="str">
        <f t="shared" si="66"/>
        <v>0.999999991332751+0.00219782738169796i</v>
      </c>
      <c r="AA25" s="17">
        <f t="shared" si="79"/>
        <v>1.0000024065524551</v>
      </c>
      <c r="AB25" s="17">
        <f t="shared" si="80"/>
        <v>2.1978238619289998E-3</v>
      </c>
      <c r="AC25" s="66" t="str">
        <f t="shared" si="81"/>
        <v>19.1122005021558-74.186934884623i</v>
      </c>
      <c r="AD25" s="64">
        <f t="shared" si="82"/>
        <v>37.685624457096452</v>
      </c>
      <c r="AE25" s="61">
        <f t="shared" si="83"/>
        <v>-75.55346953944948</v>
      </c>
      <c r="AF25" s="31" t="str">
        <f t="shared" si="84"/>
        <v>-1512.12121212121</v>
      </c>
      <c r="AG25" s="31" t="str">
        <f t="shared" si="85"/>
        <v>73.8209905463728i</v>
      </c>
      <c r="AH25" s="31">
        <f t="shared" si="86"/>
        <v>73.820990546372798</v>
      </c>
      <c r="AI25" s="31">
        <f t="shared" si="87"/>
        <v>1.5707963267948966</v>
      </c>
      <c r="AJ25" s="31" t="str">
        <f t="shared" si="67"/>
        <v>0.999976309286042+0.101745035177378i</v>
      </c>
      <c r="AK25" s="31">
        <f t="shared" si="88"/>
        <v>1.0051391303280255</v>
      </c>
      <c r="AL25" s="31">
        <f t="shared" si="89"/>
        <v>0.10139849568256692</v>
      </c>
      <c r="AM25" s="31" t="str">
        <f t="shared" si="68"/>
        <v>1+0.506707279110302i</v>
      </c>
      <c r="AN25" s="31">
        <f t="shared" si="90"/>
        <v>1.1210496272259161</v>
      </c>
      <c r="AO25" s="31">
        <f t="shared" si="91"/>
        <v>0.46899902369465146</v>
      </c>
      <c r="AP25" s="31" t="str">
        <f t="shared" si="69"/>
        <v>1+0.0194887415042424i</v>
      </c>
      <c r="AQ25" s="31">
        <f t="shared" si="92"/>
        <v>1.0001898874940793</v>
      </c>
      <c r="AR25" s="31">
        <f t="shared" si="93"/>
        <v>1.9486274719936952E-2</v>
      </c>
      <c r="AS25" s="58" t="str">
        <f t="shared" si="94"/>
        <v>-8.62573327509278+21.1594705425543i</v>
      </c>
      <c r="AT25" s="49">
        <f t="shared" si="95"/>
        <v>27.17775709473246</v>
      </c>
      <c r="AU25" s="61">
        <f t="shared" si="96"/>
        <v>112.17844010175784</v>
      </c>
      <c r="AV25" s="58" t="str">
        <f t="shared" si="70"/>
        <v>1404.89951950188+1044.32075634019i</v>
      </c>
      <c r="AW25" s="64">
        <f t="shared" si="97"/>
        <v>64.863381551828894</v>
      </c>
      <c r="AX25" s="61">
        <f t="shared" si="98"/>
        <v>36.62497056230842</v>
      </c>
    </row>
    <row r="26" spans="1:50" x14ac:dyDescent="0.25">
      <c r="A26" s="31" t="s">
        <v>33</v>
      </c>
      <c r="B26" s="43">
        <f>IOUT1</f>
        <v>0.1</v>
      </c>
      <c r="C26" s="31" t="s">
        <v>12</v>
      </c>
      <c r="E26" s="31" t="s">
        <v>34</v>
      </c>
      <c r="N26" s="10">
        <v>8</v>
      </c>
      <c r="O26" s="50">
        <f t="shared" si="71"/>
        <v>12.022644346174133</v>
      </c>
      <c r="P26" s="48" t="str">
        <f t="shared" si="72"/>
        <v>304.285714285714</v>
      </c>
      <c r="Q26" s="17" t="str">
        <f t="shared" si="63"/>
        <v>1+3.93350187024996i</v>
      </c>
      <c r="R26" s="17">
        <f t="shared" si="73"/>
        <v>4.0586250089482192</v>
      </c>
      <c r="S26" s="17">
        <f t="shared" si="74"/>
        <v>1.3218438528640535</v>
      </c>
      <c r="T26" s="17" t="str">
        <f t="shared" si="64"/>
        <v>1+0.0000815837424940732i</v>
      </c>
      <c r="U26" s="17">
        <f t="shared" si="75"/>
        <v>1.0000000033279535</v>
      </c>
      <c r="V26" s="17">
        <f t="shared" si="76"/>
        <v>8.1583742313068606E-5</v>
      </c>
      <c r="W26" s="31" t="str">
        <f t="shared" si="65"/>
        <v>1-0.000254949195293979i</v>
      </c>
      <c r="X26" s="17">
        <f t="shared" si="77"/>
        <v>1.0000000324995455</v>
      </c>
      <c r="Y26" s="17">
        <f t="shared" si="78"/>
        <v>-2.5494918977015714E-4</v>
      </c>
      <c r="Z26" s="31" t="str">
        <f t="shared" si="66"/>
        <v>0.999999990924276+0.00224902135793428i</v>
      </c>
      <c r="AA26" s="17">
        <f t="shared" si="79"/>
        <v>1.0000025199696352</v>
      </c>
      <c r="AB26" s="17">
        <f t="shared" si="80"/>
        <v>2.2490175864344026E-3</v>
      </c>
      <c r="AC26" s="66" t="str">
        <f t="shared" si="81"/>
        <v>18.2963034359502-72.7056377837934i</v>
      </c>
      <c r="AD26" s="64">
        <f t="shared" si="82"/>
        <v>37.498031148891243</v>
      </c>
      <c r="AE26" s="61">
        <f t="shared" si="83"/>
        <v>-75.874866268628168</v>
      </c>
      <c r="AF26" s="31" t="str">
        <f t="shared" si="84"/>
        <v>-1512.12121212121</v>
      </c>
      <c r="AG26" s="31" t="str">
        <f t="shared" si="85"/>
        <v>75.540502309327i</v>
      </c>
      <c r="AH26" s="31">
        <f t="shared" si="86"/>
        <v>75.540502309326996</v>
      </c>
      <c r="AI26" s="31">
        <f t="shared" si="87"/>
        <v>1.5707963267948966</v>
      </c>
      <c r="AJ26" s="31" t="str">
        <f t="shared" si="67"/>
        <v>0.999975192777091+0.104114981496369i</v>
      </c>
      <c r="AK26" s="31">
        <f t="shared" si="88"/>
        <v>1.00538068190192</v>
      </c>
      <c r="AL26" s="31">
        <f t="shared" si="89"/>
        <v>0.10374376498357681</v>
      </c>
      <c r="AM26" s="31" t="str">
        <f t="shared" si="68"/>
        <v>1+0.518510007851219i</v>
      </c>
      <c r="AN26" s="31">
        <f t="shared" si="90"/>
        <v>1.1264335880298808</v>
      </c>
      <c r="AO26" s="31">
        <f t="shared" si="91"/>
        <v>0.47834572402942621</v>
      </c>
      <c r="AP26" s="31" t="str">
        <f t="shared" si="69"/>
        <v>1+0.0199426926096623i</v>
      </c>
      <c r="AQ26" s="31">
        <f t="shared" si="92"/>
        <v>1.0001988357264386</v>
      </c>
      <c r="AR26" s="31">
        <f t="shared" si="93"/>
        <v>1.9940049431035813E-2</v>
      </c>
      <c r="AS26" s="58" t="str">
        <f t="shared" si="94"/>
        <v>-8.62253663630872+20.7086168953966i</v>
      </c>
      <c r="AT26" s="49">
        <f t="shared" si="95"/>
        <v>27.017362754584923</v>
      </c>
      <c r="AU26" s="61">
        <f t="shared" si="96"/>
        <v>112.60559192634022</v>
      </c>
      <c r="AV26" s="58" t="str">
        <f t="shared" si="70"/>
        <v>1347.87265231455+1005.79816391397i</v>
      </c>
      <c r="AW26" s="64">
        <f t="shared" si="97"/>
        <v>64.515393903476181</v>
      </c>
      <c r="AX26" s="61">
        <f t="shared" si="98"/>
        <v>36.730725657712</v>
      </c>
    </row>
    <row r="27" spans="1:50" x14ac:dyDescent="0.25">
      <c r="N27" s="10">
        <v>9</v>
      </c>
      <c r="O27" s="50">
        <f t="shared" si="71"/>
        <v>12.302687708123818</v>
      </c>
      <c r="P27" s="48" t="str">
        <f t="shared" si="72"/>
        <v>304.285714285714</v>
      </c>
      <c r="Q27" s="17" t="str">
        <f t="shared" si="63"/>
        <v>1+4.02512489895003i</v>
      </c>
      <c r="R27" s="17">
        <f t="shared" si="73"/>
        <v>4.1474848344686546</v>
      </c>
      <c r="S27" s="17">
        <f t="shared" si="74"/>
        <v>1.3272869120212931</v>
      </c>
      <c r="T27" s="17" t="str">
        <f t="shared" si="64"/>
        <v>1+0.0000834840719782227i</v>
      </c>
      <c r="U27" s="17">
        <f t="shared" si="75"/>
        <v>1.0000000034847951</v>
      </c>
      <c r="V27" s="17">
        <f t="shared" si="76"/>
        <v>8.3484071784272783E-5</v>
      </c>
      <c r="W27" s="31" t="str">
        <f t="shared" si="65"/>
        <v>1-0.000260887724931946i</v>
      </c>
      <c r="X27" s="17">
        <f t="shared" si="77"/>
        <v>1.0000000340312019</v>
      </c>
      <c r="Y27" s="17">
        <f t="shared" si="78"/>
        <v>-2.6088771901306427E-4</v>
      </c>
      <c r="Z27" s="31" t="str">
        <f t="shared" si="66"/>
        <v>0.99999999049655+0.00230140779506389i</v>
      </c>
      <c r="AA27" s="17">
        <f t="shared" si="79"/>
        <v>1.0000026387319882</v>
      </c>
      <c r="AB27" s="17">
        <f t="shared" si="80"/>
        <v>2.3014037538295383E-3</v>
      </c>
      <c r="AC27" s="66" t="str">
        <f t="shared" si="81"/>
        <v>17.5127576546412-71.2452998311521i</v>
      </c>
      <c r="AD27" s="64">
        <f t="shared" si="82"/>
        <v>37.309912541144207</v>
      </c>
      <c r="AE27" s="61">
        <f t="shared" si="83"/>
        <v>-76.189963464078346</v>
      </c>
      <c r="AF27" s="31" t="str">
        <f t="shared" si="84"/>
        <v>-1512.12121212121</v>
      </c>
      <c r="AG27" s="31" t="str">
        <f t="shared" si="85"/>
        <v>77.3000666465025i</v>
      </c>
      <c r="AH27" s="31">
        <f t="shared" si="86"/>
        <v>77.300066646502501</v>
      </c>
      <c r="AI27" s="31">
        <f t="shared" si="87"/>
        <v>1.5707963267948966</v>
      </c>
      <c r="AJ27" s="31" t="str">
        <f t="shared" si="67"/>
        <v>0.999974023648694+0.106540130956675i</v>
      </c>
      <c r="AK27" s="31">
        <f t="shared" si="88"/>
        <v>1.0056335552657458</v>
      </c>
      <c r="AL27" s="31">
        <f t="shared" si="89"/>
        <v>0.10614248554410838</v>
      </c>
      <c r="AM27" s="31" t="str">
        <f t="shared" si="68"/>
        <v>1+0.530587657461592i</v>
      </c>
      <c r="AN27" s="31">
        <f t="shared" si="90"/>
        <v>1.1320438429012278</v>
      </c>
      <c r="AO27" s="31">
        <f t="shared" si="91"/>
        <v>0.4878172527526885</v>
      </c>
      <c r="AP27" s="31" t="str">
        <f t="shared" si="69"/>
        <v>1+0.0204072175946767i</v>
      </c>
      <c r="AQ27" s="31">
        <f t="shared" si="92"/>
        <v>1.0002082055901944</v>
      </c>
      <c r="AR27" s="31">
        <f t="shared" si="93"/>
        <v>2.0404385409591771E-2</v>
      </c>
      <c r="AS27" s="58" t="str">
        <f t="shared" si="94"/>
        <v>-8.6191926351748+20.2687122740554i</v>
      </c>
      <c r="AT27" s="49">
        <f t="shared" si="95"/>
        <v>26.858412826491008</v>
      </c>
      <c r="AU27" s="61">
        <f t="shared" si="96"/>
        <v>113.03743847521778</v>
      </c>
      <c r="AV27" s="58" t="str">
        <f t="shared" si="70"/>
        <v>1293.10465135795+969.03800962267i</v>
      </c>
      <c r="AW27" s="64">
        <f t="shared" si="97"/>
        <v>64.168325367635234</v>
      </c>
      <c r="AX27" s="61">
        <f t="shared" si="98"/>
        <v>36.847475011139323</v>
      </c>
    </row>
    <row r="28" spans="1:50" x14ac:dyDescent="0.25">
      <c r="A28" s="31" t="s">
        <v>161</v>
      </c>
      <c r="N28" s="10">
        <v>10</v>
      </c>
      <c r="O28" s="50">
        <f t="shared" si="71"/>
        <v>12.58925411794168</v>
      </c>
      <c r="P28" s="48" t="str">
        <f t="shared" si="72"/>
        <v>304.285714285714</v>
      </c>
      <c r="Q28" s="17" t="str">
        <f t="shared" si="63"/>
        <v>1+4.11888210215035i</v>
      </c>
      <c r="R28" s="17">
        <f t="shared" si="73"/>
        <v>4.2385362769963972</v>
      </c>
      <c r="S28" s="17">
        <f t="shared" si="74"/>
        <v>1.332620334554768</v>
      </c>
      <c r="T28" s="17" t="str">
        <f t="shared" si="64"/>
        <v>1+0.0000854286658223774i</v>
      </c>
      <c r="U28" s="17">
        <f t="shared" si="75"/>
        <v>1.0000000036490284</v>
      </c>
      <c r="V28" s="17">
        <f t="shared" si="76"/>
        <v>8.5428665614556307E-5</v>
      </c>
      <c r="W28" s="31" t="str">
        <f t="shared" si="65"/>
        <v>1-0.00026696458069493i</v>
      </c>
      <c r="X28" s="17">
        <f t="shared" si="77"/>
        <v>1.0000000356350431</v>
      </c>
      <c r="Y28" s="17">
        <f t="shared" si="78"/>
        <v>-2.669645743527339E-4</v>
      </c>
      <c r="Z28" s="31" t="str">
        <f t="shared" si="66"/>
        <v>0.999999990048666+0.00235501446906918i</v>
      </c>
      <c r="AA28" s="17">
        <f t="shared" si="79"/>
        <v>1.0000027630914237</v>
      </c>
      <c r="AB28" s="17">
        <f t="shared" si="80"/>
        <v>2.3550101388092018E-3</v>
      </c>
      <c r="AC28" s="66" t="str">
        <f t="shared" si="81"/>
        <v>16.7604587671797-69.8061854358687i</v>
      </c>
      <c r="AD28" s="64">
        <f t="shared" si="82"/>
        <v>37.121289518421101</v>
      </c>
      <c r="AE28" s="61">
        <f t="shared" si="83"/>
        <v>-76.49885424636507</v>
      </c>
      <c r="AF28" s="31" t="str">
        <f t="shared" si="84"/>
        <v>-1512.12121212121</v>
      </c>
      <c r="AG28" s="31" t="str">
        <f t="shared" si="85"/>
        <v>79.1006165022013i</v>
      </c>
      <c r="AH28" s="31">
        <f t="shared" si="86"/>
        <v>79.100616502201305</v>
      </c>
      <c r="AI28" s="31">
        <f t="shared" si="87"/>
        <v>1.5707963267948966</v>
      </c>
      <c r="AJ28" s="31" t="str">
        <f t="shared" si="67"/>
        <v>0.999972799420973+0.109021769404639i</v>
      </c>
      <c r="AK28" s="31">
        <f t="shared" si="88"/>
        <v>1.0058982780509844</v>
      </c>
      <c r="AL28" s="31">
        <f t="shared" si="89"/>
        <v>0.10859581948886662</v>
      </c>
      <c r="AM28" s="31" t="str">
        <f t="shared" si="68"/>
        <v>1+0.542946631671109i</v>
      </c>
      <c r="AN28" s="31">
        <f t="shared" si="90"/>
        <v>1.1378888543451873</v>
      </c>
      <c r="AO28" s="31">
        <f t="shared" si="91"/>
        <v>0.49741183342360207</v>
      </c>
      <c r="AP28" s="31" t="str">
        <f t="shared" si="69"/>
        <v>1+0.0208825627565811i</v>
      </c>
      <c r="AQ28" s="31">
        <f t="shared" si="92"/>
        <v>1.0002180169479464</v>
      </c>
      <c r="AR28" s="31">
        <f t="shared" si="93"/>
        <v>2.0879528051311297E-2</v>
      </c>
      <c r="AS28" s="58" t="str">
        <f t="shared" si="94"/>
        <v>-8.61569463874417+19.8395212713055i</v>
      </c>
      <c r="AT28" s="49">
        <f t="shared" si="95"/>
        <v>26.700943788797218</v>
      </c>
      <c r="AU28" s="61">
        <f t="shared" si="96"/>
        <v>113.47382544112533</v>
      </c>
      <c r="AV28" s="58" t="str">
        <f t="shared" si="70"/>
        <v>1240.51830608033+933.948255839296i</v>
      </c>
      <c r="AW28" s="64">
        <f t="shared" si="97"/>
        <v>63.822233307218319</v>
      </c>
      <c r="AX28" s="61">
        <f t="shared" si="98"/>
        <v>36.974971194760279</v>
      </c>
    </row>
    <row r="29" spans="1:50" x14ac:dyDescent="0.25">
      <c r="A29" s="31" t="s">
        <v>162</v>
      </c>
      <c r="B29" s="43">
        <f>Lm</f>
        <v>1.7999999999999998E-4</v>
      </c>
      <c r="C29" s="31" t="s">
        <v>75</v>
      </c>
      <c r="E29" s="31" t="s">
        <v>163</v>
      </c>
      <c r="N29" s="10">
        <v>11</v>
      </c>
      <c r="O29" s="50">
        <f t="shared" si="71"/>
        <v>12.882495516931346</v>
      </c>
      <c r="P29" s="48" t="str">
        <f t="shared" si="72"/>
        <v>304.285714285714</v>
      </c>
      <c r="Q29" s="17" t="str">
        <f t="shared" si="63"/>
        <v>1+4.21482319116107i</v>
      </c>
      <c r="R29" s="17">
        <f t="shared" si="73"/>
        <v>4.3318280820860364</v>
      </c>
      <c r="S29" s="17">
        <f t="shared" si="74"/>
        <v>1.3378457341006631</v>
      </c>
      <c r="T29" s="17" t="str">
        <f t="shared" si="64"/>
        <v>1+0.0000874185550759331i</v>
      </c>
      <c r="U29" s="17">
        <f t="shared" si="75"/>
        <v>1.0000000038210017</v>
      </c>
      <c r="V29" s="17">
        <f t="shared" si="76"/>
        <v>8.7418554853248791E-5</v>
      </c>
      <c r="W29" s="31" t="str">
        <f t="shared" si="65"/>
        <v>1-0.000273182984612291i</v>
      </c>
      <c r="X29" s="17">
        <f t="shared" si="77"/>
        <v>1.0000000373144708</v>
      </c>
      <c r="Y29" s="17">
        <f t="shared" si="78"/>
        <v>-2.7318297781650551E-4</v>
      </c>
      <c r="Z29" s="31" t="str">
        <f t="shared" si="66"/>
        <v>0.999999989579674+0.00240986980291828i</v>
      </c>
      <c r="AA29" s="17">
        <f t="shared" si="79"/>
        <v>1.000002893311722</v>
      </c>
      <c r="AB29" s="17">
        <f t="shared" si="80"/>
        <v>2.4098651629618421E-3</v>
      </c>
      <c r="AC29" s="66" t="str">
        <f t="shared" si="81"/>
        <v>16.0383250789765-68.3885143532813i</v>
      </c>
      <c r="AD29" s="64">
        <f t="shared" si="82"/>
        <v>36.932182247143068</v>
      </c>
      <c r="AE29" s="61">
        <f t="shared" si="83"/>
        <v>-76.801632824002169</v>
      </c>
      <c r="AF29" s="31" t="str">
        <f t="shared" si="84"/>
        <v>-1512.12121212121</v>
      </c>
      <c r="AG29" s="31" t="str">
        <f t="shared" si="85"/>
        <v>80.9431065517899i</v>
      </c>
      <c r="AH29" s="31">
        <f t="shared" si="86"/>
        <v>80.943106551789896</v>
      </c>
      <c r="AI29" s="31">
        <f t="shared" si="87"/>
        <v>1.5707963267948966</v>
      </c>
      <c r="AJ29" s="31" t="str">
        <f t="shared" si="67"/>
        <v>0.999971517497178+0.111561212637816i</v>
      </c>
      <c r="AK29" s="31">
        <f t="shared" si="88"/>
        <v>1.0061754021893146</v>
      </c>
      <c r="AL29" s="31">
        <f t="shared" si="89"/>
        <v>0.11110495023452235</v>
      </c>
      <c r="AM29" s="31" t="str">
        <f t="shared" si="68"/>
        <v>1+0.555593483371485i</v>
      </c>
      <c r="AN29" s="31">
        <f t="shared" si="90"/>
        <v>1.1439773244102613</v>
      </c>
      <c r="AO29" s="31">
        <f t="shared" si="91"/>
        <v>0.50712748650199879</v>
      </c>
      <c r="AP29" s="31" t="str">
        <f t="shared" si="69"/>
        <v>1+0.0213689801296725i</v>
      </c>
      <c r="AQ29" s="31">
        <f t="shared" si="92"/>
        <v>1.0002282905975928</v>
      </c>
      <c r="AR29" s="31">
        <f t="shared" si="93"/>
        <v>2.1365728424472825E-2</v>
      </c>
      <c r="AS29" s="58" t="str">
        <f t="shared" si="94"/>
        <v>-8.61203573077889+19.4208140116494i</v>
      </c>
      <c r="AT29" s="49">
        <f t="shared" si="95"/>
        <v>26.544991830195258</v>
      </c>
      <c r="AU29" s="61">
        <f t="shared" si="96"/>
        <v>113.91458598513802</v>
      </c>
      <c r="AV29" s="58" t="str">
        <f t="shared" si="70"/>
        <v>1190.0379891461+900.441657602518i</v>
      </c>
      <c r="AW29" s="64">
        <f t="shared" si="97"/>
        <v>63.477174077338326</v>
      </c>
      <c r="AX29" s="61">
        <f t="shared" si="98"/>
        <v>37.112953161135835</v>
      </c>
    </row>
    <row r="30" spans="1:50" x14ac:dyDescent="0.25">
      <c r="N30" s="10">
        <v>12</v>
      </c>
      <c r="O30" s="50">
        <f t="shared" si="71"/>
        <v>13.182567385564075</v>
      </c>
      <c r="P30" s="48" t="str">
        <f t="shared" si="72"/>
        <v>304.285714285714</v>
      </c>
      <c r="Q30" s="17" t="str">
        <f t="shared" si="63"/>
        <v>1+4.31299903521753i</v>
      </c>
      <c r="R30" s="17">
        <f t="shared" si="73"/>
        <v>4.4274101546826836</v>
      </c>
      <c r="S30" s="17">
        <f t="shared" si="74"/>
        <v>1.3429647393072528</v>
      </c>
      <c r="T30" s="17" t="str">
        <f t="shared" si="64"/>
        <v>1+0.0000894547948045115i</v>
      </c>
      <c r="U30" s="17">
        <f t="shared" si="75"/>
        <v>1.0000000040010801</v>
      </c>
      <c r="V30" s="17">
        <f t="shared" si="76"/>
        <v>8.9454794565900963E-5</v>
      </c>
      <c r="W30" s="31" t="str">
        <f t="shared" si="65"/>
        <v>1-0.000279546233764099i</v>
      </c>
      <c r="X30" s="17">
        <f t="shared" si="77"/>
        <v>1.0000000390730477</v>
      </c>
      <c r="Y30" s="17">
        <f t="shared" si="78"/>
        <v>-2.7954622648228365E-4</v>
      </c>
      <c r="Z30" s="31" t="str">
        <f t="shared" si="66"/>
        <v>0.99999998908858+0.00246600288163527i</v>
      </c>
      <c r="AA30" s="17">
        <f t="shared" si="79"/>
        <v>1.0000030296690967</v>
      </c>
      <c r="AB30" s="17">
        <f t="shared" si="80"/>
        <v>2.4659979098331829E-3</v>
      </c>
      <c r="AC30" s="66" t="str">
        <f t="shared" si="81"/>
        <v>15.3452984879924-66.992464252317i</v>
      </c>
      <c r="AD30" s="64">
        <f t="shared" si="82"/>
        <v>36.742610190793485</v>
      </c>
      <c r="AE30" s="61">
        <f t="shared" si="83"/>
        <v>-77.098394306484408</v>
      </c>
      <c r="AF30" s="31" t="str">
        <f t="shared" si="84"/>
        <v>-1512.12121212121</v>
      </c>
      <c r="AG30" s="31" t="str">
        <f t="shared" si="85"/>
        <v>82.828513707881i</v>
      </c>
      <c r="AH30" s="31">
        <f t="shared" si="86"/>
        <v>82.828513707881001</v>
      </c>
      <c r="AI30" s="31">
        <f t="shared" si="87"/>
        <v>1.5707963267948966</v>
      </c>
      <c r="AJ30" s="31" t="str">
        <f t="shared" si="67"/>
        <v>0.999970175158175+0.11415980710262i</v>
      </c>
      <c r="AK30" s="31">
        <f t="shared" si="88"/>
        <v>1.006465505004309</v>
      </c>
      <c r="AL30" s="31">
        <f t="shared" si="89"/>
        <v>0.11367108259070885</v>
      </c>
      <c r="AM30" s="31" t="str">
        <f t="shared" si="68"/>
        <v>1+0.568534918090894i</v>
      </c>
      <c r="AN30" s="31">
        <f t="shared" si="90"/>
        <v>1.1503181964520162</v>
      </c>
      <c r="AO30" s="31">
        <f t="shared" si="91"/>
        <v>0.51696202581661765</v>
      </c>
      <c r="AP30" s="31" t="str">
        <f t="shared" si="69"/>
        <v>1+0.0218667276188806i</v>
      </c>
      <c r="AQ30" s="31">
        <f t="shared" si="92"/>
        <v>1.0002390483163304</v>
      </c>
      <c r="AR30" s="31">
        <f t="shared" si="93"/>
        <v>2.18632433989563E-2</v>
      </c>
      <c r="AS30" s="58" t="str">
        <f t="shared" si="94"/>
        <v>-8.60820870111172+19.0123660195054i</v>
      </c>
      <c r="AT30" s="49">
        <f t="shared" si="95"/>
        <v>26.390592748033214</v>
      </c>
      <c r="AU30" s="61">
        <f t="shared" si="96"/>
        <v>114.35954053592215</v>
      </c>
      <c r="AV30" s="58" t="str">
        <f t="shared" si="70"/>
        <v>1141.58971894819+868.435545217985i</v>
      </c>
      <c r="AW30" s="64">
        <f t="shared" si="97"/>
        <v>63.133202938826699</v>
      </c>
      <c r="AX30" s="61">
        <f t="shared" si="98"/>
        <v>37.261146229437728</v>
      </c>
    </row>
    <row r="31" spans="1:50" x14ac:dyDescent="0.25">
      <c r="A31" s="31" t="s">
        <v>124</v>
      </c>
      <c r="B31" s="43">
        <f>R_cs</f>
        <v>0.02</v>
      </c>
      <c r="C31" s="2" t="s">
        <v>35</v>
      </c>
      <c r="E31" s="31" t="s">
        <v>164</v>
      </c>
      <c r="N31" s="10">
        <v>13</v>
      </c>
      <c r="O31" s="50">
        <f t="shared" si="71"/>
        <v>13.489628825916535</v>
      </c>
      <c r="P31" s="48" t="str">
        <f t="shared" si="72"/>
        <v>304.285714285714</v>
      </c>
      <c r="Q31" s="17" t="str">
        <f t="shared" si="63"/>
        <v>1+4.41346168845175i</v>
      </c>
      <c r="R31" s="17">
        <f t="shared" si="73"/>
        <v>4.5253335871990004</v>
      </c>
      <c r="S31" s="17">
        <f t="shared" si="74"/>
        <v>1.347978990746985</v>
      </c>
      <c r="T31" s="17" t="str">
        <f t="shared" si="64"/>
        <v>1+0.0000915384646493694i</v>
      </c>
      <c r="U31" s="17">
        <f t="shared" si="75"/>
        <v>1.0000000041896453</v>
      </c>
      <c r="V31" s="17">
        <f t="shared" si="76"/>
        <v>9.1538464393693602E-5</v>
      </c>
      <c r="W31" s="31" t="str">
        <f t="shared" si="65"/>
        <v>1-0.00028605770202928i</v>
      </c>
      <c r="X31" s="17">
        <f t="shared" si="77"/>
        <v>1.0000000409145036</v>
      </c>
      <c r="Y31" s="17">
        <f t="shared" si="78"/>
        <v>-2.8605769422667435E-4</v>
      </c>
      <c r="Z31" s="31" t="str">
        <f t="shared" si="66"/>
        <v>0.99999998857434+0.00252344346772152i</v>
      </c>
      <c r="AA31" s="17">
        <f t="shared" si="79"/>
        <v>1.0000031724527751</v>
      </c>
      <c r="AB31" s="17">
        <f t="shared" si="80"/>
        <v>2.5234381403405164E-3</v>
      </c>
      <c r="AC31" s="66" t="str">
        <f t="shared" si="81"/>
        <v>14.6803452234824-65.6181732121906i</v>
      </c>
      <c r="AD31" s="64">
        <f t="shared" si="82"/>
        <v>36.552592125661349</v>
      </c>
      <c r="AE31" s="61">
        <f t="shared" si="83"/>
        <v>-77.389234528313878</v>
      </c>
      <c r="AF31" s="31" t="str">
        <f t="shared" si="84"/>
        <v>-1512.12121212121</v>
      </c>
      <c r="AG31" s="31" t="str">
        <f t="shared" si="85"/>
        <v>84.757837638305i</v>
      </c>
      <c r="AH31" s="31">
        <f t="shared" si="86"/>
        <v>84.757837638305006</v>
      </c>
      <c r="AI31" s="31">
        <f t="shared" si="87"/>
        <v>1.5707963267948966</v>
      </c>
      <c r="AJ31" s="31" t="str">
        <f t="shared" si="67"/>
        <v>0.999968769556684+0.116818930608234i</v>
      </c>
      <c r="AK31" s="31">
        <f t="shared" si="88"/>
        <v>1.0067691903495857</v>
      </c>
      <c r="AL31" s="31">
        <f t="shared" si="89"/>
        <v>0.11629544283729705</v>
      </c>
      <c r="AM31" s="31" t="str">
        <f t="shared" si="68"/>
        <v>1+0.581777797549324i</v>
      </c>
      <c r="AN31" s="31">
        <f t="shared" si="90"/>
        <v>1.1569206566231507</v>
      </c>
      <c r="AO31" s="31">
        <f t="shared" si="91"/>
        <v>0.52691305565133639</v>
      </c>
      <c r="AP31" s="31" t="str">
        <f t="shared" si="69"/>
        <v>1+0.0223760691365125i</v>
      </c>
      <c r="AQ31" s="31">
        <f t="shared" si="92"/>
        <v>1.0002503129067255</v>
      </c>
      <c r="AR31" s="31">
        <f t="shared" si="93"/>
        <v>2.2372335778057854E-2</v>
      </c>
      <c r="AS31" s="58" t="str">
        <f t="shared" si="94"/>
        <v>-8.60420603475151+18.6139580896319i</v>
      </c>
      <c r="AT31" s="49">
        <f t="shared" si="95"/>
        <v>26.237781842222869</v>
      </c>
      <c r="AU31" s="61">
        <f t="shared" si="96"/>
        <v>114.80849662591372</v>
      </c>
      <c r="AV31" s="58" t="str">
        <f t="shared" si="70"/>
        <v>1095.1012111258+837.851612672929i</v>
      </c>
      <c r="AW31" s="64">
        <f t="shared" si="97"/>
        <v>62.790373967884214</v>
      </c>
      <c r="AX31" s="61">
        <f t="shared" si="98"/>
        <v>37.419262097599812</v>
      </c>
    </row>
    <row r="32" spans="1:50" x14ac:dyDescent="0.25">
      <c r="A32" s="31" t="s">
        <v>125</v>
      </c>
      <c r="B32" s="43">
        <f>R_sl</f>
        <v>0</v>
      </c>
      <c r="C32" s="2" t="s">
        <v>35</v>
      </c>
      <c r="E32" s="31" t="s">
        <v>165</v>
      </c>
      <c r="N32" s="10">
        <v>14</v>
      </c>
      <c r="O32" s="50">
        <f t="shared" si="71"/>
        <v>13.803842646028857</v>
      </c>
      <c r="P32" s="48" t="str">
        <f t="shared" si="72"/>
        <v>304.285714285714</v>
      </c>
      <c r="Q32" s="17" t="str">
        <f t="shared" si="63"/>
        <v>1+4.51626441749226i</v>
      </c>
      <c r="R32" s="17">
        <f t="shared" si="73"/>
        <v>4.6256506881417998</v>
      </c>
      <c r="S32" s="17">
        <f t="shared" si="74"/>
        <v>1.3528901380145493</v>
      </c>
      <c r="T32" s="17" t="str">
        <f t="shared" si="64"/>
        <v>1+0.0000936706693998393i</v>
      </c>
      <c r="U32" s="17">
        <f t="shared" si="75"/>
        <v>1.0000000043870971</v>
      </c>
      <c r="V32" s="17">
        <f t="shared" si="76"/>
        <v>9.3670669125877755E-5</v>
      </c>
      <c r="W32" s="31" t="str">
        <f t="shared" si="65"/>
        <v>1-0.000292720841874498i</v>
      </c>
      <c r="X32" s="17">
        <f t="shared" si="77"/>
        <v>1.0000000428427447</v>
      </c>
      <c r="Y32" s="17">
        <f t="shared" si="78"/>
        <v>-2.9272083351385538E-4</v>
      </c>
      <c r="Z32" s="31" t="str">
        <f t="shared" si="66"/>
        <v>0.999999988035865+0.00258222201693608i</v>
      </c>
      <c r="AA32" s="17">
        <f t="shared" si="79"/>
        <v>1.0000033219656197</v>
      </c>
      <c r="AB32" s="17">
        <f t="shared" si="80"/>
        <v>2.5822163085455129E-3</v>
      </c>
      <c r="AC32" s="66" t="str">
        <f t="shared" si="81"/>
        <v>14.0424564392335-64.2657421435526i</v>
      </c>
      <c r="AD32" s="64">
        <f t="shared" si="82"/>
        <v>36.362146157021009</v>
      </c>
      <c r="AE32" s="61">
        <f t="shared" si="83"/>
        <v>-77.674249883705485</v>
      </c>
      <c r="AF32" s="31" t="str">
        <f t="shared" si="84"/>
        <v>-1512.12121212121</v>
      </c>
      <c r="AG32" s="31" t="str">
        <f t="shared" si="85"/>
        <v>86.7321012961475i</v>
      </c>
      <c r="AH32" s="31">
        <f t="shared" si="86"/>
        <v>86.732101296147505</v>
      </c>
      <c r="AI32" s="31">
        <f t="shared" si="87"/>
        <v>1.5707963267948966</v>
      </c>
      <c r="AJ32" s="31" t="str">
        <f t="shared" si="67"/>
        <v>0.999967297711235+0.119539993057137i</v>
      </c>
      <c r="AK32" s="31">
        <f t="shared" si="88"/>
        <v>1.007087089795123</v>
      </c>
      <c r="AL32" s="31">
        <f t="shared" si="89"/>
        <v>0.11897927877576131</v>
      </c>
      <c r="AM32" s="31" t="str">
        <f t="shared" si="68"/>
        <v>1+0.595329143296755i</v>
      </c>
      <c r="AN32" s="31">
        <f t="shared" si="90"/>
        <v>1.163794135085088</v>
      </c>
      <c r="AO32" s="31">
        <f t="shared" si="91"/>
        <v>0.53697796850330215</v>
      </c>
      <c r="AP32" s="31" t="str">
        <f t="shared" si="69"/>
        <v>1+0.0228972747421829i</v>
      </c>
      <c r="AQ32" s="31">
        <f t="shared" si="92"/>
        <v>1.0002621082449434</v>
      </c>
      <c r="AR32" s="31">
        <f t="shared" si="93"/>
        <v>2.2893274433138242E-2</v>
      </c>
      <c r="AS32" s="58" t="str">
        <f t="shared" si="94"/>
        <v>-8.60001990074179+18.2253761596841i</v>
      </c>
      <c r="AT32" s="49">
        <f t="shared" si="95"/>
        <v>26.086593805051717</v>
      </c>
      <c r="AU32" s="61">
        <f t="shared" si="96"/>
        <v>115.26124876764011</v>
      </c>
      <c r="AV32" s="58" t="str">
        <f t="shared" si="70"/>
        <v>1050.5019199148+808.615712181502i</v>
      </c>
      <c r="AW32" s="64">
        <f t="shared" si="97"/>
        <v>62.448739962072722</v>
      </c>
      <c r="AX32" s="61">
        <f t="shared" si="98"/>
        <v>37.586998883934662</v>
      </c>
    </row>
    <row r="33" spans="1:50" x14ac:dyDescent="0.25">
      <c r="A33" s="31" t="s">
        <v>111</v>
      </c>
      <c r="B33" s="21">
        <f>Rsl_int</f>
        <v>1333</v>
      </c>
      <c r="C33" s="2" t="s">
        <v>35</v>
      </c>
      <c r="E33" s="31" t="s">
        <v>166</v>
      </c>
      <c r="N33" s="10">
        <v>15</v>
      </c>
      <c r="O33" s="50">
        <f t="shared" si="71"/>
        <v>14.125375446227544</v>
      </c>
      <c r="P33" s="48" t="str">
        <f t="shared" si="72"/>
        <v>304.285714285714</v>
      </c>
      <c r="Q33" s="17" t="str">
        <f t="shared" si="63"/>
        <v>1+4.62146172970675i</v>
      </c>
      <c r="R33" s="17">
        <f t="shared" si="73"/>
        <v>4.7284150113060193</v>
      </c>
      <c r="S33" s="17">
        <f t="shared" si="74"/>
        <v>1.3576998370050657</v>
      </c>
      <c r="T33" s="17" t="str">
        <f t="shared" si="64"/>
        <v>1+0.0000958525395791028i</v>
      </c>
      <c r="U33" s="17">
        <f t="shared" si="75"/>
        <v>1.0000000045938546</v>
      </c>
      <c r="V33" s="17">
        <f t="shared" si="76"/>
        <v>9.5852539285547713E-5</v>
      </c>
      <c r="W33" s="31" t="str">
        <f t="shared" si="65"/>
        <v>1-0.000299539186184696i</v>
      </c>
      <c r="X33" s="17">
        <f t="shared" si="77"/>
        <v>1.0000000448618609</v>
      </c>
      <c r="Y33" s="17">
        <f t="shared" si="78"/>
        <v>-2.9953917722610606E-4</v>
      </c>
      <c r="Z33" s="31" t="str">
        <f t="shared" si="66"/>
        <v>0.999999987472013+0.00264236969444376i</v>
      </c>
      <c r="AA33" s="17">
        <f t="shared" si="79"/>
        <v>1.0000034785247642</v>
      </c>
      <c r="AB33" s="17">
        <f t="shared" si="80"/>
        <v>2.642363577794214E-3</v>
      </c>
      <c r="AC33" s="66" t="str">
        <f t="shared" si="81"/>
        <v>13.4306486727371-62.9352371302605i</v>
      </c>
      <c r="AD33" s="64">
        <f t="shared" si="82"/>
        <v>36.171289735656657</v>
      </c>
      <c r="AE33" s="61">
        <f t="shared" si="83"/>
        <v>-77.95353717163394</v>
      </c>
      <c r="AF33" s="31" t="str">
        <f t="shared" si="84"/>
        <v>-1512.12121212121</v>
      </c>
      <c r="AG33" s="31" t="str">
        <f t="shared" si="85"/>
        <v>88.7523514621322i</v>
      </c>
      <c r="AH33" s="31">
        <f t="shared" si="86"/>
        <v>88.752351462132197</v>
      </c>
      <c r="AI33" s="31">
        <f t="shared" si="87"/>
        <v>1.5707963267948966</v>
      </c>
      <c r="AJ33" s="31" t="str">
        <f t="shared" si="67"/>
        <v>0.999965756499848+0.122324437192659i</v>
      </c>
      <c r="AK33" s="31">
        <f t="shared" si="88"/>
        <v>1.0074198638635303</v>
      </c>
      <c r="AL33" s="31">
        <f t="shared" si="89"/>
        <v>0.12172385975235432</v>
      </c>
      <c r="AM33" s="31" t="str">
        <f t="shared" si="68"/>
        <v>1+0.609196140436074i</v>
      </c>
      <c r="AN33" s="31">
        <f t="shared" si="90"/>
        <v>1.1709483069385296</v>
      </c>
      <c r="AO33" s="31">
        <f t="shared" si="91"/>
        <v>0.54715394356509095</v>
      </c>
      <c r="AP33" s="31" t="str">
        <f t="shared" si="69"/>
        <v>1+0.0234306207860029i</v>
      </c>
      <c r="AQ33" s="31">
        <f t="shared" si="92"/>
        <v>1.0002744593312465</v>
      </c>
      <c r="AR33" s="31">
        <f t="shared" si="93"/>
        <v>2.3426334441153121E-2</v>
      </c>
      <c r="AS33" s="58" t="str">
        <f t="shared" si="94"/>
        <v>-8.59564214078362+17.8464111847988i</v>
      </c>
      <c r="AT33" s="49">
        <f t="shared" si="95"/>
        <v>25.93706260726162</v>
      </c>
      <c r="AU33" s="61">
        <f t="shared" si="96"/>
        <v>115.71757837330671</v>
      </c>
      <c r="AV33" s="58" t="str">
        <f t="shared" si="70"/>
        <v>1007.72307013001+780.657655109316i</v>
      </c>
      <c r="AW33" s="64">
        <f t="shared" si="97"/>
        <v>62.108352342918295</v>
      </c>
      <c r="AX33" s="61">
        <f t="shared" si="98"/>
        <v>37.764041201672683</v>
      </c>
    </row>
    <row r="34" spans="1:50" x14ac:dyDescent="0.25">
      <c r="A34" s="31" t="s">
        <v>109</v>
      </c>
      <c r="B34" s="21">
        <f>Isl</f>
        <v>2.9999999999999997E-5</v>
      </c>
      <c r="C34" s="2" t="s">
        <v>12</v>
      </c>
      <c r="E34" s="31" t="s">
        <v>167</v>
      </c>
      <c r="N34" s="10">
        <v>16</v>
      </c>
      <c r="O34" s="50">
        <f t="shared" si="71"/>
        <v>14.454397707459275</v>
      </c>
      <c r="P34" s="48" t="str">
        <f t="shared" si="72"/>
        <v>304.285714285714</v>
      </c>
      <c r="Q34" s="17" t="str">
        <f t="shared" si="63"/>
        <v>1+4.72910940210261i</v>
      </c>
      <c r="R34" s="17">
        <f t="shared" si="73"/>
        <v>4.8336813855544207</v>
      </c>
      <c r="S34" s="17">
        <f t="shared" si="74"/>
        <v>1.3624097473662735</v>
      </c>
      <c r="T34" s="17" t="str">
        <f t="shared" si="64"/>
        <v>1+0.0000980852320436095i</v>
      </c>
      <c r="U34" s="17">
        <f t="shared" si="75"/>
        <v>1.0000000048103563</v>
      </c>
      <c r="V34" s="17">
        <f t="shared" si="76"/>
        <v>9.8085231729059559E-5</v>
      </c>
      <c r="W34" s="31" t="str">
        <f t="shared" si="65"/>
        <v>1-0.00030651635013628i</v>
      </c>
      <c r="X34" s="17">
        <f t="shared" si="77"/>
        <v>1.0000000469761354</v>
      </c>
      <c r="Y34" s="17">
        <f t="shared" si="78"/>
        <v>-3.0651634053697796E-4</v>
      </c>
      <c r="Z34" s="31" t="str">
        <f t="shared" si="66"/>
        <v>0.999999986881587+0.00270391839133934i</v>
      </c>
      <c r="AA34" s="17">
        <f t="shared" si="79"/>
        <v>1.0000036424622869</v>
      </c>
      <c r="AB34" s="17">
        <f t="shared" si="80"/>
        <v>2.7039118372325574E-3</v>
      </c>
      <c r="AC34" s="66" t="str">
        <f t="shared" si="81"/>
        <v>12.8439641812855-61.6266916888521i</v>
      </c>
      <c r="AD34" s="64">
        <f t="shared" si="82"/>
        <v>35.980039674647344</v>
      </c>
      <c r="AE34" s="61">
        <f t="shared" si="83"/>
        <v>-78.227193450875006</v>
      </c>
      <c r="AF34" s="31" t="str">
        <f t="shared" si="84"/>
        <v>-1512.12121212121</v>
      </c>
      <c r="AG34" s="31" t="str">
        <f t="shared" si="85"/>
        <v>90.8196592996384i</v>
      </c>
      <c r="AH34" s="31">
        <f t="shared" si="86"/>
        <v>90.819659299638403</v>
      </c>
      <c r="AI34" s="31">
        <f t="shared" si="87"/>
        <v>1.5707963267948966</v>
      </c>
      <c r="AJ34" s="31" t="str">
        <f t="shared" si="67"/>
        <v>0.999964142653405+0.125173739363935i</v>
      </c>
      <c r="AK34" s="31">
        <f t="shared" si="88"/>
        <v>1.0077682033180595</v>
      </c>
      <c r="AL34" s="31">
        <f t="shared" si="89"/>
        <v>0.12453047665062258</v>
      </c>
      <c r="AM34" s="31" t="str">
        <f t="shared" si="68"/>
        <v>1+0.623386141432717i</v>
      </c>
      <c r="AN34" s="31">
        <f t="shared" si="90"/>
        <v>1.1783930928728203</v>
      </c>
      <c r="AO34" s="31">
        <f t="shared" si="91"/>
        <v>0.55743794598058627</v>
      </c>
      <c r="AP34" s="31" t="str">
        <f t="shared" si="69"/>
        <v>1+0.0239763900551045i</v>
      </c>
      <c r="AQ34" s="31">
        <f t="shared" si="92"/>
        <v>1.0002873923428579</v>
      </c>
      <c r="AR34" s="31">
        <f t="shared" si="93"/>
        <v>2.3971797225115402E-2</v>
      </c>
      <c r="AS34" s="58" t="str">
        <f t="shared" si="94"/>
        <v>-8.5910642576371+17.476859014103i</v>
      </c>
      <c r="AT34" s="49">
        <f t="shared" si="95"/>
        <v>25.789221380809639</v>
      </c>
      <c r="AU34" s="61">
        <f t="shared" si="96"/>
        <v>116.17725372063857</v>
      </c>
      <c r="AV34" s="58" t="str">
        <f t="shared" si="70"/>
        <v>966.697680547448+753.911019463034i</v>
      </c>
      <c r="AW34" s="64">
        <f t="shared" si="97"/>
        <v>61.76926105545698</v>
      </c>
      <c r="AX34" s="61">
        <f t="shared" si="98"/>
        <v>37.95006026976359</v>
      </c>
    </row>
    <row r="35" spans="1:50" x14ac:dyDescent="0.25">
      <c r="B35" s="26"/>
      <c r="C35" s="2"/>
      <c r="N35" s="10">
        <v>17</v>
      </c>
      <c r="O35" s="50">
        <f t="shared" si="71"/>
        <v>14.791083881682074</v>
      </c>
      <c r="P35" s="48" t="str">
        <f t="shared" si="72"/>
        <v>304.285714285714</v>
      </c>
      <c r="Q35" s="17" t="str">
        <f t="shared" si="63"/>
        <v>1+4.83926451090063i</v>
      </c>
      <c r="R35" s="17">
        <f t="shared" si="73"/>
        <v>4.9415059452015546</v>
      </c>
      <c r="S35" s="17">
        <f t="shared" si="74"/>
        <v>1.3670215301184139</v>
      </c>
      <c r="T35" s="17" t="str">
        <f t="shared" si="64"/>
        <v>1+0.000100369930596457i</v>
      </c>
      <c r="U35" s="17">
        <f t="shared" si="75"/>
        <v>1.0000000050370614</v>
      </c>
      <c r="V35" s="17">
        <f t="shared" si="76"/>
        <v>1.0036993025941067E-4</v>
      </c>
      <c r="W35" s="31" t="str">
        <f t="shared" si="65"/>
        <v>1-0.000313656033113929i</v>
      </c>
      <c r="X35" s="17">
        <f t="shared" si="77"/>
        <v>1.0000000491900525</v>
      </c>
      <c r="Y35" s="17">
        <f t="shared" si="78"/>
        <v>-3.1365602282809157E-4</v>
      </c>
      <c r="Z35" s="31" t="str">
        <f t="shared" si="66"/>
        <v>0.999999986263336+0.0027669007415566i</v>
      </c>
      <c r="AA35" s="17">
        <f t="shared" si="79"/>
        <v>1.0000038141259191</v>
      </c>
      <c r="AB35" s="17">
        <f t="shared" si="80"/>
        <v>2.7668937187060988E-3</v>
      </c>
      <c r="AC35" s="66" t="str">
        <f t="shared" si="81"/>
        <v>12.2814711655124-60.3401089436062i</v>
      </c>
      <c r="AD35" s="64">
        <f t="shared" si="82"/>
        <v>35.788412166334851</v>
      </c>
      <c r="AE35" s="61">
        <f t="shared" si="83"/>
        <v>-78.495315904677213</v>
      </c>
      <c r="AF35" s="31" t="str">
        <f t="shared" si="84"/>
        <v>-1512.12121212121</v>
      </c>
      <c r="AG35" s="31" t="str">
        <f t="shared" si="85"/>
        <v>92.9351209226456i</v>
      </c>
      <c r="AH35" s="31">
        <f t="shared" si="86"/>
        <v>92.935120922645595</v>
      </c>
      <c r="AI35" s="31">
        <f t="shared" si="87"/>
        <v>1.5707963267948966</v>
      </c>
      <c r="AJ35" s="31" t="str">
        <f t="shared" si="67"/>
        <v>0.999962452748723+0.128089410308692i</v>
      </c>
      <c r="AK35" s="31">
        <f t="shared" si="88"/>
        <v>1.0081328305042301</v>
      </c>
      <c r="AL35" s="31">
        <f t="shared" si="89"/>
        <v>0.12740044185069274</v>
      </c>
      <c r="AM35" s="31" t="str">
        <f t="shared" si="68"/>
        <v>1+0.637906670013038i</v>
      </c>
      <c r="AN35" s="31">
        <f t="shared" si="90"/>
        <v>1.1861386595365329</v>
      </c>
      <c r="AO35" s="31">
        <f t="shared" si="91"/>
        <v>0.56782672692103786</v>
      </c>
      <c r="AP35" s="31" t="str">
        <f t="shared" si="69"/>
        <v>1+0.0245348719235784i</v>
      </c>
      <c r="AQ35" s="31">
        <f t="shared" si="92"/>
        <v>1.0003009346893097</v>
      </c>
      <c r="AR35" s="31">
        <f t="shared" si="93"/>
        <v>2.4529950697538539E-2</v>
      </c>
      <c r="AS35" s="58" t="str">
        <f t="shared" si="94"/>
        <v>-8.58627740331689+17.1165202690412i</v>
      </c>
      <c r="AT35" s="49">
        <f t="shared" si="95"/>
        <v>25.643102298778977</v>
      </c>
      <c r="AU35" s="61">
        <f t="shared" si="96"/>
        <v>116.64002996778936</v>
      </c>
      <c r="AV35" s="58" t="str">
        <f t="shared" si="70"/>
        <v>927.360579421462+728.312964074303i</v>
      </c>
      <c r="AW35" s="64">
        <f t="shared" si="97"/>
        <v>61.431514465113828</v>
      </c>
      <c r="AX35" s="61">
        <f t="shared" si="98"/>
        <v>38.144714063112175</v>
      </c>
    </row>
    <row r="36" spans="1:50" x14ac:dyDescent="0.25">
      <c r="A36" s="31" t="s">
        <v>190</v>
      </c>
      <c r="B36" s="21">
        <f>Gcomp</f>
        <v>0.14199999999999999</v>
      </c>
      <c r="C36" s="2"/>
      <c r="E36" s="31" t="s">
        <v>191</v>
      </c>
      <c r="N36" s="10">
        <v>18</v>
      </c>
      <c r="O36" s="50">
        <f t="shared" si="71"/>
        <v>15.135612484362087</v>
      </c>
      <c r="P36" s="48" t="str">
        <f t="shared" si="72"/>
        <v>304.285714285714</v>
      </c>
      <c r="Q36" s="17" t="str">
        <f t="shared" si="63"/>
        <v>1+4.95198546179757i</v>
      </c>
      <c r="R36" s="17">
        <f t="shared" si="73"/>
        <v>5.0519461610209673</v>
      </c>
      <c r="S36" s="17">
        <f t="shared" si="74"/>
        <v>1.3715368454353627</v>
      </c>
      <c r="T36" s="17" t="str">
        <f t="shared" si="64"/>
        <v>1+0.00010270784661506i</v>
      </c>
      <c r="U36" s="17">
        <f t="shared" si="75"/>
        <v>1.0000000052744509</v>
      </c>
      <c r="V36" s="17">
        <f t="shared" si="76"/>
        <v>1.0270784625390834E-4</v>
      </c>
      <c r="W36" s="31" t="str">
        <f t="shared" si="65"/>
        <v>1-0.000320962020672064i</v>
      </c>
      <c r="X36" s="17">
        <f t="shared" si="77"/>
        <v>1.0000000515083081</v>
      </c>
      <c r="Y36" s="17">
        <f t="shared" si="78"/>
        <v>-3.2096200965059065E-4</v>
      </c>
      <c r="Z36" s="31" t="str">
        <f t="shared" si="66"/>
        <v>0.999999985615946+0.00283135013917129i</v>
      </c>
      <c r="AA36" s="17">
        <f t="shared" si="79"/>
        <v>1.0000039938797758</v>
      </c>
      <c r="AB36" s="17">
        <f t="shared" si="80"/>
        <v>2.831342614053026E-3</v>
      </c>
      <c r="AC36" s="66" t="str">
        <f t="shared" si="81"/>
        <v>11.7422638903964-59.0754637158132i</v>
      </c>
      <c r="AD36" s="64">
        <f t="shared" si="82"/>
        <v>35.596422799403896</v>
      </c>
      <c r="AE36" s="61">
        <f t="shared" si="83"/>
        <v>-78.758001714697585</v>
      </c>
      <c r="AF36" s="31" t="str">
        <f t="shared" si="84"/>
        <v>-1512.12121212121</v>
      </c>
      <c r="AG36" s="31" t="str">
        <f t="shared" si="85"/>
        <v>95.0998579769078i</v>
      </c>
      <c r="AH36" s="31">
        <f t="shared" si="86"/>
        <v>95.099857976907799</v>
      </c>
      <c r="AI36" s="31">
        <f t="shared" si="87"/>
        <v>1.5707963267948966</v>
      </c>
      <c r="AJ36" s="31" t="str">
        <f t="shared" si="67"/>
        <v>0.999960683201287+0.131072995954259i</v>
      </c>
      <c r="AK36" s="31">
        <f t="shared" si="88"/>
        <v>1.0085145007469203</v>
      </c>
      <c r="AL36" s="31">
        <f t="shared" si="89"/>
        <v>0.13033508915255723</v>
      </c>
      <c r="AM36" s="31" t="str">
        <f t="shared" si="68"/>
        <v>1+0.652765425153494i</v>
      </c>
      <c r="AN36" s="31">
        <f t="shared" si="90"/>
        <v>1.1941954196344171</v>
      </c>
      <c r="AO36" s="31">
        <f t="shared" si="91"/>
        <v>0.57831682452384192</v>
      </c>
      <c r="AP36" s="31" t="str">
        <f t="shared" si="69"/>
        <v>1+0.0251063625059036i</v>
      </c>
      <c r="AQ36" s="31">
        <f t="shared" si="92"/>
        <v>1.0003151150703851</v>
      </c>
      <c r="AR36" s="31">
        <f t="shared" si="93"/>
        <v>2.5101089406908517E-2</v>
      </c>
      <c r="AS36" s="58" t="str">
        <f t="shared" si="94"/>
        <v>-8.58127236710224+16.7652002234156i</v>
      </c>
      <c r="AT36" s="49">
        <f t="shared" si="95"/>
        <v>25.498736452959967</v>
      </c>
      <c r="AU36" s="61">
        <f t="shared" si="96"/>
        <v>117.10564921991745</v>
      </c>
      <c r="AV36" s="58" t="str">
        <f t="shared" si="70"/>
        <v>889.648412836851+703.804049556938i</v>
      </c>
      <c r="AW36" s="64">
        <f t="shared" si="97"/>
        <v>61.095159252363871</v>
      </c>
      <c r="AX36" s="61">
        <f t="shared" si="98"/>
        <v>38.347647505219882</v>
      </c>
    </row>
    <row r="37" spans="1:50" x14ac:dyDescent="0.25">
      <c r="N37" s="10">
        <v>19</v>
      </c>
      <c r="O37" s="50">
        <f t="shared" si="71"/>
        <v>15.488166189124817</v>
      </c>
      <c r="P37" s="48" t="str">
        <f t="shared" si="72"/>
        <v>304.285714285714</v>
      </c>
      <c r="Q37" s="17" t="str">
        <f t="shared" si="63"/>
        <v>1+5.06733202093362i</v>
      </c>
      <c r="R37" s="17">
        <f t="shared" si="73"/>
        <v>5.165060871894851</v>
      </c>
      <c r="S37" s="17">
        <f t="shared" si="74"/>
        <v>1.3759573505804974</v>
      </c>
      <c r="T37" s="17" t="str">
        <f t="shared" si="64"/>
        <v>1+0.000105100219693438i</v>
      </c>
      <c r="U37" s="17">
        <f t="shared" si="75"/>
        <v>1.000000005523028</v>
      </c>
      <c r="V37" s="17">
        <f t="shared" si="76"/>
        <v>1.0510021930645702E-4</v>
      </c>
      <c r="W37" s="31" t="str">
        <f t="shared" si="65"/>
        <v>1-0.000328438186541994i</v>
      </c>
      <c r="X37" s="17">
        <f t="shared" si="77"/>
        <v>1.0000000539358196</v>
      </c>
      <c r="Y37" s="17">
        <f t="shared" si="78"/>
        <v>-3.2843817473227256E-4</v>
      </c>
      <c r="Z37" s="31" t="str">
        <f t="shared" si="66"/>
        <v>0.999999984938047+0.00289730075610712i</v>
      </c>
      <c r="AA37" s="17">
        <f t="shared" si="79"/>
        <v>1.0000041821051378</v>
      </c>
      <c r="AB37" s="17">
        <f t="shared" si="80"/>
        <v>2.8972926927994455E-3</v>
      </c>
      <c r="AC37" s="66" t="str">
        <f t="shared" si="81"/>
        <v>11.225462713239-57.8327045265249i</v>
      </c>
      <c r="AD37" s="64">
        <f t="shared" si="82"/>
        <v>35.40408657601057</v>
      </c>
      <c r="AE37" s="61">
        <f t="shared" si="83"/>
        <v>-79.015347943827592</v>
      </c>
      <c r="AF37" s="31" t="str">
        <f t="shared" si="84"/>
        <v>-1512.12121212121</v>
      </c>
      <c r="AG37" s="31" t="str">
        <f t="shared" si="85"/>
        <v>97.3150182346647i</v>
      </c>
      <c r="AH37" s="31">
        <f t="shared" si="86"/>
        <v>97.315018234664706</v>
      </c>
      <c r="AI37" s="31">
        <f t="shared" si="87"/>
        <v>1.5707963267948966</v>
      </c>
      <c r="AJ37" s="31" t="str">
        <f t="shared" si="67"/>
        <v>0.99995883025765+0.134126078237237i</v>
      </c>
      <c r="AK37" s="31">
        <f t="shared" si="88"/>
        <v>1.0089140038048581</v>
      </c>
      <c r="AL37" s="31">
        <f t="shared" si="89"/>
        <v>0.13333577366045662</v>
      </c>
      <c r="AM37" s="31" t="str">
        <f t="shared" si="68"/>
        <v>1+0.667970285162737i</v>
      </c>
      <c r="AN37" s="31">
        <f t="shared" si="90"/>
        <v>1.2025740317587057</v>
      </c>
      <c r="AO37" s="31">
        <f t="shared" si="91"/>
        <v>0.58890456573183647</v>
      </c>
      <c r="AP37" s="31" t="str">
        <f t="shared" si="69"/>
        <v>1+0.0256911648139515i</v>
      </c>
      <c r="AQ37" s="31">
        <f t="shared" si="92"/>
        <v>1.0003299635367811</v>
      </c>
      <c r="AR37" s="31">
        <f t="shared" si="93"/>
        <v>2.5685514687234262E-2</v>
      </c>
      <c r="AS37" s="58" t="str">
        <f t="shared" si="94"/>
        <v>-8.57603956338302+16.4227086850337i</v>
      </c>
      <c r="AT37" s="49">
        <f t="shared" si="95"/>
        <v>25.356153729670041</v>
      </c>
      <c r="AU37" s="61">
        <f t="shared" si="96"/>
        <v>117.57384064976299</v>
      </c>
      <c r="AV37" s="58" t="str">
        <f t="shared" si="70"/>
        <v>853.49964656073+680.32806607115i</v>
      </c>
      <c r="AW37" s="64">
        <f t="shared" si="97"/>
        <v>60.760240305680611</v>
      </c>
      <c r="AX37" s="61">
        <f t="shared" si="98"/>
        <v>38.558492705935386</v>
      </c>
    </row>
    <row r="38" spans="1:50" x14ac:dyDescent="0.25">
      <c r="N38" s="10">
        <v>20</v>
      </c>
      <c r="O38" s="50">
        <f t="shared" si="71"/>
        <v>15.848931924611136</v>
      </c>
      <c r="P38" s="48" t="str">
        <f t="shared" si="72"/>
        <v>304.285714285714</v>
      </c>
      <c r="Q38" s="17" t="str">
        <f t="shared" si="63"/>
        <v>1+5.18536534658125i</v>
      </c>
      <c r="R38" s="17">
        <f t="shared" si="73"/>
        <v>5.2809103171257972</v>
      </c>
      <c r="S38" s="17">
        <f t="shared" si="74"/>
        <v>1.380284697990747</v>
      </c>
      <c r="T38" s="17" t="str">
        <f t="shared" si="64"/>
        <v>1+0.000107548318299463i</v>
      </c>
      <c r="U38" s="17">
        <f t="shared" si="75"/>
        <v>1.0000000057833203</v>
      </c>
      <c r="V38" s="17">
        <f t="shared" si="76"/>
        <v>1.0754831788480541E-4</v>
      </c>
      <c r="W38" s="31" t="str">
        <f t="shared" si="65"/>
        <v>1-0.000336088494685821i</v>
      </c>
      <c r="X38" s="17">
        <f t="shared" si="77"/>
        <v>1.0000000564777365</v>
      </c>
      <c r="Y38" s="17">
        <f t="shared" si="78"/>
        <v>-3.3608848203147654E-4</v>
      </c>
      <c r="Z38" s="31" t="str">
        <f t="shared" si="66"/>
        <v>0.999999984228199+0.00296478756025414i</v>
      </c>
      <c r="AA38" s="17">
        <f t="shared" si="79"/>
        <v>1.0000043792012492</v>
      </c>
      <c r="AB38" s="17">
        <f t="shared" si="80"/>
        <v>2.9647789202663461E-3</v>
      </c>
      <c r="AC38" s="66" t="str">
        <f t="shared" si="81"/>
        <v>10.7302140276094-56.6117555126255i</v>
      </c>
      <c r="AD38" s="64">
        <f t="shared" si="82"/>
        <v>35.211417928900474</v>
      </c>
      <c r="AE38" s="61">
        <f t="shared" si="83"/>
        <v>-79.267451427534695</v>
      </c>
      <c r="AF38" s="31" t="str">
        <f t="shared" si="84"/>
        <v>-1512.12121212121</v>
      </c>
      <c r="AG38" s="31" t="str">
        <f t="shared" si="85"/>
        <v>99.5817762032062i</v>
      </c>
      <c r="AH38" s="31">
        <f t="shared" si="86"/>
        <v>99.581776203206203</v>
      </c>
      <c r="AI38" s="31">
        <f t="shared" si="87"/>
        <v>1.5707963267948966</v>
      </c>
      <c r="AJ38" s="31" t="str">
        <f t="shared" si="67"/>
        <v>0.999956889987469+0.137250275942264i</v>
      </c>
      <c r="AK38" s="31">
        <f t="shared" si="88"/>
        <v>1.009332165384438</v>
      </c>
      <c r="AL38" s="31">
        <f t="shared" si="89"/>
        <v>0.13640387162528245</v>
      </c>
      <c r="AM38" s="31" t="str">
        <f t="shared" si="68"/>
        <v>1+0.683529311858806i</v>
      </c>
      <c r="AN38" s="31">
        <f t="shared" si="90"/>
        <v>1.2112853999657442</v>
      </c>
      <c r="AO38" s="31">
        <f t="shared" si="91"/>
        <v>0.59958606906548162</v>
      </c>
      <c r="AP38" s="31" t="str">
        <f t="shared" si="69"/>
        <v>1+0.0262895889176464i</v>
      </c>
      <c r="AQ38" s="31">
        <f t="shared" si="92"/>
        <v>1.0003455115536126</v>
      </c>
      <c r="AR38" s="31">
        <f t="shared" si="93"/>
        <v>2.6283534810723059E-2</v>
      </c>
      <c r="AS38" s="58" t="str">
        <f t="shared" si="94"/>
        <v>-8.57056901936806+16.0888598788581i</v>
      </c>
      <c r="AT38" s="49">
        <f t="shared" si="95"/>
        <v>25.215382684428519</v>
      </c>
      <c r="AU38" s="61">
        <f t="shared" si="96"/>
        <v>118.04432067425807</v>
      </c>
      <c r="AV38" s="58" t="str">
        <f t="shared" si="70"/>
        <v>818.854562022586+657.831867888912i</v>
      </c>
      <c r="AW38" s="64">
        <f t="shared" si="97"/>
        <v>60.426800613328993</v>
      </c>
      <c r="AX38" s="61">
        <f t="shared" si="98"/>
        <v>38.776869246723379</v>
      </c>
    </row>
    <row r="39" spans="1:50" x14ac:dyDescent="0.25">
      <c r="A39" s="31" t="s">
        <v>504</v>
      </c>
      <c r="N39" s="10">
        <v>21</v>
      </c>
      <c r="O39" s="50">
        <f t="shared" si="71"/>
        <v>16.218100973589298</v>
      </c>
      <c r="P39" s="48" t="str">
        <f t="shared" si="72"/>
        <v>304.285714285714</v>
      </c>
      <c r="Q39" s="17" t="str">
        <f t="shared" si="63"/>
        <v>1+5.30614802157204i</v>
      </c>
      <c r="R39" s="17">
        <f t="shared" si="73"/>
        <v>5.3995561694303049</v>
      </c>
      <c r="S39" s="17">
        <f t="shared" si="74"/>
        <v>1.3845205335022708</v>
      </c>
      <c r="T39" s="17" t="str">
        <f t="shared" si="64"/>
        <v>1+0.00011005344044742i</v>
      </c>
      <c r="U39" s="17">
        <f t="shared" si="75"/>
        <v>1.0000000060558798</v>
      </c>
      <c r="V39" s="17">
        <f t="shared" si="76"/>
        <v>1.1005344000310639E-4</v>
      </c>
      <c r="W39" s="31" t="str">
        <f t="shared" si="65"/>
        <v>1-0.000343917001398188i</v>
      </c>
      <c r="X39" s="17">
        <f t="shared" si="77"/>
        <v>1.0000000591394502</v>
      </c>
      <c r="Y39" s="17">
        <f t="shared" si="78"/>
        <v>-3.4391698783881367E-4</v>
      </c>
      <c r="Z39" s="31" t="str">
        <f t="shared" si="66"/>
        <v>0.999999983484897+0.00303384633400921i</v>
      </c>
      <c r="AA39" s="17">
        <f t="shared" si="79"/>
        <v>1.0000045855861726</v>
      </c>
      <c r="AB39" s="17">
        <f t="shared" si="80"/>
        <v>3.0338370760977841E-3</v>
      </c>
      <c r="AC39" s="66" t="str">
        <f t="shared" si="81"/>
        <v>10.2556901317313-55.4125182565795i</v>
      </c>
      <c r="AD39" s="64">
        <f t="shared" si="82"/>
        <v>35.018430738464929</v>
      </c>
      <c r="AE39" s="61">
        <f t="shared" si="83"/>
        <v>-79.514408673344846</v>
      </c>
      <c r="AF39" s="31" t="str">
        <f t="shared" si="84"/>
        <v>-1512.12121212121</v>
      </c>
      <c r="AG39" s="31" t="str">
        <f t="shared" si="85"/>
        <v>101.901333747611i</v>
      </c>
      <c r="AH39" s="31">
        <f t="shared" si="86"/>
        <v>101.90133374761101</v>
      </c>
      <c r="AI39" s="31">
        <f t="shared" si="87"/>
        <v>1.5707963267948966</v>
      </c>
      <c r="AJ39" s="31" t="str">
        <f t="shared" si="67"/>
        <v>0.999954858275172+0.140447245560319i</v>
      </c>
      <c r="AK39" s="31">
        <f t="shared" si="88"/>
        <v>1.0097698487148445</v>
      </c>
      <c r="AL39" s="31">
        <f t="shared" si="89"/>
        <v>0.13954078024174565</v>
      </c>
      <c r="AM39" s="31" t="str">
        <f t="shared" si="68"/>
        <v>1+0.6994507548436i</v>
      </c>
      <c r="AN39" s="31">
        <f t="shared" si="90"/>
        <v>1.2203406731119313</v>
      </c>
      <c r="AO39" s="31">
        <f t="shared" si="91"/>
        <v>0.61035724835406957</v>
      </c>
      <c r="AP39" s="31" t="str">
        <f t="shared" si="69"/>
        <v>1+0.0269019521093693i</v>
      </c>
      <c r="AQ39" s="31">
        <f t="shared" si="92"/>
        <v>1.0003617920668975</v>
      </c>
      <c r="AR39" s="31">
        <f t="shared" si="93"/>
        <v>2.6895465143630122E-2</v>
      </c>
      <c r="AS39" s="58" t="str">
        <f t="shared" si="94"/>
        <v>-8.56485036268591+15.7634723315492i</v>
      </c>
      <c r="AT39" s="49">
        <f t="shared" si="95"/>
        <v>25.076450416142944</v>
      </c>
      <c r="AU39" s="61">
        <f t="shared" si="96"/>
        <v>118.51679318886319</v>
      </c>
      <c r="AV39" s="58" t="str">
        <f t="shared" si="70"/>
        <v>785.655247014703+636.265214719693i</v>
      </c>
      <c r="AW39" s="64">
        <f t="shared" si="97"/>
        <v>60.094881154607876</v>
      </c>
      <c r="AX39" s="61">
        <f t="shared" si="98"/>
        <v>39.002384515518358</v>
      </c>
    </row>
    <row r="40" spans="1:50" x14ac:dyDescent="0.25">
      <c r="A40" s="31" t="s">
        <v>505</v>
      </c>
      <c r="B40" s="32">
        <f>((Np/NS1_)*(VOUT1+VD))/((VIN_var+(Np/NS1_)*(VOUT1+VD)))</f>
        <v>0.55555555555555558</v>
      </c>
      <c r="C40" s="31" t="s">
        <v>14</v>
      </c>
      <c r="E40" s="31" t="s">
        <v>506</v>
      </c>
      <c r="N40" s="10">
        <v>22</v>
      </c>
      <c r="O40" s="50">
        <f t="shared" si="71"/>
        <v>16.595869074375614</v>
      </c>
      <c r="P40" s="48" t="str">
        <f t="shared" si="72"/>
        <v>304.285714285714</v>
      </c>
      <c r="Q40" s="17" t="str">
        <f t="shared" si="63"/>
        <v>1+5.42974408647908i</v>
      </c>
      <c r="R40" s="17">
        <f t="shared" si="73"/>
        <v>5.5210615686346536</v>
      </c>
      <c r="S40" s="17">
        <f t="shared" si="74"/>
        <v>1.3886664947112812</v>
      </c>
      <c r="T40" s="17" t="str">
        <f t="shared" si="64"/>
        <v>1+0.000112616914386232i</v>
      </c>
      <c r="U40" s="17">
        <f t="shared" si="75"/>
        <v>1.0000000063412846</v>
      </c>
      <c r="V40" s="17">
        <f t="shared" si="76"/>
        <v>1.1261691391014139E-4</v>
      </c>
      <c r="W40" s="31" t="str">
        <f t="shared" si="65"/>
        <v>1-0.000351927857456977i</v>
      </c>
      <c r="X40" s="17">
        <f t="shared" si="77"/>
        <v>1.0000000619266065</v>
      </c>
      <c r="Y40" s="17">
        <f t="shared" si="78"/>
        <v>-3.5192784292784567E-4</v>
      </c>
      <c r="Z40" s="31" t="str">
        <f t="shared" si="66"/>
        <v>0.999999982706564+0.00310451369324829i</v>
      </c>
      <c r="AA40" s="17">
        <f t="shared" si="79"/>
        <v>1.0000048016976719</v>
      </c>
      <c r="AB40" s="17">
        <f t="shared" si="80"/>
        <v>3.1045037732200446E-3</v>
      </c>
      <c r="AC40" s="66" t="str">
        <f t="shared" si="81"/>
        <v>9.8010890292683-54.2348735306393i</v>
      </c>
      <c r="AD40" s="64">
        <f t="shared" si="82"/>
        <v>34.825138349687208</v>
      </c>
      <c r="AE40" s="61">
        <f t="shared" si="83"/>
        <v>-79.756315768094481</v>
      </c>
      <c r="AF40" s="31" t="str">
        <f t="shared" si="84"/>
        <v>-1512.12121212121</v>
      </c>
      <c r="AG40" s="31" t="str">
        <f t="shared" si="85"/>
        <v>104.274920727993i</v>
      </c>
      <c r="AH40" s="31">
        <f t="shared" si="86"/>
        <v>104.27492072799301</v>
      </c>
      <c r="AI40" s="31">
        <f t="shared" si="87"/>
        <v>1.5707963267948966</v>
      </c>
      <c r="AJ40" s="31" t="str">
        <f t="shared" si="67"/>
        <v>0.999952730811225+0.143718682167009i</v>
      </c>
      <c r="AK40" s="31">
        <f t="shared" si="88"/>
        <v>1.0102279561864482</v>
      </c>
      <c r="AL40" s="31">
        <f t="shared" si="89"/>
        <v>0.14274791739687165</v>
      </c>
      <c r="AM40" s="31" t="str">
        <f t="shared" si="68"/>
        <v>1+0.715743055876942i</v>
      </c>
      <c r="AN40" s="31">
        <f t="shared" si="90"/>
        <v>1.2297512439660565</v>
      </c>
      <c r="AO40" s="31">
        <f t="shared" si="91"/>
        <v>0.6212138174452877</v>
      </c>
      <c r="AP40" s="31" t="str">
        <f t="shared" si="69"/>
        <v>1+0.0275285790721901i</v>
      </c>
      <c r="AQ40" s="31">
        <f t="shared" si="92"/>
        <v>1.0003788395731559</v>
      </c>
      <c r="AR40" s="31">
        <f t="shared" si="93"/>
        <v>2.7521628305326902E-2</v>
      </c>
      <c r="AS40" s="58" t="str">
        <f t="shared" si="94"/>
        <v>-8.55887280891004+15.4463687572974i</v>
      </c>
      <c r="AT40" s="49">
        <f t="shared" si="95"/>
        <v>24.939382441502804</v>
      </c>
      <c r="AU40" s="61">
        <f t="shared" si="96"/>
        <v>118.99094986092561</v>
      </c>
      <c r="AV40" s="58" t="str">
        <f t="shared" si="70"/>
        <v>753.845581669332+615.580619725244i</v>
      </c>
      <c r="AW40" s="64">
        <f t="shared" si="97"/>
        <v>59.764520791190009</v>
      </c>
      <c r="AX40" s="61">
        <f t="shared" si="98"/>
        <v>39.234634092831129</v>
      </c>
    </row>
    <row r="41" spans="1:50" x14ac:dyDescent="0.25">
      <c r="A41" s="31" t="s">
        <v>189</v>
      </c>
      <c r="B41" s="27">
        <f>Gcomp*((VOUT1^2)/(Pout_var))*((1-Dc_var_ccm)/((1+Dc_var_ccm)*((Acs*R_cs)/(Np/NS1_))))</f>
        <v>304.28571428571416</v>
      </c>
      <c r="C41" s="31" t="s">
        <v>144</v>
      </c>
      <c r="E41" s="31" t="s">
        <v>193</v>
      </c>
      <c r="N41" s="10">
        <v>23</v>
      </c>
      <c r="O41" s="50">
        <f t="shared" si="71"/>
        <v>16.982436524617448</v>
      </c>
      <c r="P41" s="48" t="str">
        <f t="shared" si="72"/>
        <v>304.285714285714</v>
      </c>
      <c r="Q41" s="17" t="str">
        <f t="shared" si="63"/>
        <v>1+5.55621907357188i</v>
      </c>
      <c r="R41" s="17">
        <f t="shared" si="73"/>
        <v>5.6454911560929713</v>
      </c>
      <c r="S41" s="17">
        <f t="shared" si="74"/>
        <v>1.3927242094635617</v>
      </c>
      <c r="T41" s="17" t="str">
        <f t="shared" si="64"/>
        <v>1+0.000115240099303713i</v>
      </c>
      <c r="U41" s="17">
        <f t="shared" si="75"/>
        <v>1.0000000066401402</v>
      </c>
      <c r="V41" s="17">
        <f t="shared" si="76"/>
        <v>1.1524009879357272E-4</v>
      </c>
      <c r="W41" s="31" t="str">
        <f t="shared" si="65"/>
        <v>1-0.000360125310324103i</v>
      </c>
      <c r="X41" s="17">
        <f t="shared" si="77"/>
        <v>1.0000000648451175</v>
      </c>
      <c r="Y41" s="17">
        <f t="shared" si="78"/>
        <v>-3.6012529475585832E-4</v>
      </c>
      <c r="Z41" s="31" t="str">
        <f t="shared" si="66"/>
        <v>0.999999981891549+0.00317682710674061i</v>
      </c>
      <c r="AA41" s="17">
        <f t="shared" si="79"/>
        <v>1.0000050279941419</v>
      </c>
      <c r="AB41" s="17">
        <f t="shared" si="80"/>
        <v>3.1768164772417243E-3</v>
      </c>
      <c r="AC41" s="66" t="str">
        <f t="shared" si="81"/>
        <v>9.36563416996039-53.0786829566916i</v>
      </c>
      <c r="AD41" s="64">
        <f t="shared" si="82"/>
        <v>34.631553588938097</v>
      </c>
      <c r="AE41" s="61">
        <f t="shared" si="83"/>
        <v>-79.993268292583551</v>
      </c>
      <c r="AF41" s="31" t="str">
        <f t="shared" si="84"/>
        <v>-1512.12121212121</v>
      </c>
      <c r="AG41" s="31" t="str">
        <f t="shared" si="85"/>
        <v>106.703795651586i</v>
      </c>
      <c r="AH41" s="31">
        <f t="shared" si="86"/>
        <v>106.70379565158601</v>
      </c>
      <c r="AI41" s="31">
        <f t="shared" si="87"/>
        <v>1.5707963267948966</v>
      </c>
      <c r="AJ41" s="31" t="str">
        <f t="shared" si="67"/>
        <v>0.99995050308299+0.147066320321325i</v>
      </c>
      <c r="AK41" s="31">
        <f t="shared" si="88"/>
        <v>1.0107074310544963</v>
      </c>
      <c r="AL41" s="31">
        <f t="shared" si="89"/>
        <v>0.14602672136622596</v>
      </c>
      <c r="AM41" s="31" t="str">
        <f t="shared" si="68"/>
        <v>1+0.732414853352485i</v>
      </c>
      <c r="AN41" s="31">
        <f t="shared" si="90"/>
        <v>1.2395287481181476</v>
      </c>
      <c r="AO41" s="31">
        <f t="shared" si="91"/>
        <v>0.63215129590488495</v>
      </c>
      <c r="AP41" s="31" t="str">
        <f t="shared" si="69"/>
        <v>1+0.0281698020520187i</v>
      </c>
      <c r="AQ41" s="31">
        <f t="shared" si="92"/>
        <v>1.0003966901922707</v>
      </c>
      <c r="AR41" s="31">
        <f t="shared" si="93"/>
        <v>2.816235433063537E-2</v>
      </c>
      <c r="AS41" s="58" t="str">
        <f t="shared" si="94"/>
        <v>-8.55262514904963+15.1373759448358i</v>
      </c>
      <c r="AT41" s="49">
        <f t="shared" si="95"/>
        <v>24.804202570307456</v>
      </c>
      <c r="AU41" s="61">
        <f t="shared" si="96"/>
        <v>119.4664704829553</v>
      </c>
      <c r="AV41" s="58" t="str">
        <f t="shared" si="70"/>
        <v>723.371220233388+595.733204126323i</v>
      </c>
      <c r="AW41" s="64">
        <f t="shared" si="97"/>
        <v>59.435756159245557</v>
      </c>
      <c r="AX41" s="61">
        <f t="shared" si="98"/>
        <v>39.473202190371751</v>
      </c>
    </row>
    <row r="42" spans="1:50" x14ac:dyDescent="0.25">
      <c r="A42" s="31" t="s">
        <v>206</v>
      </c>
      <c r="B42" s="29">
        <f>(1+Dc_var_ccm)/(Cout_total*((VOUT1^2)/Pout_var))</f>
        <v>19.204389574759944</v>
      </c>
      <c r="C42" s="31" t="s">
        <v>205</v>
      </c>
      <c r="E42" s="31" t="s">
        <v>196</v>
      </c>
      <c r="N42" s="10">
        <v>24</v>
      </c>
      <c r="O42" s="50">
        <f t="shared" si="71"/>
        <v>17.378008287493756</v>
      </c>
      <c r="P42" s="48" t="str">
        <f t="shared" si="72"/>
        <v>304.285714285714</v>
      </c>
      <c r="Q42" s="17" t="str">
        <f t="shared" si="63"/>
        <v>1+5.6856400415628i</v>
      </c>
      <c r="R42" s="17">
        <f t="shared" si="73"/>
        <v>5.7729111098493666</v>
      </c>
      <c r="S42" s="17">
        <f t="shared" si="74"/>
        <v>1.3966952944663864</v>
      </c>
      <c r="T42" s="17" t="str">
        <f t="shared" si="64"/>
        <v>1+0.000117924386047228i</v>
      </c>
      <c r="U42" s="17">
        <f t="shared" si="75"/>
        <v>1.0000000069530803</v>
      </c>
      <c r="V42" s="17">
        <f t="shared" si="76"/>
        <v>1.1792438550060285E-4</v>
      </c>
      <c r="W42" s="31" t="str">
        <f t="shared" si="65"/>
        <v>1-0.000368513706397588i</v>
      </c>
      <c r="X42" s="17">
        <f t="shared" si="77"/>
        <v>1.0000000679011736</v>
      </c>
      <c r="Y42" s="17">
        <f t="shared" si="78"/>
        <v>-3.6851368971591334E-4</v>
      </c>
      <c r="Z42" s="31" t="str">
        <f t="shared" si="66"/>
        <v>0.999999981038124+0.00325082491601522i</v>
      </c>
      <c r="AA42" s="17">
        <f t="shared" si="79"/>
        <v>1.0000052649555815</v>
      </c>
      <c r="AB42" s="17">
        <f t="shared" si="80"/>
        <v>3.2508135263051977E-3</v>
      </c>
      <c r="AC42" s="66" t="str">
        <f t="shared" si="81"/>
        <v>8.94857413706023-51.9437905832276i</v>
      </c>
      <c r="AD42" s="64">
        <f t="shared" si="82"/>
        <v>34.43768878058183</v>
      </c>
      <c r="AE42" s="61">
        <f t="shared" si="83"/>
        <v>-80.225361243269631</v>
      </c>
      <c r="AF42" s="31" t="str">
        <f t="shared" si="84"/>
        <v>-1512.12121212121</v>
      </c>
      <c r="AG42" s="31" t="str">
        <f t="shared" si="85"/>
        <v>109.189246340026i</v>
      </c>
      <c r="AH42" s="31">
        <f t="shared" si="86"/>
        <v>109.189246340026</v>
      </c>
      <c r="AI42" s="31">
        <f t="shared" si="87"/>
        <v>1.5707963267948966</v>
      </c>
      <c r="AJ42" s="31" t="str">
        <f t="shared" si="67"/>
        <v>0.999948170365159+0.150491934985328i</v>
      </c>
      <c r="AK42" s="31">
        <f t="shared" si="88"/>
        <v>1.011209259210109</v>
      </c>
      <c r="AL42" s="31">
        <f t="shared" si="89"/>
        <v>0.14937865045405294</v>
      </c>
      <c r="AM42" s="31" t="str">
        <f t="shared" si="68"/>
        <v>1+0.749474986877937i</v>
      </c>
      <c r="AN42" s="31">
        <f t="shared" si="90"/>
        <v>1.2496850627080744</v>
      </c>
      <c r="AO42" s="31">
        <f t="shared" si="91"/>
        <v>0.64316501571024187</v>
      </c>
      <c r="AP42" s="31" t="str">
        <f t="shared" si="69"/>
        <v>1+0.0288259610337669i</v>
      </c>
      <c r="AQ42" s="31">
        <f t="shared" si="92"/>
        <v>1.0004153817437635</v>
      </c>
      <c r="AR42" s="31">
        <f t="shared" si="93"/>
        <v>2.8817980835473638E-2</v>
      </c>
      <c r="AS42" s="58" t="str">
        <f t="shared" si="94"/>
        <v>-8.54609573704565+14.8363246455254i</v>
      </c>
      <c r="AT42" s="49">
        <f t="shared" si="95"/>
        <v>24.670932782478779</v>
      </c>
      <c r="AU42" s="61">
        <f t="shared" si="96"/>
        <v>119.94302338624645</v>
      </c>
      <c r="AV42" s="58" t="str">
        <f t="shared" si="70"/>
        <v>694.179569126582+576.680558281291i</v>
      </c>
      <c r="AW42" s="64">
        <f t="shared" si="97"/>
        <v>59.108621563060595</v>
      </c>
      <c r="AX42" s="61">
        <f t="shared" si="98"/>
        <v>39.717662142976828</v>
      </c>
    </row>
    <row r="43" spans="1:50" x14ac:dyDescent="0.25">
      <c r="B43" s="29">
        <f>wp_lf/(2*PI())</f>
        <v>3.056473529885507</v>
      </c>
      <c r="C43" s="31" t="s">
        <v>61</v>
      </c>
      <c r="N43" s="10">
        <v>25</v>
      </c>
      <c r="O43" s="50">
        <f t="shared" si="71"/>
        <v>17.782794100389236</v>
      </c>
      <c r="P43" s="48" t="str">
        <f t="shared" si="72"/>
        <v>304.285714285714</v>
      </c>
      <c r="Q43" s="17" t="str">
        <f t="shared" si="63"/>
        <v>1+5.81807561116203i</v>
      </c>
      <c r="R43" s="17">
        <f t="shared" si="73"/>
        <v>5.9033891805638588</v>
      </c>
      <c r="S43" s="17">
        <f t="shared" si="74"/>
        <v>1.4005813540165946</v>
      </c>
      <c r="T43" s="17" t="str">
        <f t="shared" si="64"/>
        <v>1+0.000120671197861138i</v>
      </c>
      <c r="U43" s="17">
        <f t="shared" si="75"/>
        <v>1.0000000072807689</v>
      </c>
      <c r="V43" s="17">
        <f t="shared" si="76"/>
        <v>1.2067119727541859E-4</v>
      </c>
      <c r="W43" s="31" t="str">
        <f t="shared" si="65"/>
        <v>1-0.000377097493316057i</v>
      </c>
      <c r="X43" s="17">
        <f t="shared" si="77"/>
        <v>1.0000000711012573</v>
      </c>
      <c r="Y43" s="17">
        <f t="shared" si="78"/>
        <v>-3.7709747544132066E-4</v>
      </c>
      <c r="Z43" s="31" t="str">
        <f t="shared" si="66"/>
        <v>0.999999980144479+0.00332654635569003i</v>
      </c>
      <c r="AA43" s="17">
        <f t="shared" si="79"/>
        <v>1.0000055130846104</v>
      </c>
      <c r="AB43" s="17">
        <f t="shared" si="80"/>
        <v>3.3265341513994918E-3</v>
      </c>
      <c r="AC43" s="66" t="str">
        <f t="shared" si="81"/>
        <v>8.54918228804354-50.8300243812227i</v>
      </c>
      <c r="AD43" s="64">
        <f t="shared" si="82"/>
        <v>34.243555763361996</v>
      </c>
      <c r="AE43" s="61">
        <f t="shared" si="83"/>
        <v>-80.452688960645574</v>
      </c>
      <c r="AF43" s="31" t="str">
        <f t="shared" si="84"/>
        <v>-1512.12121212121</v>
      </c>
      <c r="AG43" s="31" t="str">
        <f t="shared" si="85"/>
        <v>111.732590612165i</v>
      </c>
      <c r="AH43" s="31">
        <f t="shared" si="86"/>
        <v>111.732590612165</v>
      </c>
      <c r="AI43" s="31">
        <f t="shared" si="87"/>
        <v>1.5707963267948966</v>
      </c>
      <c r="AJ43" s="31" t="str">
        <f t="shared" si="67"/>
        <v>0.999945727709723+0.153997342465258i</v>
      </c>
      <c r="AK43" s="31">
        <f t="shared" si="88"/>
        <v>1.0117344710205785</v>
      </c>
      <c r="AL43" s="31">
        <f t="shared" si="89"/>
        <v>0.15280518257333944</v>
      </c>
      <c r="AM43" s="31" t="str">
        <f t="shared" si="68"/>
        <v>1+0.766932501961899i</v>
      </c>
      <c r="AN43" s="31">
        <f t="shared" si="90"/>
        <v>1.2602323049999702</v>
      </c>
      <c r="AO43" s="31">
        <f t="shared" si="91"/>
        <v>0.65425012893295631</v>
      </c>
      <c r="AP43" s="31" t="str">
        <f t="shared" si="69"/>
        <v>1+0.0294974039216115i</v>
      </c>
      <c r="AQ43" s="31">
        <f t="shared" si="92"/>
        <v>1.0004349538266417</v>
      </c>
      <c r="AR43" s="31">
        <f t="shared" si="93"/>
        <v>2.9488853185853762E-2</v>
      </c>
      <c r="AS43" s="58" t="str">
        <f t="shared" si="94"/>
        <v>-8.53927247732275+14.5430494624092i</v>
      </c>
      <c r="AT43" s="49">
        <f t="shared" si="95"/>
        <v>24.539593107530102</v>
      </c>
      <c r="AU43" s="61">
        <f t="shared" si="96"/>
        <v>120.42026591480011</v>
      </c>
      <c r="AV43" s="58" t="str">
        <f t="shared" si="70"/>
        <v>666.219761735682+558.382609098389i</v>
      </c>
      <c r="AW43" s="64">
        <f t="shared" si="97"/>
        <v>58.783148870892106</v>
      </c>
      <c r="AX43" s="61">
        <f t="shared" si="98"/>
        <v>39.967576954154531</v>
      </c>
    </row>
    <row r="44" spans="1:50" x14ac:dyDescent="0.25">
      <c r="B44" s="26"/>
      <c r="N44" s="10">
        <v>26</v>
      </c>
      <c r="O44" s="50">
        <f t="shared" si="71"/>
        <v>18.197008586099841</v>
      </c>
      <c r="P44" s="48" t="str">
        <f t="shared" si="72"/>
        <v>304.285714285714</v>
      </c>
      <c r="Q44" s="17" t="str">
        <f t="shared" si="63"/>
        <v>1+5.95359600146168i</v>
      </c>
      <c r="R44" s="17">
        <f t="shared" si="73"/>
        <v>6.0369947282253369</v>
      </c>
      <c r="S44" s="17">
        <f t="shared" si="74"/>
        <v>1.4043839788388159</v>
      </c>
      <c r="T44" s="17" t="str">
        <f t="shared" si="64"/>
        <v>1+0.000123481991141427i</v>
      </c>
      <c r="U44" s="17">
        <f t="shared" si="75"/>
        <v>1.0000000076239011</v>
      </c>
      <c r="V44" s="17">
        <f t="shared" si="76"/>
        <v>1.2348199051381736E-4</v>
      </c>
      <c r="W44" s="31" t="str">
        <f t="shared" si="65"/>
        <v>1-0.000385881222316961i</v>
      </c>
      <c r="X44" s="17">
        <f t="shared" si="77"/>
        <v>1.0000000744521562</v>
      </c>
      <c r="Y44" s="17">
        <f t="shared" si="78"/>
        <v>-3.8588120316383599E-4</v>
      </c>
      <c r="Z44" s="31" t="str">
        <f t="shared" si="66"/>
        <v>0.999999979208717+0.00340403157427469i</v>
      </c>
      <c r="AA44" s="17">
        <f t="shared" si="79"/>
        <v>1.0000057729075333</v>
      </c>
      <c r="AB44" s="17">
        <f t="shared" si="80"/>
        <v>3.4040184971458496E-3</v>
      </c>
      <c r="AC44" s="66" t="str">
        <f t="shared" si="81"/>
        <v>8.16675635458844-49.7371976609089i</v>
      </c>
      <c r="AD44" s="64">
        <f t="shared" si="82"/>
        <v>34.049165906535947</v>
      </c>
      <c r="AE44" s="61">
        <f t="shared" si="83"/>
        <v>-80.675345063957394</v>
      </c>
      <c r="AF44" s="31" t="str">
        <f t="shared" si="84"/>
        <v>-1512.12121212121</v>
      </c>
      <c r="AG44" s="31" t="str">
        <f t="shared" si="85"/>
        <v>114.335176982803i</v>
      </c>
      <c r="AH44" s="31">
        <f t="shared" si="86"/>
        <v>114.33517698280301</v>
      </c>
      <c r="AI44" s="31">
        <f t="shared" si="87"/>
        <v>1.5707963267948966</v>
      </c>
      <c r="AJ44" s="31" t="str">
        <f t="shared" si="67"/>
        <v>0.999943169935482+0.157584401374557i</v>
      </c>
      <c r="AK44" s="31">
        <f t="shared" si="88"/>
        <v>1.0122841432410159</v>
      </c>
      <c r="AL44" s="31">
        <f t="shared" si="89"/>
        <v>0.15630781476160316</v>
      </c>
      <c r="AM44" s="31" t="str">
        <f t="shared" si="68"/>
        <v>1+0.784796654809958i</v>
      </c>
      <c r="AN44" s="31">
        <f t="shared" si="90"/>
        <v>1.2711828308315449</v>
      </c>
      <c r="AO44" s="31">
        <f t="shared" si="91"/>
        <v>0.66540161639683337</v>
      </c>
      <c r="AP44" s="31" t="str">
        <f t="shared" si="69"/>
        <v>1+0.03018448672346i</v>
      </c>
      <c r="AQ44" s="31">
        <f t="shared" si="92"/>
        <v>1.0004554479029832</v>
      </c>
      <c r="AR44" s="31">
        <f t="shared" si="93"/>
        <v>3.0175324670279845E-2</v>
      </c>
      <c r="AS44" s="58" t="str">
        <f t="shared" si="94"/>
        <v>-8.53214281244986+14.2573887401231i</v>
      </c>
      <c r="AT44" s="49">
        <f t="shared" si="95"/>
        <v>24.410201507268408</v>
      </c>
      <c r="AU44" s="61">
        <f t="shared" si="96"/>
        <v>120.897844959013</v>
      </c>
      <c r="AV44" s="58" t="str">
        <f t="shared" si="70"/>
        <v>639.442630364088+540.80149362716i</v>
      </c>
      <c r="AW44" s="64">
        <f t="shared" si="97"/>
        <v>58.459367413804351</v>
      </c>
      <c r="AX44" s="61">
        <f t="shared" si="98"/>
        <v>40.222499895055634</v>
      </c>
    </row>
    <row r="45" spans="1:50" x14ac:dyDescent="0.25">
      <c r="A45" s="31" t="s">
        <v>207</v>
      </c>
      <c r="B45" s="29">
        <f>(((VOUT1^2)/Pout_var)*((1-Dc_var_ccm)^2))/((Lm/((Np/NS1_)^2))*Dc_var_ccm)</f>
        <v>296296.29629629629</v>
      </c>
      <c r="C45" s="31" t="s">
        <v>205</v>
      </c>
      <c r="E45" s="31" t="s">
        <v>197</v>
      </c>
      <c r="N45" s="10">
        <v>27</v>
      </c>
      <c r="O45" s="50">
        <f t="shared" si="71"/>
        <v>18.62087136662868</v>
      </c>
      <c r="P45" s="48" t="str">
        <f t="shared" si="72"/>
        <v>304.285714285714</v>
      </c>
      <c r="Q45" s="17" t="str">
        <f t="shared" si="63"/>
        <v>1+6.09227306716646i</v>
      </c>
      <c r="R45" s="17">
        <f t="shared" si="73"/>
        <v>6.1737987596715387</v>
      </c>
      <c r="S45" s="17">
        <f t="shared" si="74"/>
        <v>1.4081047450278925</v>
      </c>
      <c r="T45" s="17" t="str">
        <f t="shared" si="64"/>
        <v>1+0.000126358256207897i</v>
      </c>
      <c r="U45" s="17">
        <f t="shared" si="75"/>
        <v>1.0000000079832043</v>
      </c>
      <c r="V45" s="17">
        <f t="shared" si="76"/>
        <v>1.2635825553540113E-4</v>
      </c>
      <c r="W45" s="31" t="str">
        <f t="shared" si="65"/>
        <v>1-0.000394869550649677i</v>
      </c>
      <c r="X45" s="17">
        <f t="shared" si="77"/>
        <v>1.0000000779609779</v>
      </c>
      <c r="Y45" s="17">
        <f t="shared" si="78"/>
        <v>-3.9486953012673391E-4</v>
      </c>
      <c r="Z45" s="31" t="str">
        <f t="shared" si="66"/>
        <v>0.999999978228854+0.00348332165545771i</v>
      </c>
      <c r="AA45" s="17">
        <f t="shared" si="79"/>
        <v>1.0000060449754611</v>
      </c>
      <c r="AB45" s="17">
        <f t="shared" si="80"/>
        <v>3.4833076430662749E-3</v>
      </c>
      <c r="AC45" s="66" t="str">
        <f t="shared" si="81"/>
        <v>7.8006180073795-48.6651104116428i</v>
      </c>
      <c r="AD45" s="64">
        <f t="shared" si="82"/>
        <v>33.854530125735216</v>
      </c>
      <c r="AE45" s="61">
        <f t="shared" si="83"/>
        <v>-80.893422391922257</v>
      </c>
      <c r="AF45" s="31" t="str">
        <f t="shared" si="84"/>
        <v>-1512.12121212121</v>
      </c>
      <c r="AG45" s="31" t="str">
        <f t="shared" si="85"/>
        <v>116.998385377682i</v>
      </c>
      <c r="AH45" s="31">
        <f t="shared" si="86"/>
        <v>116.998385377682</v>
      </c>
      <c r="AI45" s="31">
        <f t="shared" si="87"/>
        <v>1.5707963267948966</v>
      </c>
      <c r="AJ45" s="31" t="str">
        <f t="shared" si="67"/>
        <v>0.999940491617056+0.161255013619342i</v>
      </c>
      <c r="AK45" s="31">
        <f t="shared" si="88"/>
        <v>1.0128594009993361</v>
      </c>
      <c r="AL45" s="31">
        <f t="shared" si="89"/>
        <v>0.15988806262804198</v>
      </c>
      <c r="AM45" s="31" t="str">
        <f t="shared" si="68"/>
        <v>1+0.803076917232407i</v>
      </c>
      <c r="AN45" s="31">
        <f t="shared" si="90"/>
        <v>1.2825492329698329</v>
      </c>
      <c r="AO45" s="31">
        <f t="shared" si="91"/>
        <v>0.67661429728829825</v>
      </c>
      <c r="AP45" s="31" t="str">
        <f t="shared" si="69"/>
        <v>1+0.030887573739708i</v>
      </c>
      <c r="AQ45" s="31">
        <f t="shared" si="92"/>
        <v>1.0004769073854358</v>
      </c>
      <c r="AR45" s="31">
        <f t="shared" si="93"/>
        <v>3.0877756675578627E-2</v>
      </c>
      <c r="AS45" s="58" t="str">
        <f t="shared" si="94"/>
        <v>-8.52469371096858+13.9791844555636i</v>
      </c>
      <c r="AT45" s="49">
        <f t="shared" si="95"/>
        <v>24.282773762512662</v>
      </c>
      <c r="AU45" s="61">
        <f t="shared" si="96"/>
        <v>121.37539754806168</v>
      </c>
      <c r="AV45" s="58" t="str">
        <f t="shared" si="70"/>
        <v>613.800675725547+523.901438662272i</v>
      </c>
      <c r="AW45" s="64">
        <f t="shared" si="97"/>
        <v>58.137303888247878</v>
      </c>
      <c r="AX45" s="61">
        <f t="shared" si="98"/>
        <v>40.481975156139441</v>
      </c>
    </row>
    <row r="46" spans="1:50" x14ac:dyDescent="0.25">
      <c r="B46" s="29">
        <f>wz_rhp/(2*PI())</f>
        <v>47157.020175376398</v>
      </c>
      <c r="C46" s="31" t="s">
        <v>61</v>
      </c>
      <c r="N46" s="10">
        <v>28</v>
      </c>
      <c r="O46" s="50">
        <f t="shared" si="71"/>
        <v>19.054607179632477</v>
      </c>
      <c r="P46" s="48" t="str">
        <f t="shared" si="72"/>
        <v>304.285714285714</v>
      </c>
      <c r="Q46" s="17" t="str">
        <f t="shared" si="63"/>
        <v>1+6.23418033669221i</v>
      </c>
      <c r="R46" s="17">
        <f t="shared" si="73"/>
        <v>6.3138739669397737</v>
      </c>
      <c r="S46" s="17">
        <f t="shared" si="74"/>
        <v>1.4117452130898083</v>
      </c>
      <c r="T46" s="17" t="str">
        <f t="shared" si="64"/>
        <v>1+0.000129301518094357i</v>
      </c>
      <c r="U46" s="17">
        <f t="shared" si="75"/>
        <v>1.0000000083594411</v>
      </c>
      <c r="V46" s="17">
        <f t="shared" si="76"/>
        <v>1.2930151737376472E-4</v>
      </c>
      <c r="W46" s="31" t="str">
        <f t="shared" si="65"/>
        <v>1-0.000404067244044865i</v>
      </c>
      <c r="X46" s="17">
        <f t="shared" si="77"/>
        <v>1.0000000816351655</v>
      </c>
      <c r="Y46" s="17">
        <f t="shared" si="78"/>
        <v>-4.0406722205413537E-4</v>
      </c>
      <c r="Z46" s="31" t="str">
        <f t="shared" si="66"/>
        <v>0.999999977202812+0.00356445863988967i</v>
      </c>
      <c r="AA46" s="17">
        <f t="shared" si="79"/>
        <v>1.0000063298654764</v>
      </c>
      <c r="AB46" s="17">
        <f t="shared" si="80"/>
        <v>3.5644436253468659E-3</v>
      </c>
      <c r="AC46" s="66" t="str">
        <f t="shared" si="81"/>
        <v>7.45011239085224-47.6135505671967i</v>
      </c>
      <c r="AD46" s="64">
        <f t="shared" si="82"/>
        <v>33.659658898528974</v>
      </c>
      <c r="AE46" s="61">
        <f t="shared" si="83"/>
        <v>-81.1070129491209</v>
      </c>
      <c r="AF46" s="31" t="str">
        <f t="shared" si="84"/>
        <v>-1512.12121212121</v>
      </c>
      <c r="AG46" s="31" t="str">
        <f t="shared" si="85"/>
        <v>119.723627865145i</v>
      </c>
      <c r="AH46" s="31">
        <f t="shared" si="86"/>
        <v>119.723627865145</v>
      </c>
      <c r="AI46" s="31">
        <f t="shared" si="87"/>
        <v>1.5707963267948966</v>
      </c>
      <c r="AJ46" s="31" t="str">
        <f t="shared" si="67"/>
        <v>0.999937687073371+0.16501112540681i</v>
      </c>
      <c r="AK46" s="31">
        <f t="shared" si="88"/>
        <v>1.0134614198565552</v>
      </c>
      <c r="AL46" s="31">
        <f t="shared" si="89"/>
        <v>0.16354745972741686</v>
      </c>
      <c r="AM46" s="31" t="str">
        <f t="shared" si="68"/>
        <v>1+0.821782981666353i</v>
      </c>
      <c r="AN46" s="31">
        <f t="shared" si="90"/>
        <v>1.2943443394075786</v>
      </c>
      <c r="AO46" s="31">
        <f t="shared" si="91"/>
        <v>0.68788283968715425</v>
      </c>
      <c r="AP46" s="31" t="str">
        <f t="shared" si="69"/>
        <v>1+0.0316070377563983i</v>
      </c>
      <c r="AQ46" s="31">
        <f t="shared" si="92"/>
        <v>1.0004993777288091</v>
      </c>
      <c r="AR46" s="31">
        <f t="shared" si="93"/>
        <v>3.1596518866211482E-2</v>
      </c>
      <c r="AS46" s="58" t="str">
        <f t="shared" si="94"/>
        <v>-8.51691165545771+13.7082821092011i</v>
      </c>
      <c r="AT46" s="49">
        <f t="shared" si="95"/>
        <v>24.1573233645992</v>
      </c>
      <c r="AU46" s="61">
        <f t="shared" si="96"/>
        <v>121.85255149942081</v>
      </c>
      <c r="AV46" s="58" t="str">
        <f t="shared" si="70"/>
        <v>589.248034339725+507.64864618254i</v>
      </c>
      <c r="AW46" s="64">
        <f t="shared" si="97"/>
        <v>57.816982263128182</v>
      </c>
      <c r="AX46" s="61">
        <f t="shared" si="98"/>
        <v>40.745538550299933</v>
      </c>
    </row>
    <row r="47" spans="1:50" x14ac:dyDescent="0.25">
      <c r="B47" s="1"/>
      <c r="N47" s="10">
        <v>29</v>
      </c>
      <c r="O47" s="50">
        <f t="shared" si="71"/>
        <v>19.498445997580465</v>
      </c>
      <c r="P47" s="48" t="str">
        <f t="shared" si="72"/>
        <v>304.285714285714</v>
      </c>
      <c r="Q47" s="17" t="str">
        <f t="shared" si="63"/>
        <v>1+6.37939305115162i</v>
      </c>
      <c r="R47" s="17">
        <f t="shared" si="73"/>
        <v>6.4572947664700555</v>
      </c>
      <c r="S47" s="17">
        <f t="shared" si="74"/>
        <v>1.4153069270755616</v>
      </c>
      <c r="T47" s="17" t="str">
        <f t="shared" si="64"/>
        <v>1+0.000132313337357219i</v>
      </c>
      <c r="U47" s="17">
        <f t="shared" si="75"/>
        <v>1.0000000087534096</v>
      </c>
      <c r="V47" s="17">
        <f t="shared" si="76"/>
        <v>1.3231333658509043E-4</v>
      </c>
      <c r="W47" s="31" t="str">
        <f t="shared" si="65"/>
        <v>1-0.000413479179241308i</v>
      </c>
      <c r="X47" s="17">
        <f t="shared" si="77"/>
        <v>1.0000000854825122</v>
      </c>
      <c r="Y47" s="17">
        <f t="shared" si="78"/>
        <v>-4.1347915567781679E-4</v>
      </c>
      <c r="Z47" s="31" t="str">
        <f t="shared" si="66"/>
        <v>0.999999976128413+0.0036474855474737i</v>
      </c>
      <c r="AA47" s="17">
        <f t="shared" si="79"/>
        <v>1.0000066281818563</v>
      </c>
      <c r="AB47" s="17">
        <f t="shared" si="80"/>
        <v>3.6474694591069876E-3</v>
      </c>
      <c r="AC47" s="66" t="str">
        <f t="shared" si="81"/>
        <v>7.11460763258682-46.5822951989315i</v>
      </c>
      <c r="AD47" s="64">
        <f t="shared" si="82"/>
        <v>33.46456227967284</v>
      </c>
      <c r="AE47" s="61">
        <f t="shared" si="83"/>
        <v>-81.316207857746505</v>
      </c>
      <c r="AF47" s="31" t="str">
        <f t="shared" si="84"/>
        <v>-1512.12121212121</v>
      </c>
      <c r="AG47" s="31" t="str">
        <f t="shared" si="85"/>
        <v>122.512349404832i</v>
      </c>
      <c r="AH47" s="31">
        <f t="shared" si="86"/>
        <v>122.51234940483199</v>
      </c>
      <c r="AI47" s="31">
        <f t="shared" si="87"/>
        <v>1.5707963267948966</v>
      </c>
      <c r="AJ47" s="31" t="str">
        <f t="shared" si="67"/>
        <v>0.999934750355614+0.16885472827715i</v>
      </c>
      <c r="AK47" s="31">
        <f t="shared" si="88"/>
        <v>1.0140914279443911</v>
      </c>
      <c r="AL47" s="31">
        <f t="shared" si="89"/>
        <v>0.16728755685591487</v>
      </c>
      <c r="AM47" s="31" t="str">
        <f t="shared" si="68"/>
        <v>1+0.840924766314765i</v>
      </c>
      <c r="AN47" s="31">
        <f t="shared" si="90"/>
        <v>1.3065812116365143</v>
      </c>
      <c r="AO47" s="31">
        <f t="shared" si="91"/>
        <v>0.69920177197614963</v>
      </c>
      <c r="AP47" s="31" t="str">
        <f t="shared" si="69"/>
        <v>1+0.0323432602428756i</v>
      </c>
      <c r="AQ47" s="31">
        <f t="shared" si="92"/>
        <v>1.0005229065259518</v>
      </c>
      <c r="AR47" s="31">
        <f t="shared" si="93"/>
        <v>3.2331989367096567E-2</v>
      </c>
      <c r="AS47" s="58" t="str">
        <f t="shared" si="94"/>
        <v>-8.50878263090396+13.444530616938i</v>
      </c>
      <c r="AT47" s="49">
        <f t="shared" si="95"/>
        <v>24.033861412430504</v>
      </c>
      <c r="AU47" s="61">
        <f t="shared" si="96"/>
        <v>122.32892612339973</v>
      </c>
      <c r="AV47" s="58" t="str">
        <f t="shared" si="70"/>
        <v>565.740444159427+492.011184440124i</v>
      </c>
      <c r="AW47" s="64">
        <f t="shared" si="97"/>
        <v>57.498423692103344</v>
      </c>
      <c r="AX47" s="61">
        <f t="shared" si="98"/>
        <v>41.012718265653248</v>
      </c>
    </row>
    <row r="48" spans="1:50" x14ac:dyDescent="0.25">
      <c r="A48" s="31" t="s">
        <v>208</v>
      </c>
      <c r="B48" s="29">
        <f>1/(Cout_total*Resr_total)</f>
        <v>925925.92592592584</v>
      </c>
      <c r="C48" s="31" t="s">
        <v>205</v>
      </c>
      <c r="E48" s="31" t="s">
        <v>198</v>
      </c>
      <c r="N48" s="10">
        <v>30</v>
      </c>
      <c r="O48" s="50">
        <f t="shared" si="71"/>
        <v>19.952623149688804</v>
      </c>
      <c r="P48" s="48" t="str">
        <f t="shared" si="72"/>
        <v>304.285714285714</v>
      </c>
      <c r="Q48" s="17" t="str">
        <f t="shared" si="63"/>
        <v>1+6.527988204248i</v>
      </c>
      <c r="R48" s="17">
        <f t="shared" si="73"/>
        <v>6.604137339183751</v>
      </c>
      <c r="S48" s="17">
        <f t="shared" si="74"/>
        <v>1.418791413802621</v>
      </c>
      <c r="T48" s="17" t="str">
        <f t="shared" si="64"/>
        <v>1+0.000135395310902921i</v>
      </c>
      <c r="U48" s="17">
        <f t="shared" si="75"/>
        <v>1.0000000091659451</v>
      </c>
      <c r="V48" s="17">
        <f t="shared" si="76"/>
        <v>1.3539531007557035E-4</v>
      </c>
      <c r="W48" s="31" t="str">
        <f t="shared" si="65"/>
        <v>1-0.000423110346571629i</v>
      </c>
      <c r="X48" s="17">
        <f t="shared" si="77"/>
        <v>1.0000000895111787</v>
      </c>
      <c r="Y48" s="17">
        <f t="shared" si="78"/>
        <v>-4.2311032132289335E-4</v>
      </c>
      <c r="Z48" s="31" t="str">
        <f t="shared" si="66"/>
        <v>0.99999997500338+0.00373244640017517i</v>
      </c>
      <c r="AA48" s="17">
        <f t="shared" si="79"/>
        <v>1.0000069405573597</v>
      </c>
      <c r="AB48" s="17">
        <f t="shared" si="80"/>
        <v>3.7324291611861094E-3</v>
      </c>
      <c r="AC48" s="66" t="str">
        <f t="shared" si="81"/>
        <v>6.79349433166754-45.5711116393932i</v>
      </c>
      <c r="AD48" s="64">
        <f t="shared" si="82"/>
        <v>33.269249916028059</v>
      </c>
      <c r="AE48" s="61">
        <f t="shared" si="83"/>
        <v>-81.521097314403846</v>
      </c>
      <c r="AF48" s="31" t="str">
        <f t="shared" si="84"/>
        <v>-1512.12121212121</v>
      </c>
      <c r="AG48" s="31" t="str">
        <f t="shared" si="85"/>
        <v>125.366028613816i</v>
      </c>
      <c r="AH48" s="31">
        <f t="shared" si="86"/>
        <v>125.366028613816</v>
      </c>
      <c r="AI48" s="31">
        <f t="shared" si="87"/>
        <v>1.5707963267948966</v>
      </c>
      <c r="AJ48" s="31" t="str">
        <f t="shared" si="67"/>
        <v>0.999931675234613+0.172787860159478i</v>
      </c>
      <c r="AK48" s="31">
        <f t="shared" si="88"/>
        <v>1.0147507081820595</v>
      </c>
      <c r="AL48" s="31">
        <f t="shared" si="89"/>
        <v>0.17110992126397409</v>
      </c>
      <c r="AM48" s="31" t="str">
        <f t="shared" si="68"/>
        <v>1+0.860512420405231i</v>
      </c>
      <c r="AN48" s="31">
        <f t="shared" si="90"/>
        <v>1.3192731429357869</v>
      </c>
      <c r="AO48" s="31">
        <f t="shared" si="91"/>
        <v>0.7105654950787591</v>
      </c>
      <c r="AP48" s="31" t="str">
        <f t="shared" si="69"/>
        <v>1+0.0330966315540474i</v>
      </c>
      <c r="AQ48" s="31">
        <f t="shared" si="92"/>
        <v>1.0005475436081108</v>
      </c>
      <c r="AR48" s="31">
        <f t="shared" si="93"/>
        <v>3.3084554949981713E-2</v>
      </c>
      <c r="AS48" s="58" t="str">
        <f t="shared" si="94"/>
        <v>-8.50029211346144+13.1877822024057i</v>
      </c>
      <c r="AT48" s="49">
        <f t="shared" si="95"/>
        <v>23.912396515795812</v>
      </c>
      <c r="AU48" s="61">
        <f t="shared" si="96"/>
        <v>122.80413298009769</v>
      </c>
      <c r="AV48" s="58" t="str">
        <f t="shared" si="70"/>
        <v>543.235208731514+476.958884509314i</v>
      </c>
      <c r="AW48" s="64">
        <f t="shared" si="97"/>
        <v>57.181646431823864</v>
      </c>
      <c r="AX48" s="61">
        <f t="shared" si="98"/>
        <v>41.283035665693873</v>
      </c>
    </row>
    <row r="49" spans="1:50" x14ac:dyDescent="0.25">
      <c r="B49" s="29">
        <f>wz_esr/(2*PI())</f>
        <v>147365.68804805123</v>
      </c>
      <c r="C49" s="31" t="s">
        <v>61</v>
      </c>
      <c r="N49" s="10">
        <v>31</v>
      </c>
      <c r="O49" s="50">
        <f t="shared" si="71"/>
        <v>20.4173794466953</v>
      </c>
      <c r="P49" s="48" t="str">
        <f t="shared" si="72"/>
        <v>304.285714285714</v>
      </c>
      <c r="Q49" s="17" t="str">
        <f t="shared" si="63"/>
        <v>1+6.68004458309839i</v>
      </c>
      <c r="R49" s="17">
        <f t="shared" si="73"/>
        <v>6.7544796714611657</v>
      </c>
      <c r="S49" s="17">
        <f t="shared" si="74"/>
        <v>1.4222001821588068</v>
      </c>
      <c r="T49" s="17" t="str">
        <f t="shared" si="64"/>
        <v>1+0.000138549072834633i</v>
      </c>
      <c r="U49" s="17">
        <f t="shared" si="75"/>
        <v>1.0000000095979227</v>
      </c>
      <c r="V49" s="17">
        <f t="shared" si="76"/>
        <v>1.3854907194811082E-4</v>
      </c>
      <c r="W49" s="31" t="str">
        <f t="shared" si="65"/>
        <v>1-0.000432965852608228i</v>
      </c>
      <c r="X49" s="17">
        <f t="shared" si="77"/>
        <v>1.0000000937297104</v>
      </c>
      <c r="Y49" s="17">
        <f t="shared" si="78"/>
        <v>-4.3296582555372044E-4</v>
      </c>
      <c r="Z49" s="31" t="str">
        <f t="shared" si="66"/>
        <v>0.999999973825325+0.00381938624536277i</v>
      </c>
      <c r="AA49" s="17">
        <f t="shared" si="79"/>
        <v>1.0000072676545617</v>
      </c>
      <c r="AB49" s="17">
        <f t="shared" si="80"/>
        <v>3.8193677734604413E-3</v>
      </c>
      <c r="AC49" s="66" t="str">
        <f t="shared" si="81"/>
        <v>6.48618502995344-44.5797585389316i</v>
      </c>
      <c r="AD49" s="64">
        <f t="shared" si="82"/>
        <v>33.073731061137998</v>
      </c>
      <c r="AE49" s="61">
        <f t="shared" si="83"/>
        <v>-81.72177055166361</v>
      </c>
      <c r="AF49" s="31" t="str">
        <f t="shared" si="84"/>
        <v>-1512.12121212121</v>
      </c>
      <c r="AG49" s="31" t="str">
        <f t="shared" si="85"/>
        <v>128.286178550586i</v>
      </c>
      <c r="AH49" s="31">
        <f t="shared" si="86"/>
        <v>128.28617855058599</v>
      </c>
      <c r="AI49" s="31">
        <f t="shared" si="87"/>
        <v>1.5707963267948966</v>
      </c>
      <c r="AJ49" s="31" t="str">
        <f t="shared" si="67"/>
        <v>0.999928455187625+0.176812606452381i</v>
      </c>
      <c r="AK49" s="31">
        <f t="shared" si="88"/>
        <v>1.0154406005741521</v>
      </c>
      <c r="AL49" s="31">
        <f t="shared" si="89"/>
        <v>0.17501613578090716</v>
      </c>
      <c r="AM49" s="31" t="str">
        <f t="shared" si="68"/>
        <v>1+0.88055632957122i</v>
      </c>
      <c r="AN49" s="31">
        <f t="shared" si="90"/>
        <v>1.3324336567153874</v>
      </c>
      <c r="AO49" s="31">
        <f t="shared" si="91"/>
        <v>0.72196829546570818</v>
      </c>
      <c r="AP49" s="31" t="str">
        <f t="shared" si="69"/>
        <v>1+0.0338675511373547i</v>
      </c>
      <c r="AQ49" s="31">
        <f t="shared" si="92"/>
        <v>1.0005733411499835</v>
      </c>
      <c r="AR49" s="31">
        <f t="shared" si="93"/>
        <v>3.3854611223396905E-2</v>
      </c>
      <c r="AS49" s="58" t="str">
        <f t="shared" si="94"/>
        <v>-8.49142505968782+12.9378922896029i</v>
      </c>
      <c r="AT49" s="49">
        <f t="shared" si="95"/>
        <v>23.792934705658414</v>
      </c>
      <c r="AU49" s="61">
        <f t="shared" si="96"/>
        <v>123.27777668566128</v>
      </c>
      <c r="AV49" s="58" t="str">
        <f t="shared" si="70"/>
        <v>521.691160168084+462.463242100288i</v>
      </c>
      <c r="AW49" s="64">
        <f t="shared" si="97"/>
        <v>56.866665766796416</v>
      </c>
      <c r="AX49" s="61">
        <f t="shared" si="98"/>
        <v>41.556006133997627</v>
      </c>
    </row>
    <row r="50" spans="1:50" x14ac:dyDescent="0.25">
      <c r="B50" s="26"/>
      <c r="N50" s="10">
        <v>32</v>
      </c>
      <c r="O50" s="50">
        <f t="shared" si="71"/>
        <v>20.8929613085404</v>
      </c>
      <c r="P50" s="48" t="str">
        <f t="shared" si="72"/>
        <v>304.285714285714</v>
      </c>
      <c r="Q50" s="17" t="str">
        <f t="shared" si="63"/>
        <v>1+6.83564281000763i</v>
      </c>
      <c r="R50" s="17">
        <f t="shared" si="73"/>
        <v>6.9084015970417507</v>
      </c>
      <c r="S50" s="17">
        <f t="shared" si="74"/>
        <v>1.4255347224836346</v>
      </c>
      <c r="T50" s="17" t="str">
        <f t="shared" si="64"/>
        <v>1+0.000141776295318676i</v>
      </c>
      <c r="U50" s="17">
        <f t="shared" si="75"/>
        <v>1.0000000100502588</v>
      </c>
      <c r="V50" s="17">
        <f t="shared" si="76"/>
        <v>1.4177629436875036E-4</v>
      </c>
      <c r="W50" s="31" t="str">
        <f t="shared" si="65"/>
        <v>1-0.000443050922870864i</v>
      </c>
      <c r="X50" s="17">
        <f t="shared" si="77"/>
        <v>1.0000000981470554</v>
      </c>
      <c r="Y50" s="17">
        <f t="shared" si="78"/>
        <v>-4.4305089388143703E-4</v>
      </c>
      <c r="Z50" s="31" t="str">
        <f t="shared" si="66"/>
        <v>0.999999972591751+0.00390835117969324i</v>
      </c>
      <c r="AA50" s="17">
        <f t="shared" si="79"/>
        <v>1.0000076101672659</v>
      </c>
      <c r="AB50" s="17">
        <f t="shared" si="80"/>
        <v>3.9083313867014245E-3</v>
      </c>
      <c r="AC50" s="66" t="str">
        <f t="shared" si="81"/>
        <v>6.19211366985647-43.6079868579806i</v>
      </c>
      <c r="AD50" s="64">
        <f t="shared" si="82"/>
        <v>32.878014589452114</v>
      </c>
      <c r="AE50" s="61">
        <f t="shared" si="83"/>
        <v>-81.918315804088394</v>
      </c>
      <c r="AF50" s="31" t="str">
        <f t="shared" si="84"/>
        <v>-1512.12121212121</v>
      </c>
      <c r="AG50" s="31" t="str">
        <f t="shared" si="85"/>
        <v>131.274347517293i</v>
      </c>
      <c r="AH50" s="31">
        <f t="shared" si="86"/>
        <v>131.27434751729299</v>
      </c>
      <c r="AI50" s="31">
        <f t="shared" si="87"/>
        <v>1.5707963267948966</v>
      </c>
      <c r="AJ50" s="31" t="str">
        <f t="shared" si="67"/>
        <v>0.999925083384497+0.180931101129616i</v>
      </c>
      <c r="AK50" s="31">
        <f t="shared" si="88"/>
        <v>1.0161625045914009</v>
      </c>
      <c r="AL50" s="31">
        <f t="shared" si="89"/>
        <v>0.17900779784591597</v>
      </c>
      <c r="AM50" s="31" t="str">
        <f t="shared" si="68"/>
        <v>1+0.901067121358697i</v>
      </c>
      <c r="AN50" s="31">
        <f t="shared" si="90"/>
        <v>1.3460765049556616</v>
      </c>
      <c r="AO50" s="31">
        <f t="shared" si="91"/>
        <v>0.73340435886233901</v>
      </c>
      <c r="AP50" s="31" t="str">
        <f t="shared" si="69"/>
        <v>1+0.0346564277445653i</v>
      </c>
      <c r="AQ50" s="31">
        <f t="shared" si="92"/>
        <v>1.0006003537796768</v>
      </c>
      <c r="AR50" s="31">
        <f t="shared" si="93"/>
        <v>3.4642562826218928E-2</v>
      </c>
      <c r="AS50" s="58" t="str">
        <f t="shared" si="94"/>
        <v>-8.48216589635241+12.6947193957727i</v>
      </c>
      <c r="AT50" s="49">
        <f t="shared" si="95"/>
        <v>23.675479352056087</v>
      </c>
      <c r="AU50" s="61">
        <f t="shared" si="96"/>
        <v>123.74945576426734</v>
      </c>
      <c r="AV50" s="58" t="str">
        <f t="shared" si="70"/>
        <v>501.068621179813+448.497324440903i</v>
      </c>
      <c r="AW50" s="64">
        <f t="shared" si="97"/>
        <v>56.553493941508194</v>
      </c>
      <c r="AX50" s="61">
        <f t="shared" si="98"/>
        <v>41.831139960178945</v>
      </c>
    </row>
    <row r="51" spans="1:50" x14ac:dyDescent="0.25">
      <c r="A51" s="31" t="s">
        <v>201</v>
      </c>
      <c r="B51" s="1">
        <f>(Isl*(Rsl_int+R_sl)*Fsw)</f>
        <v>10093.475999999999</v>
      </c>
      <c r="C51" s="31" t="s">
        <v>144</v>
      </c>
      <c r="E51" s="31" t="s">
        <v>202</v>
      </c>
      <c r="N51" s="10">
        <v>33</v>
      </c>
      <c r="O51" s="50">
        <f t="shared" si="71"/>
        <v>21.379620895022335</v>
      </c>
      <c r="P51" s="48" t="str">
        <f t="shared" si="72"/>
        <v>304.285714285714</v>
      </c>
      <c r="Q51" s="17" t="str">
        <f t="shared" si="63"/>
        <v>1+6.99486538521511i</v>
      </c>
      <c r="R51" s="17">
        <f t="shared" si="73"/>
        <v>7.0659848398705565</v>
      </c>
      <c r="S51" s="17">
        <f t="shared" si="74"/>
        <v>1.4287965060223402</v>
      </c>
      <c r="T51" s="17" t="str">
        <f t="shared" si="64"/>
        <v>1+0.000145078689471128i</v>
      </c>
      <c r="U51" s="17">
        <f t="shared" si="75"/>
        <v>1.0000000105239131</v>
      </c>
      <c r="V51" s="17">
        <f t="shared" si="76"/>
        <v>1.4507868845326435E-4</v>
      </c>
      <c r="W51" s="31" t="str">
        <f t="shared" si="65"/>
        <v>1-0.000453370904597275i</v>
      </c>
      <c r="X51" s="17">
        <f t="shared" si="77"/>
        <v>1.0000001027725833</v>
      </c>
      <c r="Y51" s="17">
        <f t="shared" si="78"/>
        <v>-4.5337087353454454E-4</v>
      </c>
      <c r="Z51" s="31" t="str">
        <f t="shared" si="66"/>
        <v>0.99999997130004+0.0039993883735523i</v>
      </c>
      <c r="AA51" s="17">
        <f t="shared" si="79"/>
        <v>1.0000079688219705</v>
      </c>
      <c r="AB51" s="17">
        <f t="shared" si="80"/>
        <v>3.9993671649885881E-3</v>
      </c>
      <c r="AC51" s="66" t="str">
        <f t="shared" si="81"/>
        <v>5.91073504189539-42.6555407976572i</v>
      </c>
      <c r="AD51" s="64">
        <f t="shared" si="82"/>
        <v>32.682109010190224</v>
      </c>
      <c r="AE51" s="61">
        <f t="shared" si="83"/>
        <v>-82.110820278457481</v>
      </c>
      <c r="AF51" s="31" t="str">
        <f t="shared" si="84"/>
        <v>-1512.12121212121</v>
      </c>
      <c r="AG51" s="31" t="str">
        <f t="shared" si="85"/>
        <v>134.332119880674i</v>
      </c>
      <c r="AH51" s="31">
        <f t="shared" si="86"/>
        <v>134.33211988067399</v>
      </c>
      <c r="AI51" s="31">
        <f t="shared" si="87"/>
        <v>1.5707963267948966</v>
      </c>
      <c r="AJ51" s="31" t="str">
        <f t="shared" si="67"/>
        <v>0.999921552673184+0.185145527871577i</v>
      </c>
      <c r="AK51" s="31">
        <f t="shared" si="88"/>
        <v>1.016917881636072</v>
      </c>
      <c r="AL51" s="31">
        <f t="shared" si="89"/>
        <v>0.18308651843995147</v>
      </c>
      <c r="AM51" s="31" t="str">
        <f t="shared" si="68"/>
        <v>1+0.922055670860944i</v>
      </c>
      <c r="AN51" s="31">
        <f t="shared" si="90"/>
        <v>1.3602156667848027</v>
      </c>
      <c r="AO51" s="31">
        <f t="shared" si="91"/>
        <v>0.74486778458104941</v>
      </c>
      <c r="AP51" s="31" t="str">
        <f t="shared" si="69"/>
        <v>1+0.0354636796484979i</v>
      </c>
      <c r="AQ51" s="31">
        <f t="shared" si="92"/>
        <v>1.0006286386938019</v>
      </c>
      <c r="AR51" s="31">
        <f t="shared" si="93"/>
        <v>3.5448823624870861E-2</v>
      </c>
      <c r="AS51" s="58" t="str">
        <f t="shared" si="94"/>
        <v>-8.47249851092209+12.4581250244262i</v>
      </c>
      <c r="AT51" s="49">
        <f t="shared" si="95"/>
        <v>23.560031090211432</v>
      </c>
      <c r="AU51" s="61">
        <f t="shared" si="96"/>
        <v>124.21876354180927</v>
      </c>
      <c r="AV51" s="58" t="str">
        <f t="shared" si="70"/>
        <v>481.329366400812+435.035682028917i</v>
      </c>
      <c r="AW51" s="64">
        <f t="shared" si="97"/>
        <v>56.242140100401656</v>
      </c>
      <c r="AX51" s="61">
        <f t="shared" si="98"/>
        <v>42.107943263351828</v>
      </c>
    </row>
    <row r="52" spans="1:50" x14ac:dyDescent="0.25">
      <c r="A52" s="31" t="s">
        <v>204</v>
      </c>
      <c r="B52" s="1">
        <f>(R_cs*VIN_var*Acs*(1-Dc_var_ccm))/Lm</f>
        <v>592.59259259259261</v>
      </c>
      <c r="C52" s="31" t="s">
        <v>144</v>
      </c>
      <c r="E52" s="31" t="s">
        <v>203</v>
      </c>
      <c r="N52" s="10">
        <v>34</v>
      </c>
      <c r="O52" s="50">
        <f t="shared" si="71"/>
        <v>21.877616239495538</v>
      </c>
      <c r="P52" s="48" t="str">
        <f t="shared" si="72"/>
        <v>304.285714285714</v>
      </c>
      <c r="Q52" s="17" t="str">
        <f t="shared" si="63"/>
        <v>1+7.15779673063785i</v>
      </c>
      <c r="R52" s="17">
        <f t="shared" si="73"/>
        <v>7.2273130579164695</v>
      </c>
      <c r="S52" s="17">
        <f t="shared" si="74"/>
        <v>1.4319869844480482</v>
      </c>
      <c r="T52" s="17" t="str">
        <f t="shared" si="64"/>
        <v>1+0.000148458006265081i</v>
      </c>
      <c r="U52" s="17">
        <f t="shared" si="75"/>
        <v>1.0000000110198897</v>
      </c>
      <c r="V52" s="17">
        <f t="shared" si="76"/>
        <v>1.4845800517442043E-4</v>
      </c>
      <c r="W52" s="31" t="str">
        <f t="shared" si="65"/>
        <v>1-0.000463931269578379i</v>
      </c>
      <c r="X52" s="17">
        <f t="shared" si="77"/>
        <v>1.0000001076161056</v>
      </c>
      <c r="Y52" s="17">
        <f t="shared" si="78"/>
        <v>-4.639312362940638E-4</v>
      </c>
      <c r="Z52" s="31" t="str">
        <f t="shared" si="66"/>
        <v>0.999999969947453+0.0040925460960652i</v>
      </c>
      <c r="AA52" s="17">
        <f t="shared" si="79"/>
        <v>1.0000083443794132</v>
      </c>
      <c r="AB52" s="17">
        <f t="shared" si="80"/>
        <v>4.0925233706899863E-3</v>
      </c>
      <c r="AC52" s="66" t="str">
        <f t="shared" si="81"/>
        <v>5.64152422498261-41.7221586713243i</v>
      </c>
      <c r="AD52" s="64">
        <f t="shared" si="82"/>
        <v>32.486022480839793</v>
      </c>
      <c r="AE52" s="61">
        <f t="shared" si="83"/>
        <v>-82.299370127930715</v>
      </c>
      <c r="AF52" s="31" t="str">
        <f t="shared" si="84"/>
        <v>-1512.12121212121</v>
      </c>
      <c r="AG52" s="31" t="str">
        <f t="shared" si="85"/>
        <v>137.461116912112i</v>
      </c>
      <c r="AH52" s="31">
        <f t="shared" si="86"/>
        <v>137.461116912112</v>
      </c>
      <c r="AI52" s="31">
        <f t="shared" si="87"/>
        <v>1.5707963267948966</v>
      </c>
      <c r="AJ52" s="31" t="str">
        <f t="shared" si="67"/>
        <v>0.999917855564572+0.189458121223106i</v>
      </c>
      <c r="AK52" s="31">
        <f t="shared" si="88"/>
        <v>1.0177082575936198</v>
      </c>
      <c r="AL52" s="31">
        <f t="shared" si="89"/>
        <v>0.18725392091264847</v>
      </c>
      <c r="AM52" s="31" t="str">
        <f t="shared" si="68"/>
        <v>1+0.943533106484735i</v>
      </c>
      <c r="AN52" s="31">
        <f t="shared" si="90"/>
        <v>1.374865347236861</v>
      </c>
      <c r="AO52" s="31">
        <f t="shared" si="91"/>
        <v>0.75635260039604624</v>
      </c>
      <c r="AP52" s="31" t="str">
        <f t="shared" si="69"/>
        <v>1+0.0362897348647976i</v>
      </c>
      <c r="AQ52" s="31">
        <f t="shared" si="92"/>
        <v>1.000658255777944</v>
      </c>
      <c r="AR52" s="31">
        <f t="shared" si="93"/>
        <v>3.6273816914185041E-2</v>
      </c>
      <c r="AS52" s="58" t="str">
        <f t="shared" si="94"/>
        <v>-8.46240624283975+12.2279735584163i</v>
      </c>
      <c r="AT52" s="49">
        <f t="shared" si="95"/>
        <v>23.446587755383955</v>
      </c>
      <c r="AU52" s="61">
        <f t="shared" si="96"/>
        <v>124.68528907688007</v>
      </c>
      <c r="AV52" s="58" t="str">
        <f t="shared" si="70"/>
        <v>462.436583212378+422.054265057218i</v>
      </c>
      <c r="AW52" s="64">
        <f t="shared" si="97"/>
        <v>55.932610236223752</v>
      </c>
      <c r="AX52" s="61">
        <f t="shared" si="98"/>
        <v>42.385918948949396</v>
      </c>
    </row>
    <row r="53" spans="1:50" x14ac:dyDescent="0.25">
      <c r="A53" s="31" t="s">
        <v>507</v>
      </c>
      <c r="B53" s="1">
        <f>1+(B51/B52)</f>
        <v>18.032740749999999</v>
      </c>
      <c r="N53" s="10">
        <v>35</v>
      </c>
      <c r="O53" s="50">
        <f t="shared" si="71"/>
        <v>22.387211385683404</v>
      </c>
      <c r="P53" s="48" t="str">
        <f t="shared" si="72"/>
        <v>304.285714285714</v>
      </c>
      <c r="Q53" s="17" t="str">
        <f t="shared" si="63"/>
        <v>1+7.32452323463182i</v>
      </c>
      <c r="R53" s="17">
        <f t="shared" si="73"/>
        <v>7.3924718879858711</v>
      </c>
      <c r="S53" s="17">
        <f t="shared" si="74"/>
        <v>1.4351075894476897</v>
      </c>
      <c r="T53" s="17" t="str">
        <f t="shared" si="64"/>
        <v>1+0.00015191603745903i</v>
      </c>
      <c r="U53" s="17">
        <f t="shared" si="75"/>
        <v>1.0000000115392411</v>
      </c>
      <c r="V53" s="17">
        <f t="shared" si="76"/>
        <v>1.5191603629036615E-4</v>
      </c>
      <c r="W53" s="31" t="str">
        <f t="shared" si="65"/>
        <v>1-0.000474737617059469i</v>
      </c>
      <c r="X53" s="17">
        <f t="shared" si="77"/>
        <v>1.0000001126878961</v>
      </c>
      <c r="Y53" s="17">
        <f t="shared" si="78"/>
        <v>-4.7473758139468292E-4</v>
      </c>
      <c r="Z53" s="31" t="str">
        <f t="shared" si="66"/>
        <v>0.99999996853112+0.00418787374068949i</v>
      </c>
      <c r="AA53" s="17">
        <f t="shared" si="79"/>
        <v>1.0000087376361813</v>
      </c>
      <c r="AB53" s="17">
        <f t="shared" si="80"/>
        <v>4.1878493900227211E-3</v>
      </c>
      <c r="AC53" s="66" t="str">
        <f t="shared" si="81"/>
        <v>5.38397602211608-40.8075737197618i</v>
      </c>
      <c r="AD53" s="64">
        <f t="shared" si="82"/>
        <v>32.289762820284352</v>
      </c>
      <c r="AE53" s="61">
        <f t="shared" si="83"/>
        <v>-82.484050429901004</v>
      </c>
      <c r="AF53" s="31" t="str">
        <f t="shared" si="84"/>
        <v>-1512.12121212121</v>
      </c>
      <c r="AG53" s="31" t="str">
        <f t="shared" si="85"/>
        <v>140.66299764725i</v>
      </c>
      <c r="AH53" s="31">
        <f t="shared" si="86"/>
        <v>140.66299764724999</v>
      </c>
      <c r="AI53" s="31">
        <f t="shared" si="87"/>
        <v>1.5707963267948966</v>
      </c>
      <c r="AJ53" s="31" t="str">
        <f t="shared" si="67"/>
        <v>0.9999139842166+0.193871167778282i</v>
      </c>
      <c r="AK53" s="31">
        <f t="shared" si="88"/>
        <v>1.0185352254721629</v>
      </c>
      <c r="AL53" s="31">
        <f t="shared" si="89"/>
        <v>0.19151163969843074</v>
      </c>
      <c r="AM53" s="31" t="str">
        <f t="shared" si="68"/>
        <v>1+0.965510815850722i</v>
      </c>
      <c r="AN53" s="31">
        <f t="shared" si="90"/>
        <v>1.3900399762325999</v>
      </c>
      <c r="AO53" s="31">
        <f t="shared" si="91"/>
        <v>0.76785277787118822</v>
      </c>
      <c r="AP53" s="31" t="str">
        <f t="shared" si="69"/>
        <v>1+0.037135031378874i</v>
      </c>
      <c r="AQ53" s="31">
        <f t="shared" si="92"/>
        <v>1.0006892677327512</v>
      </c>
      <c r="AR53" s="31">
        <f t="shared" si="93"/>
        <v>3.7117975621942578E-2</v>
      </c>
      <c r="AS53" s="58" t="str">
        <f t="shared" si="94"/>
        <v>-8.45187187571768+12.0041321529789i</v>
      </c>
      <c r="AT53" s="49">
        <f t="shared" si="95"/>
        <v>23.335144326930664</v>
      </c>
      <c r="AU53" s="61">
        <f t="shared" si="96"/>
        <v>125.14861812427199</v>
      </c>
      <c r="AV53" s="58" t="str">
        <f t="shared" si="70"/>
        <v>444.354832253588+409.530344316282i</v>
      </c>
      <c r="AW53" s="64">
        <f t="shared" si="97"/>
        <v>55.624907147215019</v>
      </c>
      <c r="AX53" s="61">
        <f t="shared" si="98"/>
        <v>42.664567694371023</v>
      </c>
    </row>
    <row r="54" spans="1:50" x14ac:dyDescent="0.25">
      <c r="A54" s="31" t="s">
        <v>199</v>
      </c>
      <c r="B54" s="1">
        <f>2*PI()*Fsw</f>
        <v>1585875.9715321276</v>
      </c>
      <c r="C54" s="31" t="s">
        <v>205</v>
      </c>
      <c r="N54" s="10">
        <v>36</v>
      </c>
      <c r="O54" s="50">
        <f t="shared" si="71"/>
        <v>22.908676527677727</v>
      </c>
      <c r="P54" s="48" t="str">
        <f t="shared" si="72"/>
        <v>304.285714285714</v>
      </c>
      <c r="Q54" s="17" t="str">
        <f t="shared" si="63"/>
        <v>1+7.4951332977963i</v>
      </c>
      <c r="R54" s="17">
        <f t="shared" si="73"/>
        <v>7.5615489915582002</v>
      </c>
      <c r="S54" s="17">
        <f t="shared" si="74"/>
        <v>1.4381597323675255</v>
      </c>
      <c r="T54" s="17" t="str">
        <f t="shared" si="64"/>
        <v>1+0.000155454616546886i</v>
      </c>
      <c r="U54" s="17">
        <f t="shared" si="75"/>
        <v>1.0000000120830688</v>
      </c>
      <c r="V54" s="17">
        <f t="shared" si="76"/>
        <v>1.5545461529464013E-4</v>
      </c>
      <c r="W54" s="31" t="str">
        <f t="shared" si="65"/>
        <v>1-0.000485795676709019i</v>
      </c>
      <c r="X54" s="17">
        <f t="shared" si="77"/>
        <v>1.0000001179987128</v>
      </c>
      <c r="Y54" s="17">
        <f t="shared" si="78"/>
        <v>-4.8579563849351242E-4</v>
      </c>
      <c r="Z54" s="31" t="str">
        <f t="shared" si="66"/>
        <v>0.999999967048037+0.00428542185140414i</v>
      </c>
      <c r="AA54" s="17">
        <f t="shared" si="79"/>
        <v>1.0000091494264038</v>
      </c>
      <c r="AB54" s="17">
        <f t="shared" si="80"/>
        <v>4.2853957592074972E-3</v>
      </c>
      <c r="AC54" s="66" t="str">
        <f t="shared" si="81"/>
        <v>5.13760439387572-39.9115148725423i</v>
      </c>
      <c r="AD54" s="64">
        <f t="shared" si="82"/>
        <v>32.093337521558944</v>
      </c>
      <c r="AE54" s="61">
        <f t="shared" si="83"/>
        <v>-82.664945167298413</v>
      </c>
      <c r="AF54" s="31" t="str">
        <f t="shared" si="84"/>
        <v>-1512.12121212121</v>
      </c>
      <c r="AG54" s="31" t="str">
        <f t="shared" si="85"/>
        <v>143.939459765635i</v>
      </c>
      <c r="AH54" s="31">
        <f t="shared" si="86"/>
        <v>143.93945976563501</v>
      </c>
      <c r="AI54" s="31">
        <f t="shared" si="87"/>
        <v>1.5707963267948966</v>
      </c>
      <c r="AJ54" s="31" t="str">
        <f t="shared" si="67"/>
        <v>0.999909930417619+0.198387007392802i</v>
      </c>
      <c r="AK54" s="31">
        <f t="shared" si="88"/>
        <v>1.0194004481311745</v>
      </c>
      <c r="AL54" s="31">
        <f t="shared" si="89"/>
        <v>0.19586131891570016</v>
      </c>
      <c r="AM54" s="31" t="str">
        <f t="shared" si="68"/>
        <v>1+0.988000451831316i</v>
      </c>
      <c r="AN54" s="31">
        <f t="shared" si="90"/>
        <v>1.4057542078254237</v>
      </c>
      <c r="AO54" s="31">
        <f t="shared" si="91"/>
        <v>0.7793622480465906</v>
      </c>
      <c r="AP54" s="31" t="str">
        <f t="shared" si="69"/>
        <v>1+0.0380000173781276i</v>
      </c>
      <c r="AQ54" s="31">
        <f t="shared" si="92"/>
        <v>1.0007217402059065</v>
      </c>
      <c r="AR54" s="31">
        <f t="shared" si="93"/>
        <v>3.7981742517109944E-2</v>
      </c>
      <c r="AS54" s="58" t="str">
        <f t="shared" si="94"/>
        <v>-8.44087763058101+11.7864706286549i</v>
      </c>
      <c r="AT54" s="49">
        <f t="shared" si="95"/>
        <v>23.225692881963667</v>
      </c>
      <c r="AU54" s="61">
        <f t="shared" si="96"/>
        <v>125.60833412594511</v>
      </c>
      <c r="AV54" s="58" t="str">
        <f t="shared" si="70"/>
        <v>427.050007787303+397.442436380308i</v>
      </c>
      <c r="AW54" s="64">
        <f t="shared" si="97"/>
        <v>55.319030403522618</v>
      </c>
      <c r="AX54" s="61">
        <f t="shared" si="98"/>
        <v>42.943388958646686</v>
      </c>
    </row>
    <row r="55" spans="1:50" x14ac:dyDescent="0.25">
      <c r="A55" s="31" t="s">
        <v>200</v>
      </c>
      <c r="B55" s="1">
        <f>1/(PI()*(((1-Dc_var_ccm)*mc)-0.5))</f>
        <v>4.235913328121791E-2</v>
      </c>
      <c r="N55" s="10">
        <v>37</v>
      </c>
      <c r="O55" s="50">
        <f t="shared" si="71"/>
        <v>23.442288153199236</v>
      </c>
      <c r="P55" s="48" t="str">
        <f t="shared" si="72"/>
        <v>304.285714285714</v>
      </c>
      <c r="Q55" s="17" t="str">
        <f t="shared" si="63"/>
        <v>1+7.6697173798451i</v>
      </c>
      <c r="R55" s="17">
        <f t="shared" si="73"/>
        <v>7.7346341016688029</v>
      </c>
      <c r="S55" s="17">
        <f t="shared" si="74"/>
        <v>1.4411448039142958</v>
      </c>
      <c r="T55" s="17" t="str">
        <f t="shared" si="64"/>
        <v>1+0.00015907561973012i</v>
      </c>
      <c r="U55" s="17">
        <f t="shared" si="75"/>
        <v>1.0000000126525264</v>
      </c>
      <c r="V55" s="17">
        <f t="shared" si="76"/>
        <v>1.5907561838831438E-4</v>
      </c>
      <c r="W55" s="31" t="str">
        <f t="shared" si="65"/>
        <v>1-0.000497111311656626i</v>
      </c>
      <c r="X55" s="17">
        <f t="shared" si="77"/>
        <v>1.0000001235598204</v>
      </c>
      <c r="Y55" s="17">
        <f t="shared" si="78"/>
        <v>-4.9711127070797324E-4</v>
      </c>
      <c r="Z55" s="31" t="str">
        <f t="shared" si="66"/>
        <v>0.999999965495059+0.00438524214950867i</v>
      </c>
      <c r="AA55" s="17">
        <f t="shared" si="79"/>
        <v>1.0000095806235203</v>
      </c>
      <c r="AB55" s="17">
        <f t="shared" si="80"/>
        <v>4.3852141912307172E-3</v>
      </c>
      <c r="AC55" s="66" t="str">
        <f t="shared" si="81"/>
        <v>4.90194189187517-39.0337074581789i</v>
      </c>
      <c r="AD55" s="64">
        <f t="shared" si="82"/>
        <v>31.896753764232901</v>
      </c>
      <c r="AE55" s="61">
        <f t="shared" si="83"/>
        <v>-82.842137213119003</v>
      </c>
      <c r="AF55" s="31" t="str">
        <f t="shared" si="84"/>
        <v>-1512.12121212121</v>
      </c>
      <c r="AG55" s="31" t="str">
        <f t="shared" si="85"/>
        <v>147.292240490852i</v>
      </c>
      <c r="AH55" s="31">
        <f t="shared" si="86"/>
        <v>147.29224049085201</v>
      </c>
      <c r="AI55" s="31">
        <f t="shared" si="87"/>
        <v>1.5707963267948966</v>
      </c>
      <c r="AJ55" s="31" t="str">
        <f t="shared" si="67"/>
        <v>0.999905685568978+0.203008034424604i</v>
      </c>
      <c r="AK55" s="31">
        <f t="shared" si="88"/>
        <v>1.0203056611006867</v>
      </c>
      <c r="AL55" s="31">
        <f t="shared" si="89"/>
        <v>0.20030461084289578</v>
      </c>
      <c r="AM55" s="31" t="str">
        <f t="shared" si="68"/>
        <v>1+1.01101393872921i</v>
      </c>
      <c r="AN55" s="31">
        <f t="shared" si="90"/>
        <v>1.4220229197536696</v>
      </c>
      <c r="AO55" s="31">
        <f t="shared" si="91"/>
        <v>0.79087491738530358</v>
      </c>
      <c r="AP55" s="31" t="str">
        <f t="shared" si="69"/>
        <v>1+0.0388851514895849i</v>
      </c>
      <c r="AQ55" s="31">
        <f t="shared" si="92"/>
        <v>1.0007557419302513</v>
      </c>
      <c r="AR55" s="31">
        <f t="shared" si="93"/>
        <v>3.8865570421780668E-2</v>
      </c>
      <c r="AS55" s="58" t="str">
        <f t="shared" si="94"/>
        <v>-8.42940516030497+11.574861364018i</v>
      </c>
      <c r="AT55" s="49">
        <f t="shared" si="95"/>
        <v>23.118222558915718</v>
      </c>
      <c r="AU55" s="61">
        <f t="shared" si="96"/>
        <v>126.06401922416384</v>
      </c>
      <c r="AV55" s="58" t="str">
        <f t="shared" si="70"/>
        <v>410.489298073169+385.770232886735i</v>
      </c>
      <c r="AW55" s="64">
        <f t="shared" si="97"/>
        <v>55.014976323148623</v>
      </c>
      <c r="AX55" s="61">
        <f t="shared" si="98"/>
        <v>43.221882011044819</v>
      </c>
    </row>
    <row r="56" spans="1:50" x14ac:dyDescent="0.25">
      <c r="N56" s="10">
        <v>38</v>
      </c>
      <c r="O56" s="50">
        <f t="shared" si="71"/>
        <v>23.988329190194907</v>
      </c>
      <c r="P56" s="48" t="str">
        <f t="shared" si="72"/>
        <v>304.285714285714</v>
      </c>
      <c r="Q56" s="17" t="str">
        <f t="shared" si="63"/>
        <v>1+7.84836804756937i</v>
      </c>
      <c r="R56" s="17">
        <f t="shared" si="73"/>
        <v>7.9118190708652989</v>
      </c>
      <c r="S56" s="17">
        <f t="shared" si="74"/>
        <v>1.4440641739082121</v>
      </c>
      <c r="T56" s="17" t="str">
        <f t="shared" si="64"/>
        <v>1+0.00016278096691255i</v>
      </c>
      <c r="U56" s="17">
        <f t="shared" si="75"/>
        <v>1.0000000132488216</v>
      </c>
      <c r="V56" s="17">
        <f t="shared" si="76"/>
        <v>1.6278096547477937E-4</v>
      </c>
      <c r="W56" s="31" t="str">
        <f t="shared" si="65"/>
        <v>1-0.000508690521601718i</v>
      </c>
      <c r="X56" s="17">
        <f t="shared" si="77"/>
        <v>1.000000129383015</v>
      </c>
      <c r="Y56" s="17">
        <f t="shared" si="78"/>
        <v>-5.0869047772444638E-4</v>
      </c>
      <c r="Z56" s="31" t="str">
        <f t="shared" si="66"/>
        <v>0.999999963868891+0.0044873875610464i</v>
      </c>
      <c r="AA56" s="17">
        <f t="shared" si="79"/>
        <v>1.0000100321421312</v>
      </c>
      <c r="AB56" s="17">
        <f t="shared" si="80"/>
        <v>4.4873576032280647E-3</v>
      </c>
      <c r="AC56" s="66" t="str">
        <f t="shared" si="81"/>
        <v>4.67653909408722-38.1738738655564i</v>
      </c>
      <c r="AD56" s="64">
        <f t="shared" si="82"/>
        <v>31.700018426420531</v>
      </c>
      <c r="AE56" s="61">
        <f t="shared" si="83"/>
        <v>-83.015708317962535</v>
      </c>
      <c r="AF56" s="31" t="str">
        <f t="shared" si="84"/>
        <v>-1512.12121212121</v>
      </c>
      <c r="AG56" s="31" t="str">
        <f t="shared" si="85"/>
        <v>150.72311751162i</v>
      </c>
      <c r="AH56" s="31">
        <f t="shared" si="86"/>
        <v>150.72311751161999</v>
      </c>
      <c r="AI56" s="31">
        <f t="shared" si="87"/>
        <v>1.5707963267948966</v>
      </c>
      <c r="AJ56" s="31" t="str">
        <f t="shared" si="67"/>
        <v>0.999901240666783+0.207736699003388i</v>
      </c>
      <c r="AK56" s="31">
        <f t="shared" si="88"/>
        <v>1.0212526754921114</v>
      </c>
      <c r="AL56" s="31">
        <f t="shared" si="89"/>
        <v>0.20484317426508469</v>
      </c>
      <c r="AM56" s="31" t="str">
        <f t="shared" si="68"/>
        <v>1+1.03456347859976i</v>
      </c>
      <c r="AN56" s="31">
        <f t="shared" si="90"/>
        <v>1.4388612133393672</v>
      </c>
      <c r="AO56" s="31">
        <f t="shared" si="91"/>
        <v>0.80238468387828732</v>
      </c>
      <c r="AP56" s="31" t="str">
        <f t="shared" si="69"/>
        <v>1+0.0397909030230677i</v>
      </c>
      <c r="AQ56" s="31">
        <f t="shared" si="92"/>
        <v>1.0007913448683452</v>
      </c>
      <c r="AR56" s="31">
        <f t="shared" si="93"/>
        <v>3.976992242682708E-2</v>
      </c>
      <c r="AS56" s="58" t="str">
        <f t="shared" si="94"/>
        <v>-8.41743554539983+11.3691791881389i</v>
      </c>
      <c r="AT56" s="49">
        <f t="shared" si="95"/>
        <v>23.012719531239341</v>
      </c>
      <c r="AU56" s="61">
        <f t="shared" si="96"/>
        <v>126.51525529133222</v>
      </c>
      <c r="AV56" s="58" t="str">
        <f t="shared" si="70"/>
        <v>394.641145882902+374.494533722558i</v>
      </c>
      <c r="AW56" s="64">
        <f t="shared" si="97"/>
        <v>54.712737957659876</v>
      </c>
      <c r="AX56" s="61">
        <f t="shared" si="98"/>
        <v>43.499546973369647</v>
      </c>
    </row>
    <row r="57" spans="1:50" x14ac:dyDescent="0.25">
      <c r="N57" s="10">
        <v>39</v>
      </c>
      <c r="O57" s="50">
        <f t="shared" si="71"/>
        <v>24.547089156850316</v>
      </c>
      <c r="P57" s="48" t="str">
        <f t="shared" si="72"/>
        <v>304.285714285714</v>
      </c>
      <c r="Q57" s="17" t="str">
        <f t="shared" si="63"/>
        <v>1+8.03118002391791i</v>
      </c>
      <c r="R57" s="17">
        <f t="shared" si="73"/>
        <v>8.0931979202647746</v>
      </c>
      <c r="S57" s="17">
        <f t="shared" si="74"/>
        <v>1.4469191910842136</v>
      </c>
      <c r="T57" s="17" t="str">
        <f t="shared" si="64"/>
        <v>1+0.000166572622718297i</v>
      </c>
      <c r="U57" s="17">
        <f t="shared" si="75"/>
        <v>1.0000000138732192</v>
      </c>
      <c r="V57" s="17">
        <f t="shared" si="76"/>
        <v>1.6657262117769799E-4</v>
      </c>
      <c r="W57" s="31" t="str">
        <f t="shared" si="65"/>
        <v>1-0.000520539445994678i</v>
      </c>
      <c r="X57" s="17">
        <f t="shared" si="77"/>
        <v>1.0000001354806483</v>
      </c>
      <c r="Y57" s="17">
        <f t="shared" si="78"/>
        <v>-5.205393989793348E-4</v>
      </c>
      <c r="Z57" s="31" t="str">
        <f t="shared" si="66"/>
        <v>0.999999962166084+0.0045919122448666i</v>
      </c>
      <c r="AA57" s="17">
        <f t="shared" si="79"/>
        <v>1.0000105049399401</v>
      </c>
      <c r="AB57" s="17">
        <f t="shared" si="80"/>
        <v>4.5918801445041244E-3</v>
      </c>
      <c r="AC57" s="66" t="str">
        <f t="shared" si="81"/>
        <v>4.46096404374449-37.3317341590947i</v>
      </c>
      <c r="AD57" s="64">
        <f t="shared" si="82"/>
        <v>31.503138096420614</v>
      </c>
      <c r="AE57" s="61">
        <f t="shared" si="83"/>
        <v>-83.18573910037442</v>
      </c>
      <c r="AF57" s="31" t="str">
        <f t="shared" si="84"/>
        <v>-1512.12121212121</v>
      </c>
      <c r="AG57" s="31" t="str">
        <f t="shared" si="85"/>
        <v>154.233909924349i</v>
      </c>
      <c r="AH57" s="31">
        <f t="shared" si="86"/>
        <v>154.23390992434901</v>
      </c>
      <c r="AI57" s="31">
        <f t="shared" si="87"/>
        <v>1.5707963267948966</v>
      </c>
      <c r="AJ57" s="31" t="str">
        <f t="shared" si="67"/>
        <v>0.999896586282803+0.212575508329703i</v>
      </c>
      <c r="AK57" s="31">
        <f t="shared" si="88"/>
        <v>1.0222433810016254</v>
      </c>
      <c r="AL57" s="31">
        <f t="shared" si="89"/>
        <v>0.20947867268464246</v>
      </c>
      <c r="AM57" s="31" t="str">
        <f t="shared" si="68"/>
        <v>1+1.05866155772073i</v>
      </c>
      <c r="AN57" s="31">
        <f t="shared" si="90"/>
        <v>1.4562844137721458</v>
      </c>
      <c r="AO57" s="31">
        <f t="shared" si="91"/>
        <v>0.81388545320411598</v>
      </c>
      <c r="AP57" s="31" t="str">
        <f t="shared" si="69"/>
        <v>1+0.0407177522200281i</v>
      </c>
      <c r="AQ57" s="31">
        <f t="shared" si="92"/>
        <v>1.0008286243637576</v>
      </c>
      <c r="AR57" s="31">
        <f t="shared" si="93"/>
        <v>4.0695272111264912E-2</v>
      </c>
      <c r="AS57" s="58" t="str">
        <f t="shared" si="94"/>
        <v>-8.40494929131211+11.1693012727241i</v>
      </c>
      <c r="AT57" s="49">
        <f t="shared" si="95"/>
        <v>22.909166991380477</v>
      </c>
      <c r="AU57" s="61">
        <f t="shared" si="96"/>
        <v>126.96162497096768</v>
      </c>
      <c r="AV57" s="58" t="str">
        <f t="shared" si="70"/>
        <v>379.475209278135+363.597183935307i</v>
      </c>
      <c r="AW57" s="64">
        <f t="shared" si="97"/>
        <v>54.412305087801094</v>
      </c>
      <c r="AX57" s="61">
        <f t="shared" si="98"/>
        <v>43.775885870593264</v>
      </c>
    </row>
    <row r="58" spans="1:50" x14ac:dyDescent="0.25">
      <c r="N58" s="10">
        <v>40</v>
      </c>
      <c r="O58" s="50">
        <f t="shared" si="71"/>
        <v>25.118864315095799</v>
      </c>
      <c r="P58" s="48" t="str">
        <f t="shared" si="72"/>
        <v>304.285714285714</v>
      </c>
      <c r="Q58" s="17" t="str">
        <f t="shared" si="63"/>
        <v>1+8.2182502382204i</v>
      </c>
      <c r="R58" s="17">
        <f t="shared" si="73"/>
        <v>8.2788668897385751</v>
      </c>
      <c r="S58" s="17">
        <f t="shared" si="74"/>
        <v>1.4497111829380642</v>
      </c>
      <c r="T58" s="17" t="str">
        <f t="shared" si="64"/>
        <v>1+0.00017045259753346i</v>
      </c>
      <c r="U58" s="17">
        <f t="shared" si="75"/>
        <v>1.000000014527044</v>
      </c>
      <c r="V58" s="17">
        <f t="shared" si="76"/>
        <v>1.7045259588267843E-4</v>
      </c>
      <c r="W58" s="31" t="str">
        <f t="shared" si="65"/>
        <v>1-0.000532664367292063i</v>
      </c>
      <c r="X58" s="17">
        <f t="shared" si="77"/>
        <v>1.0000001418656541</v>
      </c>
      <c r="Y58" s="17">
        <f t="shared" si="78"/>
        <v>-5.3266431691421554E-4</v>
      </c>
      <c r="Z58" s="31" t="str">
        <f t="shared" si="66"/>
        <v>0.999999960383027+0.0046988716213402i</v>
      </c>
      <c r="AA58" s="17">
        <f t="shared" si="79"/>
        <v>1.0000110000197844</v>
      </c>
      <c r="AB58" s="17">
        <f t="shared" si="80"/>
        <v>4.6988372252025337E-3</v>
      </c>
      <c r="AC58" s="66" t="str">
        <f t="shared" si="81"/>
        <v>4.25480169332016-36.5070066500369i</v>
      </c>
      <c r="AD58" s="64">
        <f t="shared" si="82"/>
        <v>31.306119083988957</v>
      </c>
      <c r="AE58" s="61">
        <f t="shared" si="83"/>
        <v>-83.352309039797419</v>
      </c>
      <c r="AF58" s="31" t="str">
        <f t="shared" si="84"/>
        <v>-1512.12121212121</v>
      </c>
      <c r="AG58" s="31" t="str">
        <f t="shared" si="85"/>
        <v>157.826479197648i</v>
      </c>
      <c r="AH58" s="31">
        <f t="shared" si="86"/>
        <v>157.82647919764801</v>
      </c>
      <c r="AI58" s="31">
        <f t="shared" si="87"/>
        <v>1.5707963267948966</v>
      </c>
      <c r="AJ58" s="31" t="str">
        <f t="shared" si="67"/>
        <v>0.999891712544462+0.217527028004304i</v>
      </c>
      <c r="AK58" s="31">
        <f t="shared" si="88"/>
        <v>1.0232797490068306</v>
      </c>
      <c r="AL58" s="31">
        <f t="shared" si="89"/>
        <v>0.21421277238953304</v>
      </c>
      <c r="AM58" s="31" t="str">
        <f t="shared" si="68"/>
        <v>1+1.08332095321265i</v>
      </c>
      <c r="AN58" s="31">
        <f t="shared" si="90"/>
        <v>1.4743080708147684</v>
      </c>
      <c r="AO58" s="31">
        <f t="shared" si="91"/>
        <v>0.82537115483901813</v>
      </c>
      <c r="AP58" s="31" t="str">
        <f t="shared" si="69"/>
        <v>1+0.0416661905081791i</v>
      </c>
      <c r="AQ58" s="31">
        <f t="shared" si="92"/>
        <v>1.0008676592994019</v>
      </c>
      <c r="AR58" s="31">
        <f t="shared" si="93"/>
        <v>4.1642103765322791E-2</v>
      </c>
      <c r="AS58" s="58" t="str">
        <f t="shared" si="94"/>
        <v>-8.39192632741564+10.9751070238781i</v>
      </c>
      <c r="AT58" s="49">
        <f t="shared" si="95"/>
        <v>22.807545145077967</v>
      </c>
      <c r="AU58" s="61">
        <f t="shared" si="96"/>
        <v>127.40271272419658</v>
      </c>
      <c r="AV58" s="58" t="str">
        <f t="shared" si="70"/>
        <v>364.962322757478+353.061014191149i</v>
      </c>
      <c r="AW58" s="64">
        <f t="shared" si="97"/>
        <v>54.11366422906692</v>
      </c>
      <c r="AX58" s="61">
        <f t="shared" si="98"/>
        <v>44.050403684399214</v>
      </c>
    </row>
    <row r="59" spans="1:50" x14ac:dyDescent="0.25">
      <c r="N59" s="10">
        <v>41</v>
      </c>
      <c r="O59" s="50">
        <f t="shared" si="71"/>
        <v>25.703957827688647</v>
      </c>
      <c r="P59" s="48" t="str">
        <f t="shared" si="72"/>
        <v>304.285714285714</v>
      </c>
      <c r="Q59" s="17" t="str">
        <f t="shared" si="63"/>
        <v>1+8.40967787758056i</v>
      </c>
      <c r="R59" s="17">
        <f t="shared" si="73"/>
        <v>8.4689244892529221</v>
      </c>
      <c r="S59" s="17">
        <f t="shared" si="74"/>
        <v>1.4524414556140712</v>
      </c>
      <c r="T59" s="17" t="str">
        <f t="shared" si="64"/>
        <v>1+0.000174422948572041i</v>
      </c>
      <c r="U59" s="17">
        <f t="shared" si="75"/>
        <v>1.0000000152116824</v>
      </c>
      <c r="V59" s="17">
        <f t="shared" si="76"/>
        <v>1.7442294680319667E-4</v>
      </c>
      <c r="W59" s="31" t="str">
        <f t="shared" si="65"/>
        <v>1-0.000545071714287628i</v>
      </c>
      <c r="X59" s="17">
        <f t="shared" si="77"/>
        <v>1.0000001485515757</v>
      </c>
      <c r="Y59" s="17">
        <f t="shared" si="78"/>
        <v>-5.4507166030679226E-4</v>
      </c>
      <c r="Z59" s="31" t="str">
        <f t="shared" si="66"/>
        <v>0.999999958515936+0.00480832240174431i</v>
      </c>
      <c r="AA59" s="17">
        <f t="shared" si="79"/>
        <v>1.0000115184317593</v>
      </c>
      <c r="AB59" s="17">
        <f t="shared" si="80"/>
        <v>4.8082855456417061E-3</v>
      </c>
      <c r="AC59" s="66" t="str">
        <f t="shared" si="81"/>
        <v>4.05765335490813-35.6994084261718i</v>
      </c>
      <c r="AD59" s="64">
        <f t="shared" si="82"/>
        <v>31.108967431246199</v>
      </c>
      <c r="AE59" s="61">
        <f t="shared" si="83"/>
        <v>-83.515496471948893</v>
      </c>
      <c r="AF59" s="31" t="str">
        <f t="shared" si="84"/>
        <v>-1512.12121212121</v>
      </c>
      <c r="AG59" s="31" t="str">
        <f t="shared" si="85"/>
        <v>161.502730159297i</v>
      </c>
      <c r="AH59" s="31">
        <f t="shared" si="86"/>
        <v>161.50273015929699</v>
      </c>
      <c r="AI59" s="31">
        <f t="shared" si="87"/>
        <v>1.5707963267948966</v>
      </c>
      <c r="AJ59" s="31" t="str">
        <f t="shared" si="67"/>
        <v>0.999886609113911+0.222593883388464i</v>
      </c>
      <c r="AK59" s="31">
        <f t="shared" si="88"/>
        <v>1.0243638357572333</v>
      </c>
      <c r="AL59" s="31">
        <f t="shared" si="89"/>
        <v>0.21904714037261705</v>
      </c>
      <c r="AM59" s="31" t="str">
        <f t="shared" si="68"/>
        <v>1+1.10855473981341i</v>
      </c>
      <c r="AN59" s="31">
        <f t="shared" si="90"/>
        <v>1.4929479599647058</v>
      </c>
      <c r="AO59" s="31">
        <f t="shared" si="91"/>
        <v>0.83683575801360732</v>
      </c>
      <c r="AP59" s="31" t="str">
        <f t="shared" si="69"/>
        <v>1+0.0426367207620544i</v>
      </c>
      <c r="AQ59" s="31">
        <f t="shared" si="92"/>
        <v>1.0009085322632341</v>
      </c>
      <c r="AR59" s="31">
        <f t="shared" si="93"/>
        <v>4.2610912617202755E-2</v>
      </c>
      <c r="AS59" s="58" t="str">
        <f t="shared" si="94"/>
        <v>-8.3783460078841+10.7864779734469i</v>
      </c>
      <c r="AT59" s="49">
        <f t="shared" si="95"/>
        <v>22.70783121595505</v>
      </c>
      <c r="AU59" s="61">
        <f t="shared" si="96"/>
        <v>127.83810587621672</v>
      </c>
      <c r="AV59" s="58" t="str">
        <f t="shared" si="70"/>
        <v>351.074458866515+342.86978460784i</v>
      </c>
      <c r="AW59" s="64">
        <f t="shared" si="97"/>
        <v>53.81679864720126</v>
      </c>
      <c r="AX59" s="61">
        <f t="shared" si="98"/>
        <v>44.322609404267787</v>
      </c>
    </row>
    <row r="60" spans="1:50" x14ac:dyDescent="0.25">
      <c r="N60" s="10">
        <v>42</v>
      </c>
      <c r="O60" s="50">
        <f t="shared" si="71"/>
        <v>26.302679918953825</v>
      </c>
      <c r="P60" s="48" t="str">
        <f t="shared" si="72"/>
        <v>304.285714285714</v>
      </c>
      <c r="Q60" s="17" t="str">
        <f t="shared" si="63"/>
        <v>1+8.60556443946666i</v>
      </c>
      <c r="R60" s="17">
        <f t="shared" si="73"/>
        <v>8.6634715513939984</v>
      </c>
      <c r="S60" s="17">
        <f t="shared" si="74"/>
        <v>1.4551112938313666</v>
      </c>
      <c r="T60" s="17" t="str">
        <f t="shared" si="64"/>
        <v>1+0.000178485780966715i</v>
      </c>
      <c r="U60" s="17">
        <f t="shared" si="75"/>
        <v>1.0000000159285869</v>
      </c>
      <c r="V60" s="17">
        <f t="shared" si="76"/>
        <v>1.7848577907136418E-4</v>
      </c>
      <c r="W60" s="31" t="str">
        <f t="shared" si="65"/>
        <v>1-0.000557768065520986i</v>
      </c>
      <c r="X60" s="17">
        <f t="shared" si="77"/>
        <v>1.0000001555525955</v>
      </c>
      <c r="Y60" s="17">
        <f t="shared" si="78"/>
        <v>-5.5776800767947884E-4</v>
      </c>
      <c r="Z60" s="31" t="str">
        <f t="shared" si="66"/>
        <v>0.999999956560853+0.00492032261833152i</v>
      </c>
      <c r="AA60" s="17">
        <f t="shared" si="79"/>
        <v>1.0000120612754511</v>
      </c>
      <c r="AB60" s="17">
        <f t="shared" si="80"/>
        <v>4.9202831263317854E-3</v>
      </c>
      <c r="AC60" s="66" t="str">
        <f t="shared" si="81"/>
        <v>3.86913615815521-34.9086558422365i</v>
      </c>
      <c r="AD60" s="64">
        <f t="shared" si="82"/>
        <v>30.911688923226489</v>
      </c>
      <c r="AE60" s="61">
        <f t="shared" si="83"/>
        <v>-83.675378586449739</v>
      </c>
      <c r="AF60" s="31" t="str">
        <f t="shared" si="84"/>
        <v>-1512.12121212121</v>
      </c>
      <c r="AG60" s="31" t="str">
        <f t="shared" si="85"/>
        <v>165.264612006218i</v>
      </c>
      <c r="AH60" s="31">
        <f t="shared" si="86"/>
        <v>165.26461200621799</v>
      </c>
      <c r="AI60" s="31">
        <f t="shared" si="87"/>
        <v>1.5707963267948966</v>
      </c>
      <c r="AJ60" s="31" t="str">
        <f t="shared" si="67"/>
        <v>0.999881265166087+0.227778760995974i</v>
      </c>
      <c r="AK60" s="31">
        <f t="shared" si="88"/>
        <v>1.0254977856587482</v>
      </c>
      <c r="AL60" s="31">
        <f t="shared" si="89"/>
        <v>0.22398344209545989</v>
      </c>
      <c r="AM60" s="31" t="str">
        <f t="shared" si="68"/>
        <v>1+1.13437629681068i</v>
      </c>
      <c r="AN60" s="31">
        <f t="shared" si="90"/>
        <v>1.5122200841034719</v>
      </c>
      <c r="AO60" s="31">
        <f t="shared" si="91"/>
        <v>0.84827328741443009</v>
      </c>
      <c r="AP60" s="31" t="str">
        <f t="shared" si="69"/>
        <v>1+0.0436298575696415i</v>
      </c>
      <c r="AQ60" s="31">
        <f t="shared" si="92"/>
        <v>1.0009513297216539</v>
      </c>
      <c r="AR60" s="31">
        <f t="shared" si="93"/>
        <v>4.3602205063518133E-2</v>
      </c>
      <c r="AS60" s="58" t="str">
        <f t="shared" si="94"/>
        <v>-8.36418711464327+10.6032976699143i</v>
      </c>
      <c r="AT60" s="49">
        <f t="shared" si="95"/>
        <v>22.609999460282275</v>
      </c>
      <c r="AU60" s="61">
        <f t="shared" si="96"/>
        <v>128.26739565725575</v>
      </c>
      <c r="AV60" s="58" t="str">
        <f t="shared" si="70"/>
        <v>337.784690352984+333.008131795499i</v>
      </c>
      <c r="AW60" s="64">
        <f t="shared" si="97"/>
        <v>53.52168838350876</v>
      </c>
      <c r="AX60" s="61">
        <f t="shared" si="98"/>
        <v>44.592017070806008</v>
      </c>
    </row>
    <row r="61" spans="1:50" ht="15.75" x14ac:dyDescent="0.25">
      <c r="A61" s="51" t="s">
        <v>215</v>
      </c>
      <c r="N61" s="10">
        <v>43</v>
      </c>
      <c r="O61" s="50">
        <f t="shared" si="71"/>
        <v>26.915348039269158</v>
      </c>
      <c r="P61" s="48" t="str">
        <f t="shared" si="72"/>
        <v>304.285714285714</v>
      </c>
      <c r="Q61" s="17" t="str">
        <f t="shared" si="63"/>
        <v>1+8.8060137855267i</v>
      </c>
      <c r="R61" s="17">
        <f t="shared" si="73"/>
        <v>8.8626112851058902</v>
      </c>
      <c r="S61" s="17">
        <f t="shared" si="74"/>
        <v>1.4577219608458529</v>
      </c>
      <c r="T61" s="17" t="str">
        <f t="shared" si="64"/>
        <v>1+0.000182643248884998i</v>
      </c>
      <c r="U61" s="17">
        <f t="shared" si="75"/>
        <v>1.000000016679278</v>
      </c>
      <c r="V61" s="17">
        <f t="shared" si="76"/>
        <v>1.8264324685409301E-4</v>
      </c>
      <c r="W61" s="31" t="str">
        <f t="shared" si="65"/>
        <v>1-0.000570760152765619i</v>
      </c>
      <c r="X61" s="17">
        <f t="shared" si="77"/>
        <v>1.0000001628835626</v>
      </c>
      <c r="Y61" s="17">
        <f t="shared" si="78"/>
        <v>-5.7076009078732798E-4</v>
      </c>
      <c r="Z61" s="31" t="str">
        <f t="shared" si="66"/>
        <v>0.999999954513629+0.00503493165509914i</v>
      </c>
      <c r="AA61" s="17">
        <f t="shared" si="79"/>
        <v>1.0000126297022611</v>
      </c>
      <c r="AB61" s="17">
        <f t="shared" si="80"/>
        <v>5.0348893386878875E-3</v>
      </c>
      <c r="AC61" s="66" t="str">
        <f t="shared" si="81"/>
        <v>3.68888251674276-34.1344649731613i</v>
      </c>
      <c r="AD61" s="64">
        <f t="shared" si="82"/>
        <v>30.714289098071937</v>
      </c>
      <c r="AE61" s="61">
        <f t="shared" si="83"/>
        <v>-83.832031426539544</v>
      </c>
      <c r="AF61" s="31" t="str">
        <f t="shared" si="84"/>
        <v>-1512.12121212121</v>
      </c>
      <c r="AG61" s="31" t="str">
        <f t="shared" si="85"/>
        <v>169.114119337961i</v>
      </c>
      <c r="AH61" s="31">
        <f t="shared" si="86"/>
        <v>169.114119337961</v>
      </c>
      <c r="AI61" s="31">
        <f t="shared" si="87"/>
        <v>1.5707963267948966</v>
      </c>
      <c r="AJ61" s="31" t="str">
        <f t="shared" si="67"/>
        <v>0.999875669365762+0.233084409917573i</v>
      </c>
      <c r="AK61" s="31">
        <f t="shared" si="88"/>
        <v>1.0266838346522527</v>
      </c>
      <c r="AL61" s="31">
        <f t="shared" si="89"/>
        <v>0.22902333909012307</v>
      </c>
      <c r="AM61" s="31" t="str">
        <f t="shared" si="68"/>
        <v>1+1.16079931513576i</v>
      </c>
      <c r="AN61" s="31">
        <f t="shared" si="90"/>
        <v>1.5321406756625351</v>
      </c>
      <c r="AO61" s="31">
        <f t="shared" si="91"/>
        <v>0.8596778385314644</v>
      </c>
      <c r="AP61" s="31" t="str">
        <f t="shared" si="69"/>
        <v>1+0.0446461275052217i</v>
      </c>
      <c r="AQ61" s="31">
        <f t="shared" si="92"/>
        <v>1.0009961422009639</v>
      </c>
      <c r="AR61" s="31">
        <f t="shared" si="93"/>
        <v>4.4616498903373637E-2</v>
      </c>
      <c r="AS61" s="58" t="str">
        <f t="shared" si="94"/>
        <v>-8.34942786261526+10.425451568836i</v>
      </c>
      <c r="AT61" s="49">
        <f t="shared" si="95"/>
        <v>22.51402119171</v>
      </c>
      <c r="AU61" s="61">
        <f t="shared" si="96"/>
        <v>128.69017823273768</v>
      </c>
      <c r="AV61" s="58" t="str">
        <f t="shared" si="70"/>
        <v>325.067152938616+323.461518943805i</v>
      </c>
      <c r="AW61" s="64">
        <f t="shared" si="97"/>
        <v>53.228310289781938</v>
      </c>
      <c r="AX61" s="61">
        <f t="shared" si="98"/>
        <v>44.858146806198093</v>
      </c>
    </row>
    <row r="62" spans="1:50" x14ac:dyDescent="0.25">
      <c r="A62" s="31" t="s">
        <v>180</v>
      </c>
      <c r="N62" s="10">
        <v>44</v>
      </c>
      <c r="O62" s="50">
        <f t="shared" si="71"/>
        <v>27.542287033381665</v>
      </c>
      <c r="P62" s="48" t="str">
        <f t="shared" si="72"/>
        <v>304.285714285714</v>
      </c>
      <c r="Q62" s="17" t="str">
        <f t="shared" si="63"/>
        <v>1+9.01113219665721i</v>
      </c>
      <c r="R62" s="17">
        <f t="shared" si="73"/>
        <v>9.0664493306714178</v>
      </c>
      <c r="S62" s="17">
        <f t="shared" si="74"/>
        <v>1.4602746984450881</v>
      </c>
      <c r="T62" s="17" t="str">
        <f t="shared" si="64"/>
        <v>1+0.000186897556671408i</v>
      </c>
      <c r="U62" s="17">
        <f t="shared" si="75"/>
        <v>1.0000000174653483</v>
      </c>
      <c r="V62" s="17">
        <f t="shared" si="76"/>
        <v>1.868975544952541E-4</v>
      </c>
      <c r="W62" s="31" t="str">
        <f t="shared" si="65"/>
        <v>1-0.000584054864598152i</v>
      </c>
      <c r="X62" s="17">
        <f t="shared" si="77"/>
        <v>1.0000001705600279</v>
      </c>
      <c r="Y62" s="17">
        <f t="shared" si="78"/>
        <v>-5.8405479818721736E-4</v>
      </c>
      <c r="Z62" s="31" t="str">
        <f t="shared" si="66"/>
        <v>0.999999952369922+0.0051522102792755i</v>
      </c>
      <c r="AA62" s="17">
        <f t="shared" si="79"/>
        <v>1.0000132249178548</v>
      </c>
      <c r="AB62" s="17">
        <f t="shared" si="80"/>
        <v>5.1521649364563021E-3</v>
      </c>
      <c r="AC62" s="66" t="str">
        <f t="shared" si="81"/>
        <v>3.51653960427382-33.376552032241i</v>
      </c>
      <c r="AD62" s="64">
        <f t="shared" si="82"/>
        <v>30.516773256878626</v>
      </c>
      <c r="AE62" s="61">
        <f t="shared" si="83"/>
        <v>-83.98552989072337</v>
      </c>
      <c r="AF62" s="31" t="str">
        <f t="shared" si="84"/>
        <v>-1512.12121212121</v>
      </c>
      <c r="AG62" s="31" t="str">
        <f t="shared" si="85"/>
        <v>173.053293214267i</v>
      </c>
      <c r="AH62" s="31">
        <f t="shared" si="86"/>
        <v>173.053293214267</v>
      </c>
      <c r="AI62" s="31">
        <f t="shared" si="87"/>
        <v>1.5707963267948966</v>
      </c>
      <c r="AJ62" s="31" t="str">
        <f t="shared" si="67"/>
        <v>0.999869809843492+0.238513643278548i</v>
      </c>
      <c r="AK62" s="31">
        <f t="shared" si="88"/>
        <v>1.0279243136858216</v>
      </c>
      <c r="AL62" s="31">
        <f t="shared" si="89"/>
        <v>0.2341684863925087</v>
      </c>
      <c r="AM62" s="31" t="str">
        <f t="shared" si="68"/>
        <v>1+1.18783780462273i</v>
      </c>
      <c r="AN62" s="31">
        <f t="shared" si="90"/>
        <v>1.5527261993316617</v>
      </c>
      <c r="AO62" s="31">
        <f t="shared" si="91"/>
        <v>0.87104359255697406</v>
      </c>
      <c r="AP62" s="31" t="str">
        <f t="shared" si="69"/>
        <v>1+0.0456860694085665i</v>
      </c>
      <c r="AQ62" s="31">
        <f t="shared" si="92"/>
        <v>1.0010430644772503</v>
      </c>
      <c r="AR62" s="31">
        <f t="shared" si="93"/>
        <v>4.5654323576056643E-2</v>
      </c>
      <c r="AS62" s="58" t="str">
        <f t="shared" si="94"/>
        <v>-8.33404590747723+10.25282692281i</v>
      </c>
      <c r="AT62" s="49">
        <f t="shared" si="95"/>
        <v>22.419864815689522</v>
      </c>
      <c r="AU62" s="61">
        <f t="shared" si="96"/>
        <v>129.10605571760254</v>
      </c>
      <c r="AV62" s="58" t="str">
        <f t="shared" si="70"/>
        <v>312.89700876925+314.216188799825i</v>
      </c>
      <c r="AW62" s="64">
        <f t="shared" si="97"/>
        <v>52.936638072568158</v>
      </c>
      <c r="AX62" s="61">
        <f t="shared" si="98"/>
        <v>45.120525826879131</v>
      </c>
    </row>
    <row r="63" spans="1:50" x14ac:dyDescent="0.25">
      <c r="A63" s="31" t="s">
        <v>178</v>
      </c>
      <c r="B63" s="3">
        <f>RFBT_iso</f>
        <v>30000</v>
      </c>
      <c r="C63" s="2" t="s">
        <v>35</v>
      </c>
      <c r="E63" s="31" t="s">
        <v>181</v>
      </c>
      <c r="N63" s="10">
        <v>45</v>
      </c>
      <c r="O63" s="50">
        <f t="shared" si="71"/>
        <v>28.183829312644548</v>
      </c>
      <c r="P63" s="48" t="str">
        <f t="shared" si="72"/>
        <v>304.285714285714</v>
      </c>
      <c r="Q63" s="17" t="str">
        <f t="shared" si="63"/>
        <v>1+9.2210284293548i</v>
      </c>
      <c r="R63" s="17">
        <f t="shared" si="73"/>
        <v>9.2750938159659295</v>
      </c>
      <c r="S63" s="17">
        <f t="shared" si="74"/>
        <v>1.4627707269735335</v>
      </c>
      <c r="T63" s="17" t="str">
        <f t="shared" si="64"/>
        <v>1+0.000191250960016247i</v>
      </c>
      <c r="U63" s="17">
        <f t="shared" si="75"/>
        <v>1.0000000182884647</v>
      </c>
      <c r="V63" s="17">
        <f t="shared" si="76"/>
        <v>1.9125095768445608E-4</v>
      </c>
      <c r="W63" s="31" t="str">
        <f t="shared" si="65"/>
        <v>1-0.000597659250050773i</v>
      </c>
      <c r="X63" s="17">
        <f t="shared" si="77"/>
        <v>1.0000001785982737</v>
      </c>
      <c r="Y63" s="17">
        <f t="shared" si="78"/>
        <v>-5.9765917889017508E-4</v>
      </c>
      <c r="Z63" s="31" t="str">
        <f t="shared" si="66"/>
        <v>0.999999950125186+0.00527222067353949i</v>
      </c>
      <c r="AA63" s="17">
        <f t="shared" si="79"/>
        <v>1.0000138481847165</v>
      </c>
      <c r="AB63" s="17">
        <f t="shared" si="80"/>
        <v>5.2721720878697005E-3</v>
      </c>
      <c r="AC63" s="66" t="str">
        <f t="shared" si="81"/>
        <v>3.35176884029288-32.6346337562363i</v>
      </c>
      <c r="AD63" s="64">
        <f t="shared" si="82"/>
        <v>30.319146473200838</v>
      </c>
      <c r="AE63" s="61">
        <f t="shared" si="83"/>
        <v>-84.135947736202809</v>
      </c>
      <c r="AF63" s="31" t="str">
        <f t="shared" si="84"/>
        <v>-1512.12121212121</v>
      </c>
      <c r="AG63" s="31" t="str">
        <f t="shared" si="85"/>
        <v>177.084222237266i</v>
      </c>
      <c r="AH63" s="31">
        <f t="shared" si="86"/>
        <v>177.084222237266</v>
      </c>
      <c r="AI63" s="31">
        <f t="shared" si="87"/>
        <v>1.5707963267948966</v>
      </c>
      <c r="AJ63" s="31" t="str">
        <f t="shared" si="67"/>
        <v>0.999863674170445+0.244069339730289i</v>
      </c>
      <c r="AK63" s="31">
        <f t="shared" si="88"/>
        <v>1.0292216522800135</v>
      </c>
      <c r="AL63" s="31">
        <f t="shared" si="89"/>
        <v>0.23942052980097664</v>
      </c>
      <c r="AM63" s="31" t="str">
        <f t="shared" si="68"/>
        <v>1+1.21550610143659i</v>
      </c>
      <c r="AN63" s="31">
        <f t="shared" si="90"/>
        <v>1.5739933553320919</v>
      </c>
      <c r="AO63" s="31">
        <f t="shared" si="91"/>
        <v>0.8823648307462536</v>
      </c>
      <c r="AP63" s="31" t="str">
        <f t="shared" si="69"/>
        <v>1+0.0467502346706382i</v>
      </c>
      <c r="AQ63" s="31">
        <f t="shared" si="92"/>
        <v>1.0010921957750742</v>
      </c>
      <c r="AR63" s="31">
        <f t="shared" si="93"/>
        <v>4.6716220402294395E-2</v>
      </c>
      <c r="AS63" s="58" t="str">
        <f t="shared" si="94"/>
        <v>-8.31801835616753+10.0853126710025i</v>
      </c>
      <c r="AT63" s="49">
        <f t="shared" si="95"/>
        <v>22.327495873231232</v>
      </c>
      <c r="AU63" s="61">
        <f t="shared" si="96"/>
        <v>129.51463717000786</v>
      </c>
      <c r="AV63" s="58" t="str">
        <f t="shared" si="70"/>
        <v>301.250410596109+305.259119386455i</v>
      </c>
      <c r="AW63" s="64">
        <f t="shared" si="97"/>
        <v>52.64664234643206</v>
      </c>
      <c r="AX63" s="61">
        <f t="shared" si="98"/>
        <v>45.378689433805029</v>
      </c>
    </row>
    <row r="64" spans="1:50" x14ac:dyDescent="0.25">
      <c r="A64" s="31" t="s">
        <v>179</v>
      </c>
      <c r="B64" s="3">
        <f>RFBB_iso</f>
        <v>9890</v>
      </c>
      <c r="C64" s="2" t="s">
        <v>35</v>
      </c>
      <c r="E64" s="31" t="s">
        <v>182</v>
      </c>
      <c r="N64" s="10">
        <v>46</v>
      </c>
      <c r="O64" s="50">
        <f t="shared" si="71"/>
        <v>28.840315031266066</v>
      </c>
      <c r="P64" s="48" t="str">
        <f t="shared" si="72"/>
        <v>304.285714285714</v>
      </c>
      <c r="Q64" s="17" t="str">
        <f t="shared" si="63"/>
        <v>1+9.43581377338038i</v>
      </c>
      <c r="R64" s="17">
        <f t="shared" si="73"/>
        <v>9.4886554140149322</v>
      </c>
      <c r="S64" s="17">
        <f t="shared" si="74"/>
        <v>1.4652112453857367</v>
      </c>
      <c r="T64" s="17" t="str">
        <f t="shared" si="64"/>
        <v>1+0.000195705767151593i</v>
      </c>
      <c r="U64" s="17">
        <f t="shared" si="75"/>
        <v>1.0000000191503735</v>
      </c>
      <c r="V64" s="17">
        <f t="shared" si="76"/>
        <v>1.9570576465303402E-4</v>
      </c>
      <c r="W64" s="31" t="str">
        <f t="shared" si="65"/>
        <v>1-0.000611580522348727i</v>
      </c>
      <c r="X64" s="17">
        <f t="shared" si="77"/>
        <v>1.0000001870153501</v>
      </c>
      <c r="Y64" s="17">
        <f t="shared" si="78"/>
        <v>-6.1158044609877329E-4</v>
      </c>
      <c r="Z64" s="31" t="str">
        <f t="shared" si="66"/>
        <v>0.999999947774658+0.00539502646899068i</v>
      </c>
      <c r="AA64" s="17">
        <f t="shared" si="79"/>
        <v>1.0000145008248229</v>
      </c>
      <c r="AB64" s="17">
        <f t="shared" si="80"/>
        <v>5.3949744085483179E-3</v>
      </c>
      <c r="AC64" s="66" t="str">
        <f t="shared" si="81"/>
        <v>3.19424538704778-31.9084277593258i</v>
      </c>
      <c r="AD64" s="64">
        <f t="shared" si="82"/>
        <v>30.12141360221985</v>
      </c>
      <c r="AE64" s="61">
        <f t="shared" si="83"/>
        <v>-84.283357583954029</v>
      </c>
      <c r="AF64" s="31" t="str">
        <f t="shared" si="84"/>
        <v>-1512.12121212121</v>
      </c>
      <c r="AG64" s="31" t="str">
        <f t="shared" si="85"/>
        <v>181.209043658882i</v>
      </c>
      <c r="AH64" s="31">
        <f t="shared" si="86"/>
        <v>181.209043658882</v>
      </c>
      <c r="AI64" s="31">
        <f t="shared" si="87"/>
        <v>1.5707963267948966</v>
      </c>
      <c r="AJ64" s="31" t="str">
        <f t="shared" si="67"/>
        <v>0.999857249332036+0.249754444976596i</v>
      </c>
      <c r="AK64" s="31">
        <f t="shared" si="88"/>
        <v>1.0305783821851655</v>
      </c>
      <c r="AL64" s="31">
        <f t="shared" si="89"/>
        <v>0.24478110295415595</v>
      </c>
      <c r="AM64" s="31" t="str">
        <f t="shared" si="68"/>
        <v>1+1.24381887567456i</v>
      </c>
      <c r="AN64" s="31">
        <f t="shared" si="90"/>
        <v>1.5959590832738559</v>
      </c>
      <c r="AO64" s="31">
        <f t="shared" si="91"/>
        <v>0.89363594815719072</v>
      </c>
      <c r="AP64" s="31" t="str">
        <f t="shared" si="69"/>
        <v>1+0.0478391875259448i</v>
      </c>
      <c r="AQ64" s="31">
        <f t="shared" si="92"/>
        <v>1.0011436399753746</v>
      </c>
      <c r="AR64" s="31">
        <f t="shared" si="93"/>
        <v>4.7802742829020708E-2</v>
      </c>
      <c r="AS64" s="58" t="str">
        <f t="shared" si="94"/>
        <v>-8.30132178038446+9.92279932826346i</v>
      </c>
      <c r="AT64" s="49">
        <f t="shared" si="95"/>
        <v>22.236877093581668</v>
      </c>
      <c r="AU64" s="61">
        <f t="shared" si="96"/>
        <v>129.91553956000033</v>
      </c>
      <c r="AV64" s="58" t="str">
        <f t="shared" si="70"/>
        <v>290.104466732789+296.577982317222i</v>
      </c>
      <c r="AW64" s="64">
        <f t="shared" si="97"/>
        <v>52.358290695801522</v>
      </c>
      <c r="AX64" s="61">
        <f t="shared" si="98"/>
        <v>45.632181976046311</v>
      </c>
    </row>
    <row r="65" spans="1:50" x14ac:dyDescent="0.25">
      <c r="A65" s="31" t="s">
        <v>168</v>
      </c>
      <c r="B65" s="3">
        <f>Rcomp_iso</f>
        <v>1200</v>
      </c>
      <c r="C65" s="2" t="s">
        <v>35</v>
      </c>
      <c r="E65" s="31" t="s">
        <v>175</v>
      </c>
      <c r="N65" s="10">
        <v>47</v>
      </c>
      <c r="O65" s="50">
        <f t="shared" si="71"/>
        <v>29.512092266663863</v>
      </c>
      <c r="P65" s="48" t="str">
        <f t="shared" si="72"/>
        <v>304.285714285714</v>
      </c>
      <c r="Q65" s="17" t="str">
        <f t="shared" si="63"/>
        <v>1+9.65560211076635i</v>
      </c>
      <c r="R65" s="17">
        <f t="shared" si="73"/>
        <v>9.7072474018866757</v>
      </c>
      <c r="S65" s="17">
        <f t="shared" si="74"/>
        <v>1.4675974313251603</v>
      </c>
      <c r="T65" s="17" t="str">
        <f t="shared" si="64"/>
        <v>1+0.000200264340075153i</v>
      </c>
      <c r="U65" s="17">
        <f t="shared" si="75"/>
        <v>1.0000000200529029</v>
      </c>
      <c r="V65" s="17">
        <f t="shared" si="76"/>
        <v>2.0026433739789881E-4</v>
      </c>
      <c r="W65" s="31" t="str">
        <f t="shared" si="65"/>
        <v>1-0.000625826062734855i</v>
      </c>
      <c r="X65" s="17">
        <f t="shared" si="77"/>
        <v>1.0000001958291111</v>
      </c>
      <c r="Y65" s="17">
        <f t="shared" si="78"/>
        <v>-6.2582598103155839E-4</v>
      </c>
      <c r="Z65" s="31" t="str">
        <f t="shared" si="66"/>
        <v>0.999999945313354+0.00552069277888733i</v>
      </c>
      <c r="AA65" s="17">
        <f t="shared" si="79"/>
        <v>1.0000151842224545</v>
      </c>
      <c r="AB65" s="17">
        <f t="shared" si="80"/>
        <v>5.520636995164043E-3</v>
      </c>
      <c r="AC65" s="66" t="str">
        <f t="shared" si="81"/>
        <v>3.04365765749698-31.1976528577501i</v>
      </c>
      <c r="AD65" s="64">
        <f t="shared" si="82"/>
        <v>29.923579289584925</v>
      </c>
      <c r="AE65" s="61">
        <f t="shared" si="83"/>
        <v>-84.427830925321913</v>
      </c>
      <c r="AF65" s="31" t="str">
        <f t="shared" si="84"/>
        <v>-1512.12121212121</v>
      </c>
      <c r="AG65" s="31" t="str">
        <f t="shared" si="85"/>
        <v>185.429944514031i</v>
      </c>
      <c r="AH65" s="31">
        <f t="shared" si="86"/>
        <v>185.42994451403101</v>
      </c>
      <c r="AI65" s="31">
        <f t="shared" si="87"/>
        <v>1.5707963267948966</v>
      </c>
      <c r="AJ65" s="31" t="str">
        <f t="shared" si="67"/>
        <v>0.999850521700322+0.25557197333552i</v>
      </c>
      <c r="AK65" s="31">
        <f t="shared" si="88"/>
        <v>1.031997141129285</v>
      </c>
      <c r="AL65" s="31">
        <f t="shared" si="89"/>
        <v>0.25025182422209952</v>
      </c>
      <c r="AM65" s="31" t="str">
        <f t="shared" si="68"/>
        <v>1+1.27279113914431i</v>
      </c>
      <c r="AN65" s="31">
        <f t="shared" si="90"/>
        <v>1.6186405666126962</v>
      </c>
      <c r="AO65" s="31">
        <f t="shared" si="91"/>
        <v>0.90485146669243988</v>
      </c>
      <c r="AP65" s="31" t="str">
        <f t="shared" si="69"/>
        <v>1+0.0489535053517042i</v>
      </c>
      <c r="AQ65" s="31">
        <f t="shared" si="92"/>
        <v>1.0011975058329996</v>
      </c>
      <c r="AR65" s="31">
        <f t="shared" si="93"/>
        <v>4.8914456677586399E-2</v>
      </c>
      <c r="AS65" s="58" t="str">
        <f t="shared" si="94"/>
        <v>-8.2839322333306+9.76517887388944i</v>
      </c>
      <c r="AT65" s="49">
        <f t="shared" si="95"/>
        <v>22.147968455344138</v>
      </c>
      <c r="AU65" s="61">
        <f t="shared" si="96"/>
        <v>130.30838870912424</v>
      </c>
      <c r="AV65" s="58" t="str">
        <f t="shared" si="70"/>
        <v>279.437206825275+288.161103568916i</v>
      </c>
      <c r="AW65" s="64">
        <f t="shared" si="97"/>
        <v>52.07154774492907</v>
      </c>
      <c r="AX65" s="61">
        <f t="shared" si="98"/>
        <v>45.880557783802359</v>
      </c>
    </row>
    <row r="66" spans="1:50" x14ac:dyDescent="0.25">
      <c r="A66" s="31" t="s">
        <v>173</v>
      </c>
      <c r="B66" s="3">
        <f>Ccomp_iso</f>
        <v>2.2000000000000001E-7</v>
      </c>
      <c r="C66" s="2" t="s">
        <v>151</v>
      </c>
      <c r="E66" s="31" t="s">
        <v>176</v>
      </c>
      <c r="N66" s="10">
        <v>48</v>
      </c>
      <c r="O66" s="50">
        <f t="shared" si="71"/>
        <v>30.199517204020164</v>
      </c>
      <c r="P66" s="48" t="str">
        <f t="shared" si="72"/>
        <v>304.285714285714</v>
      </c>
      <c r="Q66" s="17" t="str">
        <f t="shared" si="63"/>
        <v>1+9.88050997619847i</v>
      </c>
      <c r="R66" s="17">
        <f t="shared" si="73"/>
        <v>9.9309857209522505</v>
      </c>
      <c r="S66" s="17">
        <f t="shared" si="74"/>
        <v>1.4699304412265124</v>
      </c>
      <c r="T66" s="17" t="str">
        <f t="shared" si="64"/>
        <v>1+0.000204929095802634i</v>
      </c>
      <c r="U66" s="17">
        <f t="shared" si="75"/>
        <v>1.0000000209979669</v>
      </c>
      <c r="V66" s="17">
        <f t="shared" si="76"/>
        <v>2.0492909293390446E-4</v>
      </c>
      <c r="W66" s="31" t="str">
        <f t="shared" si="65"/>
        <v>1-0.000640403424383233i</v>
      </c>
      <c r="X66" s="17">
        <f t="shared" si="77"/>
        <v>1.0000002050582519</v>
      </c>
      <c r="Y66" s="17">
        <f t="shared" si="78"/>
        <v>-6.4040333683657437E-4</v>
      </c>
      <c r="Z66" s="31" t="str">
        <f t="shared" si="66"/>
        <v>0.999999942736052+0.00564928623317037i</v>
      </c>
      <c r="AA66" s="17">
        <f t="shared" si="79"/>
        <v>1.0000158998271236</v>
      </c>
      <c r="AB66" s="17">
        <f t="shared" si="80"/>
        <v>5.6492264598852768E-3</v>
      </c>
      <c r="AC66" s="66" t="str">
        <f t="shared" si="81"/>
        <v>2.89970683496804-30.5020293669068i</v>
      </c>
      <c r="AD66" s="64">
        <f t="shared" si="82"/>
        <v>29.725647979933896</v>
      </c>
      <c r="AE66" s="61">
        <f t="shared" si="83"/>
        <v>-84.569438130009388</v>
      </c>
      <c r="AF66" s="31" t="str">
        <f t="shared" si="84"/>
        <v>-1512.12121212121</v>
      </c>
      <c r="AG66" s="31" t="str">
        <f t="shared" si="85"/>
        <v>189.749162780217i</v>
      </c>
      <c r="AH66" s="31">
        <f t="shared" si="86"/>
        <v>189.74916278021701</v>
      </c>
      <c r="AI66" s="31">
        <f t="shared" si="87"/>
        <v>1.5707963267948966</v>
      </c>
      <c r="AJ66" s="31" t="str">
        <f t="shared" si="67"/>
        <v>0.999843477005093+0.261525009337601i</v>
      </c>
      <c r="AK66" s="31">
        <f t="shared" si="88"/>
        <v>1.0334806766547047</v>
      </c>
      <c r="AL66" s="31">
        <f t="shared" si="89"/>
        <v>0.25583429340532726</v>
      </c>
      <c r="AM66" s="31" t="str">
        <f t="shared" si="68"/>
        <v>1+1.30243825332341i</v>
      </c>
      <c r="AN66" s="31">
        <f t="shared" si="90"/>
        <v>1.6420552377189188</v>
      </c>
      <c r="AO66" s="31">
        <f t="shared" si="91"/>
        <v>0.91600604737598768</v>
      </c>
      <c r="AP66" s="31" t="str">
        <f t="shared" si="69"/>
        <v>1+0.0500937789739773i</v>
      </c>
      <c r="AQ66" s="31">
        <f t="shared" si="92"/>
        <v>1.0012539072043083</v>
      </c>
      <c r="AR66" s="31">
        <f t="shared" si="93"/>
        <v>5.0051940395336864E-2</v>
      </c>
      <c r="AS66" s="58" t="str">
        <f t="shared" si="94"/>
        <v>-8.26582526996472+9.61234464011339i</v>
      </c>
      <c r="AT66" s="49">
        <f t="shared" si="95"/>
        <v>22.060727255518053</v>
      </c>
      <c r="AU66" s="61">
        <f t="shared" si="96"/>
        <v>130.6928201973611</v>
      </c>
      <c r="AV66" s="58" t="str">
        <f t="shared" si="70"/>
        <v>269.2275484656+279.997426579189i</v>
      </c>
      <c r="AW66" s="64">
        <f t="shared" si="97"/>
        <v>51.786375235451949</v>
      </c>
      <c r="AX66" s="61">
        <f t="shared" si="98"/>
        <v>46.123382067351614</v>
      </c>
    </row>
    <row r="67" spans="1:50" x14ac:dyDescent="0.25">
      <c r="A67" s="31" t="s">
        <v>174</v>
      </c>
      <c r="B67" s="3">
        <f>CHF</f>
        <v>7.2E-10</v>
      </c>
      <c r="C67" s="2" t="s">
        <v>151</v>
      </c>
      <c r="E67" s="31" t="s">
        <v>177</v>
      </c>
      <c r="N67" s="10">
        <v>49</v>
      </c>
      <c r="O67" s="50">
        <f t="shared" si="71"/>
        <v>30.902954325135919</v>
      </c>
      <c r="P67" s="48" t="str">
        <f t="shared" si="72"/>
        <v>304.285714285714</v>
      </c>
      <c r="Q67" s="17" t="str">
        <f t="shared" si="63"/>
        <v>1+10.110656618804i</v>
      </c>
      <c r="R67" s="17">
        <f t="shared" si="73"/>
        <v>10.15998903854552</v>
      </c>
      <c r="S67" s="17">
        <f t="shared" si="74"/>
        <v>1.4722114104395549</v>
      </c>
      <c r="T67" s="17" t="str">
        <f t="shared" si="64"/>
        <v>1+0.000209702507649267i</v>
      </c>
      <c r="U67" s="17">
        <f t="shared" si="75"/>
        <v>1.0000000219875707</v>
      </c>
      <c r="V67" s="17">
        <f t="shared" si="76"/>
        <v>2.0970250457536793E-4</v>
      </c>
      <c r="W67" s="31" t="str">
        <f t="shared" si="65"/>
        <v>1-0.00065532033640396i</v>
      </c>
      <c r="X67" s="17">
        <f t="shared" si="77"/>
        <v>1.0000002147223486</v>
      </c>
      <c r="Y67" s="17">
        <f t="shared" si="78"/>
        <v>-6.553202425960262E-4</v>
      </c>
      <c r="Z67" s="31" t="str">
        <f t="shared" si="66"/>
        <v>0.999999940037285+0.00578087501379138i</v>
      </c>
      <c r="AA67" s="17">
        <f t="shared" si="79"/>
        <v>1.0000166491566522</v>
      </c>
      <c r="AB67" s="17">
        <f t="shared" si="80"/>
        <v>5.7808109656200578E-3</v>
      </c>
      <c r="AC67" s="66" t="str">
        <f t="shared" si="81"/>
        <v>2.7621064047864-29.8212793725744i</v>
      </c>
      <c r="AD67" s="64">
        <f t="shared" si="82"/>
        <v>29.527623925100649</v>
      </c>
      <c r="AE67" s="61">
        <f t="shared" si="83"/>
        <v>-84.708248455346421</v>
      </c>
      <c r="AF67" s="31" t="str">
        <f t="shared" si="84"/>
        <v>-1512.12121212121</v>
      </c>
      <c r="AG67" s="31" t="str">
        <f t="shared" si="85"/>
        <v>194.168988564136i</v>
      </c>
      <c r="AH67" s="31">
        <f t="shared" si="86"/>
        <v>194.16898856413599</v>
      </c>
      <c r="AI67" s="31">
        <f t="shared" si="87"/>
        <v>1.5707963267948966</v>
      </c>
      <c r="AJ67" s="31" t="str">
        <f t="shared" si="67"/>
        <v>0.999836100303607+0.267616709361326i</v>
      </c>
      <c r="AK67" s="31">
        <f t="shared" si="88"/>
        <v>1.0350318500411999</v>
      </c>
      <c r="AL67" s="31">
        <f t="shared" si="89"/>
        <v>0.26153008823666207</v>
      </c>
      <c r="AM67" s="31" t="str">
        <f t="shared" si="68"/>
        <v>1+1.33277593750423i</v>
      </c>
      <c r="AN67" s="31">
        <f t="shared" si="90"/>
        <v>1.6662207835668956</v>
      </c>
      <c r="AO67" s="31">
        <f t="shared" si="91"/>
        <v>0.9270945018042116</v>
      </c>
      <c r="AP67" s="31" t="str">
        <f t="shared" si="69"/>
        <v>1+0.0512606129809319i</v>
      </c>
      <c r="AQ67" s="31">
        <f t="shared" si="92"/>
        <v>1.0013129632852962</v>
      </c>
      <c r="AR67" s="31">
        <f t="shared" si="93"/>
        <v>5.1215785310466368E-2</v>
      </c>
      <c r="AS67" s="58" t="str">
        <f t="shared" si="94"/>
        <v>-8.24697597103311+9.46419120042706i</v>
      </c>
      <c r="AT67" s="49">
        <f t="shared" si="95"/>
        <v>21.975108185893472</v>
      </c>
      <c r="AU67" s="61">
        <f t="shared" si="96"/>
        <v>131.06848023425803</v>
      </c>
      <c r="AV67" s="58" t="str">
        <f t="shared" si="70"/>
        <v>259.455264673686+272.076477541909i</v>
      </c>
      <c r="AW67" s="64">
        <f t="shared" si="97"/>
        <v>51.502732110994131</v>
      </c>
      <c r="AX67" s="61">
        <f t="shared" si="98"/>
        <v>46.360231778911562</v>
      </c>
    </row>
    <row r="68" spans="1:50" x14ac:dyDescent="0.25">
      <c r="N68" s="10">
        <v>50</v>
      </c>
      <c r="O68" s="50">
        <f t="shared" si="71"/>
        <v>31.622776601683803</v>
      </c>
      <c r="P68" s="48" t="str">
        <f t="shared" si="72"/>
        <v>304.285714285714</v>
      </c>
      <c r="Q68" s="17" t="str">
        <f t="shared" si="63"/>
        <v>1+10.3461640653791i</v>
      </c>
      <c r="R68" s="17">
        <f t="shared" si="73"/>
        <v>10.394378811056567</v>
      </c>
      <c r="S68" s="17">
        <f t="shared" si="74"/>
        <v>1.474441453372497</v>
      </c>
      <c r="T68" s="17" t="str">
        <f t="shared" si="64"/>
        <v>1+0.000214587106541196i</v>
      </c>
      <c r="U68" s="17">
        <f t="shared" si="75"/>
        <v>1.0000000230238129</v>
      </c>
      <c r="V68" s="17">
        <f t="shared" si="76"/>
        <v>2.145871032474538E-4</v>
      </c>
      <c r="W68" s="31" t="str">
        <f t="shared" si="65"/>
        <v>1-0.000670584707941237i</v>
      </c>
      <c r="X68" s="17">
        <f t="shared" si="77"/>
        <v>1.0000002248419</v>
      </c>
      <c r="Y68" s="17">
        <f t="shared" si="78"/>
        <v>-6.7058460742422626E-4</v>
      </c>
      <c r="Z68" s="31" t="str">
        <f t="shared" si="66"/>
        <v>0.999999937211329+0.00591552889086361i</v>
      </c>
      <c r="AA68" s="17">
        <f t="shared" si="79"/>
        <v>1.0000174338003915</v>
      </c>
      <c r="AB68" s="17">
        <f t="shared" si="80"/>
        <v>5.9154602620761923E-3</v>
      </c>
      <c r="AC68" s="66" t="str">
        <f t="shared" si="81"/>
        <v>2.63058169811479-29.1551269778681i</v>
      </c>
      <c r="AD68" s="64">
        <f t="shared" si="82"/>
        <v>29.329511192018252</v>
      </c>
      <c r="AE68" s="61">
        <f t="shared" si="83"/>
        <v>-84.844330056731394</v>
      </c>
      <c r="AF68" s="31" t="str">
        <f t="shared" si="84"/>
        <v>-1512.12121212121</v>
      </c>
      <c r="AG68" s="31" t="str">
        <f t="shared" si="85"/>
        <v>198.691765315922i</v>
      </c>
      <c r="AH68" s="31">
        <f t="shared" si="86"/>
        <v>198.691765315922</v>
      </c>
      <c r="AI68" s="31">
        <f t="shared" si="87"/>
        <v>1.5707963267948966</v>
      </c>
      <c r="AJ68" s="31" t="str">
        <f t="shared" si="67"/>
        <v>0.99982837594889+0.27385030330668i</v>
      </c>
      <c r="AK68" s="31">
        <f t="shared" si="88"/>
        <v>1.0366536403127882</v>
      </c>
      <c r="AL68" s="31">
        <f t="shared" si="89"/>
        <v>0.26734076068129892</v>
      </c>
      <c r="AM68" s="31" t="str">
        <f t="shared" si="68"/>
        <v>1+1.36382027712849i</v>
      </c>
      <c r="AN68" s="31">
        <f t="shared" si="90"/>
        <v>1.6911551520504651</v>
      </c>
      <c r="AO68" s="31">
        <f t="shared" si="91"/>
        <v>0.93811180272032857</v>
      </c>
      <c r="AP68" s="31" t="str">
        <f t="shared" si="69"/>
        <v>1+0.0524546260434034i</v>
      </c>
      <c r="AQ68" s="31">
        <f t="shared" si="92"/>
        <v>1.0013747988607229</v>
      </c>
      <c r="AR68" s="31">
        <f t="shared" si="93"/>
        <v>5.240659589004501E-2</v>
      </c>
      <c r="AS68" s="58" t="str">
        <f t="shared" si="94"/>
        <v>-8.22735897115534+9.32061425786618i</v>
      </c>
      <c r="AT68" s="49">
        <f t="shared" si="95"/>
        <v>21.891063416204201</v>
      </c>
      <c r="AU68" s="61">
        <f t="shared" si="96"/>
        <v>131.4350264915758</v>
      </c>
      <c r="AV68" s="58" t="str">
        <f t="shared" si="70"/>
        <v>250.100952266475+264.388332778467i</v>
      </c>
      <c r="AW68" s="64">
        <f t="shared" si="97"/>
        <v>51.220574608222471</v>
      </c>
      <c r="AX68" s="61">
        <f t="shared" si="98"/>
        <v>46.590696434844396</v>
      </c>
    </row>
    <row r="69" spans="1:50" x14ac:dyDescent="0.25">
      <c r="A69" s="31" t="s">
        <v>218</v>
      </c>
      <c r="B69" s="1">
        <f>-kopto_max*Rpullup/(Ccomp_iso*RLED*RFBT_iso)</f>
        <v>-1512.121212121212</v>
      </c>
      <c r="C69" s="31" t="s">
        <v>144</v>
      </c>
      <c r="N69" s="10">
        <v>51</v>
      </c>
      <c r="O69" s="50">
        <f t="shared" si="71"/>
        <v>32.359365692962832</v>
      </c>
      <c r="P69" s="48" t="str">
        <f t="shared" si="72"/>
        <v>304.285714285714</v>
      </c>
      <c r="Q69" s="17" t="str">
        <f t="shared" si="63"/>
        <v>1+10.5871571850894i</v>
      </c>
      <c r="R69" s="17">
        <f t="shared" si="73"/>
        <v>10.634279348493253</v>
      </c>
      <c r="S69" s="17">
        <f t="shared" si="74"/>
        <v>1.4766216636531979</v>
      </c>
      <c r="T69" s="17" t="str">
        <f t="shared" si="64"/>
        <v>1+0.000219585482357409i</v>
      </c>
      <c r="U69" s="17">
        <f t="shared" si="75"/>
        <v>1.0000000241088918</v>
      </c>
      <c r="V69" s="17">
        <f t="shared" si="76"/>
        <v>2.1958547882810066E-4</v>
      </c>
      <c r="W69" s="31" t="str">
        <f t="shared" si="65"/>
        <v>1-0.000686204632366904i</v>
      </c>
      <c r="X69" s="17">
        <f t="shared" si="77"/>
        <v>1.000000235438371</v>
      </c>
      <c r="Y69" s="17">
        <f t="shared" si="78"/>
        <v>-6.8620452466098788E-4</v>
      </c>
      <c r="Z69" s="31" t="str">
        <f t="shared" si="66"/>
        <v>0.99999993425219+0.00605331925965507i</v>
      </c>
      <c r="AA69" s="17">
        <f t="shared" si="79"/>
        <v>1.0000182554225916</v>
      </c>
      <c r="AB69" s="17">
        <f t="shared" si="80"/>
        <v>6.0532457226569591E-3</v>
      </c>
      <c r="AC69" s="66" t="str">
        <f t="shared" si="81"/>
        <v>2.50486944817203-28.5032985274457i</v>
      </c>
      <c r="AD69" s="64">
        <f t="shared" si="82"/>
        <v>29.131313670324296</v>
      </c>
      <c r="AE69" s="61">
        <f t="shared" si="83"/>
        <v>-84.977749999144962</v>
      </c>
      <c r="AF69" s="31" t="str">
        <f t="shared" si="84"/>
        <v>-1512.12121212121</v>
      </c>
      <c r="AG69" s="31" t="str">
        <f t="shared" si="85"/>
        <v>203.319891071675i</v>
      </c>
      <c r="AH69" s="31">
        <f t="shared" si="86"/>
        <v>203.31989107167499</v>
      </c>
      <c r="AI69" s="31">
        <f t="shared" si="87"/>
        <v>1.5707963267948966</v>
      </c>
      <c r="AJ69" s="31" t="str">
        <f t="shared" si="67"/>
        <v>0.99982028755655+0.280229096307685i</v>
      </c>
      <c r="AK69" s="31">
        <f t="shared" si="88"/>
        <v>1.0383491483249188</v>
      </c>
      <c r="AL69" s="31">
        <f t="shared" si="89"/>
        <v>0.27326783303114</v>
      </c>
      <c r="AM69" s="31" t="str">
        <f t="shared" si="68"/>
        <v>1+1.39558773231597i</v>
      </c>
      <c r="AN69" s="31">
        <f t="shared" si="90"/>
        <v>1.7168765589263637</v>
      </c>
      <c r="AO69" s="31">
        <f t="shared" si="91"/>
        <v>0.94905309367035262</v>
      </c>
      <c r="AP69" s="31" t="str">
        <f t="shared" si="69"/>
        <v>1+0.0536764512429222i</v>
      </c>
      <c r="AQ69" s="31">
        <f t="shared" si="92"/>
        <v>1.0014395445647399</v>
      </c>
      <c r="AR69" s="31">
        <f t="shared" si="93"/>
        <v>5.362499000109993E-2</v>
      </c>
      <c r="AS69" s="58" t="str">
        <f t="shared" si="94"/>
        <v>-8.2069484912461+9.18151053342256i</v>
      </c>
      <c r="AT69" s="49">
        <f t="shared" si="95"/>
        <v>21.808542683424964</v>
      </c>
      <c r="AU69" s="61">
        <f t="shared" si="96"/>
        <v>131.79212889526951</v>
      </c>
      <c r="AV69" s="58" t="str">
        <f t="shared" si="70"/>
        <v>241.146001128587+256.923588068598i</v>
      </c>
      <c r="AW69" s="64">
        <f t="shared" si="97"/>
        <v>50.939856353749278</v>
      </c>
      <c r="AX69" s="61">
        <f t="shared" si="98"/>
        <v>46.814378896124552</v>
      </c>
    </row>
    <row r="70" spans="1:50" x14ac:dyDescent="0.25">
      <c r="A70" s="31" t="s">
        <v>581</v>
      </c>
      <c r="B70" s="1">
        <f>1/(Ccomp_iso*(Rcomp_iso+RFBT_iso))</f>
        <v>145.68764568764567</v>
      </c>
      <c r="E70" s="31" t="s">
        <v>230</v>
      </c>
      <c r="N70" s="10">
        <v>52</v>
      </c>
      <c r="O70" s="50">
        <f t="shared" si="71"/>
        <v>33.113112148259127</v>
      </c>
      <c r="P70" s="48" t="str">
        <f t="shared" si="72"/>
        <v>304.285714285714</v>
      </c>
      <c r="Q70" s="17" t="str">
        <f t="shared" si="63"/>
        <v>1+10.8337637556768i</v>
      </c>
      <c r="R70" s="17">
        <f t="shared" si="73"/>
        <v>10.879817880544522</v>
      </c>
      <c r="S70" s="17">
        <f t="shared" si="74"/>
        <v>1.4787531143065065</v>
      </c>
      <c r="T70" s="17" t="str">
        <f t="shared" si="64"/>
        <v>1+0.000224700285302927i</v>
      </c>
      <c r="U70" s="17">
        <f t="shared" si="75"/>
        <v>1.0000000252451089</v>
      </c>
      <c r="V70" s="17">
        <f t="shared" si="76"/>
        <v>2.2470028152120496E-4</v>
      </c>
      <c r="W70" s="31" t="str">
        <f t="shared" si="65"/>
        <v>1-0.000702188391571646i</v>
      </c>
      <c r="X70" s="17">
        <f t="shared" si="77"/>
        <v>1.0000002465342384</v>
      </c>
      <c r="Y70" s="17">
        <f t="shared" si="78"/>
        <v>-7.0218827616267906E-4</v>
      </c>
      <c r="Z70" s="31" t="str">
        <f t="shared" si="66"/>
        <v>0.999999931153591+0.00619431917844318i</v>
      </c>
      <c r="AA70" s="17">
        <f t="shared" si="79"/>
        <v>1.0000191157659293</v>
      </c>
      <c r="AB70" s="17">
        <f t="shared" si="80"/>
        <v>6.194240382211405E-3</v>
      </c>
      <c r="AC70" s="66" t="str">
        <f t="shared" si="81"/>
        <v>2.3847173589387-27.8655228104187i</v>
      </c>
      <c r="AD70" s="64">
        <f t="shared" si="82"/>
        <v>28.933035079678639</v>
      </c>
      <c r="AE70" s="61">
        <f t="shared" si="83"/>
        <v>-85.108574269640755</v>
      </c>
      <c r="AF70" s="31" t="str">
        <f t="shared" si="84"/>
        <v>-1512.12121212121</v>
      </c>
      <c r="AG70" s="31" t="str">
        <f t="shared" si="85"/>
        <v>208.055819724932i</v>
      </c>
      <c r="AH70" s="31">
        <f t="shared" si="86"/>
        <v>208.05581972493201</v>
      </c>
      <c r="AI70" s="31">
        <f t="shared" si="87"/>
        <v>1.5707963267948966</v>
      </c>
      <c r="AJ70" s="31" t="str">
        <f t="shared" si="67"/>
        <v>0.999811817970024+0.286756470484822i</v>
      </c>
      <c r="AK70" s="31">
        <f t="shared" si="88"/>
        <v>1.0401216009281977</v>
      </c>
      <c r="AL70" s="31">
        <f t="shared" si="89"/>
        <v>0.27931279379011764</v>
      </c>
      <c r="AM70" s="31" t="str">
        <f t="shared" si="68"/>
        <v>1+1.42809514659193i</v>
      </c>
      <c r="AN70" s="31">
        <f t="shared" si="90"/>
        <v>1.7434034953846531</v>
      </c>
      <c r="AO70" s="31">
        <f t="shared" si="91"/>
        <v>0.95991369770793933</v>
      </c>
      <c r="AP70" s="31" t="str">
        <f t="shared" si="69"/>
        <v>1+0.054926736407382i</v>
      </c>
      <c r="AQ70" s="31">
        <f t="shared" si="92"/>
        <v>1.0015073371535357</v>
      </c>
      <c r="AR70" s="31">
        <f t="shared" si="93"/>
        <v>5.4871599174616474E-2</v>
      </c>
      <c r="AS70" s="58" t="str">
        <f t="shared" si="94"/>
        <v>-8.18571837555674+9.04677765477398i</v>
      </c>
      <c r="AT70" s="49">
        <f t="shared" si="95"/>
        <v>21.727493386584481</v>
      </c>
      <c r="AU70" s="61">
        <f t="shared" si="96"/>
        <v>132.1394703751192</v>
      </c>
      <c r="AV70" s="58" t="str">
        <f t="shared" si="70"/>
        <v>232.572564394317+249.673329829538i</v>
      </c>
      <c r="AW70" s="64">
        <f t="shared" si="97"/>
        <v>50.660528466263123</v>
      </c>
      <c r="AX70" s="61">
        <f t="shared" si="98"/>
        <v>47.030896105478405</v>
      </c>
    </row>
    <row r="71" spans="1:50" x14ac:dyDescent="0.25">
      <c r="A71" s="31" t="s">
        <v>580</v>
      </c>
      <c r="B71" s="1">
        <f>1/(Rcomp_iso*Ccomp_iso)</f>
        <v>3787.8787878787875</v>
      </c>
      <c r="E71" s="31" t="s">
        <v>582</v>
      </c>
      <c r="N71" s="10">
        <v>53</v>
      </c>
      <c r="O71" s="50">
        <f t="shared" si="71"/>
        <v>33.884415613920268</v>
      </c>
      <c r="P71" s="48" t="str">
        <f t="shared" si="72"/>
        <v>304.285714285714</v>
      </c>
      <c r="Q71" s="17" t="str">
        <f t="shared" si="63"/>
        <v>1+11.0861145312093i</v>
      </c>
      <c r="R71" s="17">
        <f t="shared" si="73"/>
        <v>11.13112462418286</v>
      </c>
      <c r="S71" s="17">
        <f t="shared" si="74"/>
        <v>1.4808368579461901</v>
      </c>
      <c r="T71" s="17" t="str">
        <f t="shared" si="64"/>
        <v>1+0.00022993422731397i</v>
      </c>
      <c r="U71" s="17">
        <f t="shared" si="75"/>
        <v>1.0000000264348741</v>
      </c>
      <c r="V71" s="17">
        <f t="shared" si="76"/>
        <v>2.2993422326178184E-4</v>
      </c>
      <c r="W71" s="31" t="str">
        <f t="shared" si="65"/>
        <v>1-0.000718544460356157i</v>
      </c>
      <c r="X71" s="17">
        <f t="shared" si="77"/>
        <v>1.0000002581530374</v>
      </c>
      <c r="Y71" s="17">
        <f t="shared" si="78"/>
        <v>-7.1854433669322267E-4</v>
      </c>
      <c r="Z71" s="31" t="str">
        <f t="shared" si="66"/>
        <v>0.99999992790896+0.00633860340725116i</v>
      </c>
      <c r="AA71" s="17">
        <f t="shared" si="79"/>
        <v>1.0000200166552067</v>
      </c>
      <c r="AB71" s="17">
        <f t="shared" si="80"/>
        <v>6.3385189756589065E-3</v>
      </c>
      <c r="AC71" s="66" t="str">
        <f t="shared" si="81"/>
        <v>2.26988368639784-27.2415312433348i</v>
      </c>
      <c r="AD71" s="64">
        <f t="shared" si="82"/>
        <v>28.734678976799316</v>
      </c>
      <c r="AE71" s="61">
        <f t="shared" si="83"/>
        <v>-85.236867790726379</v>
      </c>
      <c r="AF71" s="31" t="str">
        <f t="shared" si="84"/>
        <v>-1512.12121212121</v>
      </c>
      <c r="AG71" s="31" t="str">
        <f t="shared" si="85"/>
        <v>212.90206232775i</v>
      </c>
      <c r="AH71" s="31">
        <f t="shared" si="86"/>
        <v>212.90206232775</v>
      </c>
      <c r="AI71" s="31">
        <f t="shared" si="87"/>
        <v>1.5707963267948966</v>
      </c>
      <c r="AJ71" s="31" t="str">
        <f t="shared" si="67"/>
        <v>0.999802949224182+0.293435886738282i</v>
      </c>
      <c r="AK71" s="31">
        <f t="shared" si="88"/>
        <v>1.041974355204222</v>
      </c>
      <c r="AL71" s="31">
        <f t="shared" si="89"/>
        <v>0.28547709334806215</v>
      </c>
      <c r="AM71" s="31" t="str">
        <f t="shared" si="68"/>
        <v>1+1.46135975581767i</v>
      </c>
      <c r="AN71" s="31">
        <f t="shared" si="90"/>
        <v>1.7707547362420015</v>
      </c>
      <c r="AO71" s="31">
        <f t="shared" si="91"/>
        <v>0.97068912512472594</v>
      </c>
      <c r="AP71" s="31" t="str">
        <f t="shared" si="69"/>
        <v>1+0.056206144454526i</v>
      </c>
      <c r="AQ71" s="31">
        <f t="shared" si="92"/>
        <v>1.0015783197905408</v>
      </c>
      <c r="AR71" s="31">
        <f t="shared" si="93"/>
        <v>5.6147068872306943E-2</v>
      </c>
      <c r="AS71" s="58" t="str">
        <f t="shared" si="94"/>
        <v>-8.16364213361993+8.91631404556017i</v>
      </c>
      <c r="AT71" s="49">
        <f t="shared" si="95"/>
        <v>21.647860686466331</v>
      </c>
      <c r="AU71" s="61">
        <f t="shared" si="96"/>
        <v>132.47674757080046</v>
      </c>
      <c r="AV71" s="58" t="str">
        <f t="shared" si="70"/>
        <v>224.363529546818+242.629108037229i</v>
      </c>
      <c r="AW71" s="64">
        <f t="shared" si="97"/>
        <v>50.382539663265646</v>
      </c>
      <c r="AX71" s="61">
        <f t="shared" si="98"/>
        <v>47.239879780074141</v>
      </c>
    </row>
    <row r="72" spans="1:50" x14ac:dyDescent="0.25">
      <c r="A72" s="31" t="s">
        <v>583</v>
      </c>
      <c r="B72" s="1">
        <f>Ccomp_iso*Copto*Rcomp_iso*Rpullup</f>
        <v>4.347288E-9</v>
      </c>
      <c r="E72" s="31" t="s">
        <v>586</v>
      </c>
      <c r="I72" s="31">
        <f>Copto</f>
        <v>3.2999999999999998E-9</v>
      </c>
      <c r="N72" s="10">
        <v>54</v>
      </c>
      <c r="O72" s="50">
        <f t="shared" si="71"/>
        <v>34.67368504525318</v>
      </c>
      <c r="P72" s="48" t="str">
        <f t="shared" si="72"/>
        <v>304.285714285714</v>
      </c>
      <c r="Q72" s="17" t="str">
        <f t="shared" si="63"/>
        <v>1+11.3443433114083i</v>
      </c>
      <c r="R72" s="17">
        <f t="shared" si="73"/>
        <v>11.388332852840852</v>
      </c>
      <c r="S72" s="17">
        <f t="shared" si="74"/>
        <v>1.4828739269799862</v>
      </c>
      <c r="T72" s="17" t="str">
        <f t="shared" si="64"/>
        <v>1+0.000235290083495876i</v>
      </c>
      <c r="U72" s="17">
        <f t="shared" si="75"/>
        <v>1.0000000276807113</v>
      </c>
      <c r="V72" s="17">
        <f t="shared" si="76"/>
        <v>2.3529007915387815E-4</v>
      </c>
      <c r="W72" s="31" t="str">
        <f t="shared" si="65"/>
        <v>1-0.000735281510924612i</v>
      </c>
      <c r="X72" s="17">
        <f t="shared" si="77"/>
        <v>1.0000002703194135</v>
      </c>
      <c r="Y72" s="17">
        <f t="shared" si="78"/>
        <v>-7.3528137841739254E-4</v>
      </c>
      <c r="Z72" s="31" t="str">
        <f t="shared" si="66"/>
        <v>0.999999924511414+0.00648624844748703i</v>
      </c>
      <c r="AA72" s="17">
        <f t="shared" si="79"/>
        <v>1.0000209600012173</v>
      </c>
      <c r="AB72" s="17">
        <f t="shared" si="80"/>
        <v>6.4861579775083705E-3</v>
      </c>
      <c r="AC72" s="66" t="str">
        <f t="shared" si="81"/>
        <v>2.16013683231166-26.631058034543i</v>
      </c>
      <c r="AD72" s="64">
        <f t="shared" si="82"/>
        <v>28.53624876222705</v>
      </c>
      <c r="AE72" s="61">
        <f t="shared" si="83"/>
        <v>-85.362694434551216</v>
      </c>
      <c r="AF72" s="31" t="str">
        <f t="shared" si="84"/>
        <v>-1512.12121212121</v>
      </c>
      <c r="AG72" s="31" t="str">
        <f t="shared" si="85"/>
        <v>217.861188422107i</v>
      </c>
      <c r="AH72" s="31">
        <f t="shared" si="86"/>
        <v>217.86118842210701</v>
      </c>
      <c r="AI72" s="31">
        <f t="shared" si="87"/>
        <v>1.5707963267948966</v>
      </c>
      <c r="AJ72" s="31" t="str">
        <f t="shared" si="67"/>
        <v>0.999793662507225+0.300270886582973i</v>
      </c>
      <c r="AK72" s="31">
        <f t="shared" si="88"/>
        <v>1.0439109027684956</v>
      </c>
      <c r="AL72" s="31">
        <f t="shared" si="89"/>
        <v>0.29176213944155616</v>
      </c>
      <c r="AM72" s="31" t="str">
        <f t="shared" si="68"/>
        <v>1+1.49539919732934i</v>
      </c>
      <c r="AN72" s="31">
        <f t="shared" si="90"/>
        <v>1.798949348751441</v>
      </c>
      <c r="AO72" s="31">
        <f t="shared" si="91"/>
        <v>0.98137508019214459</v>
      </c>
      <c r="AP72" s="31" t="str">
        <f t="shared" si="69"/>
        <v>1+0.0575153537434362i</v>
      </c>
      <c r="AQ72" s="31">
        <f t="shared" si="92"/>
        <v>1.0016526423447565</v>
      </c>
      <c r="AR72" s="31">
        <f t="shared" si="93"/>
        <v>5.7452058755979897E-2</v>
      </c>
      <c r="AS72" s="58" t="str">
        <f t="shared" si="94"/>
        <v>-8.14069298737931+8.79001881546645i</v>
      </c>
      <c r="AT72" s="49">
        <f t="shared" si="95"/>
        <v>21.569587609576082</v>
      </c>
      <c r="AU72" s="61">
        <f t="shared" si="96"/>
        <v>132.80367149366933</v>
      </c>
      <c r="AV72" s="58" t="str">
        <f t="shared" si="70"/>
        <v>216.502490436833+235.782910788297i</v>
      </c>
      <c r="AW72" s="64">
        <f t="shared" si="97"/>
        <v>50.105836371803136</v>
      </c>
      <c r="AX72" s="61">
        <f t="shared" si="98"/>
        <v>47.44097705911804</v>
      </c>
    </row>
    <row r="73" spans="1:50" x14ac:dyDescent="0.25">
      <c r="A73" s="31" t="s">
        <v>584</v>
      </c>
      <c r="B73" s="1">
        <f>(Ccomp_iso*Rcomp_iso)+(Ccomp_iso*Rpullup)+(Copto*Rpullup)</f>
        <v>1.3782670000000003E-3</v>
      </c>
      <c r="E73" s="31" t="s">
        <v>588</v>
      </c>
      <c r="N73" s="10">
        <v>55</v>
      </c>
      <c r="O73" s="50">
        <f t="shared" si="71"/>
        <v>35.481338923357555</v>
      </c>
      <c r="P73" s="48" t="str">
        <f t="shared" si="72"/>
        <v>304.285714285714</v>
      </c>
      <c r="Q73" s="17" t="str">
        <f t="shared" si="63"/>
        <v>1+11.6085870125912i</v>
      </c>
      <c r="R73" s="17">
        <f t="shared" si="73"/>
        <v>11.651578967200155</v>
      </c>
      <c r="S73" s="17">
        <f t="shared" si="74"/>
        <v>1.4848653338264219</v>
      </c>
      <c r="T73" s="17" t="str">
        <f t="shared" si="64"/>
        <v>1+0.000240770693594483i</v>
      </c>
      <c r="U73" s="17">
        <f t="shared" si="75"/>
        <v>1.0000000289852631</v>
      </c>
      <c r="V73" s="17">
        <f t="shared" si="76"/>
        <v>2.4077068894194851E-4</v>
      </c>
      <c r="W73" s="31" t="str">
        <f t="shared" si="65"/>
        <v>1-0.00075240841748276i</v>
      </c>
      <c r="X73" s="17">
        <f t="shared" si="77"/>
        <v>1.0000002830591734</v>
      </c>
      <c r="Y73" s="17">
        <f t="shared" si="78"/>
        <v>-7.5240827549871844E-4</v>
      </c>
      <c r="Z73" s="31" t="str">
        <f t="shared" si="66"/>
        <v>0.999999920953747+0.00663733258250539i</v>
      </c>
      <c r="AA73" s="17">
        <f t="shared" si="79"/>
        <v>1.0000219478048025</v>
      </c>
      <c r="AB73" s="17">
        <f t="shared" si="80"/>
        <v>6.6372356422916166E-3</v>
      </c>
      <c r="AC73" s="66" t="str">
        <f t="shared" si="81"/>
        <v>2.05525495048829-26.0338403311709i</v>
      </c>
      <c r="AD73" s="64">
        <f t="shared" si="82"/>
        <v>28.337747686825111</v>
      </c>
      <c r="AE73" s="61">
        <f t="shared" si="83"/>
        <v>-85.486117037825124</v>
      </c>
      <c r="AF73" s="31" t="str">
        <f t="shared" si="84"/>
        <v>-1512.12121212121</v>
      </c>
      <c r="AG73" s="31" t="str">
        <f t="shared" si="85"/>
        <v>222.935827402299i</v>
      </c>
      <c r="AH73" s="31">
        <f t="shared" si="86"/>
        <v>222.935827402299</v>
      </c>
      <c r="AI73" s="31">
        <f t="shared" si="87"/>
        <v>1.5707963267948966</v>
      </c>
      <c r="AJ73" s="31" t="str">
        <f t="shared" si="67"/>
        <v>0.999783938120782+0.307265094026285i</v>
      </c>
      <c r="AK73" s="31">
        <f t="shared" si="88"/>
        <v>1.0459348741347529</v>
      </c>
      <c r="AL73" s="31">
        <f t="shared" si="89"/>
        <v>0.29816929240132872</v>
      </c>
      <c r="AM73" s="31" t="str">
        <f t="shared" si="68"/>
        <v>1+1.53023151928938i</v>
      </c>
      <c r="AN73" s="31">
        <f t="shared" si="90"/>
        <v>1.8280067020190829</v>
      </c>
      <c r="AO73" s="31">
        <f t="shared" si="91"/>
        <v>0.99196746690932402</v>
      </c>
      <c r="AP73" s="31" t="str">
        <f t="shared" si="69"/>
        <v>1+0.0588550584342069i</v>
      </c>
      <c r="AQ73" s="31">
        <f t="shared" si="92"/>
        <v>1.0017304617027945</v>
      </c>
      <c r="AR73" s="31">
        <f t="shared" si="93"/>
        <v>5.8787242959314943E-2</v>
      </c>
      <c r="AS73" s="58" t="str">
        <f t="shared" si="94"/>
        <v>-8.11684392377842+8.66779165141765i</v>
      </c>
      <c r="AT73" s="49">
        <f t="shared" si="95"/>
        <v>21.492615155770302</v>
      </c>
      <c r="AU73" s="61">
        <f t="shared" si="96"/>
        <v>133.11996814396809</v>
      </c>
      <c r="AV73" s="58" t="str">
        <f t="shared" si="70"/>
        <v>208.973720220177+229.127140406059i</v>
      </c>
      <c r="AW73" s="64">
        <f t="shared" si="97"/>
        <v>49.830362842595406</v>
      </c>
      <c r="AX73" s="61">
        <f t="shared" si="98"/>
        <v>47.633851106142927</v>
      </c>
    </row>
    <row r="74" spans="1:50" x14ac:dyDescent="0.25">
      <c r="A74" s="31" t="s">
        <v>585</v>
      </c>
      <c r="B74" s="1">
        <v>1</v>
      </c>
      <c r="E74" s="31" t="s">
        <v>587</v>
      </c>
      <c r="N74" s="10">
        <v>56</v>
      </c>
      <c r="O74" s="50">
        <f t="shared" si="71"/>
        <v>36.307805477010156</v>
      </c>
      <c r="P74" s="48" t="str">
        <f t="shared" si="72"/>
        <v>304.285714285714</v>
      </c>
      <c r="Q74" s="17" t="str">
        <f t="shared" si="63"/>
        <v>1+11.878985740266i</v>
      </c>
      <c r="R74" s="17">
        <f t="shared" si="73"/>
        <v>11.921002567630081</v>
      </c>
      <c r="S74" s="17">
        <f t="shared" si="74"/>
        <v>1.4868120711421278</v>
      </c>
      <c r="T74" s="17" t="str">
        <f t="shared" si="64"/>
        <v>1+0.000246378963501812i</v>
      </c>
      <c r="U74" s="17">
        <f t="shared" si="75"/>
        <v>1.0000000303512964</v>
      </c>
      <c r="V74" s="17">
        <f t="shared" si="76"/>
        <v>2.4637895851653145E-4</v>
      </c>
      <c r="W74" s="31" t="str">
        <f t="shared" si="65"/>
        <v>1-0.000769934260943163i</v>
      </c>
      <c r="X74" s="17">
        <f t="shared" si="77"/>
        <v>1.0000002963993391</v>
      </c>
      <c r="Y74" s="17">
        <f t="shared" si="78"/>
        <v>-7.6993410880452388E-4</v>
      </c>
      <c r="Z74" s="31" t="str">
        <f t="shared" si="66"/>
        <v>0.999999917228411+0.00679193591911451i</v>
      </c>
      <c r="AA74" s="17">
        <f t="shared" si="79"/>
        <v>1.0000229821610893</v>
      </c>
      <c r="AB74" s="17">
        <f t="shared" si="80"/>
        <v>6.7918320459329313E-3</v>
      </c>
      <c r="AC74" s="66" t="str">
        <f t="shared" si="81"/>
        <v>1.95502556545482-25.4496183498822i</v>
      </c>
      <c r="AD74" s="64">
        <f t="shared" si="82"/>
        <v>28.139178858022266</v>
      </c>
      <c r="AE74" s="61">
        <f t="shared" si="83"/>
        <v>-85.607197417396122</v>
      </c>
      <c r="AF74" s="31" t="str">
        <f t="shared" si="84"/>
        <v>-1512.12121212121</v>
      </c>
      <c r="AG74" s="31" t="str">
        <f t="shared" si="85"/>
        <v>228.128669909085i</v>
      </c>
      <c r="AH74" s="31">
        <f t="shared" si="86"/>
        <v>228.128669909085</v>
      </c>
      <c r="AI74" s="31">
        <f t="shared" si="87"/>
        <v>1.5707963267948966</v>
      </c>
      <c r="AJ74" s="31" t="str">
        <f t="shared" si="67"/>
        <v>0.999773755438125+0.314422217489585i</v>
      </c>
      <c r="AK74" s="31">
        <f t="shared" si="88"/>
        <v>1.0480500431343531</v>
      </c>
      <c r="AL74" s="31">
        <f t="shared" si="89"/>
        <v>0.3046998601868699</v>
      </c>
      <c r="AM74" s="31" t="str">
        <f t="shared" si="68"/>
        <v>1+1.56587519025596i</v>
      </c>
      <c r="AN74" s="31">
        <f t="shared" si="90"/>
        <v>1.8579464770167999</v>
      </c>
      <c r="AO74" s="31">
        <f t="shared" si="91"/>
        <v>1.0024623937605459</v>
      </c>
      <c r="AP74" s="31" t="str">
        <f t="shared" si="69"/>
        <v>1+0.0602259688559984i</v>
      </c>
      <c r="AQ74" s="31">
        <f t="shared" si="92"/>
        <v>1.0018119420952436</v>
      </c>
      <c r="AR74" s="31">
        <f t="shared" si="93"/>
        <v>6.0153310361837201E-2</v>
      </c>
      <c r="AS74" s="58" t="str">
        <f t="shared" si="94"/>
        <v>-8.09206775307614+8.54953271022066i</v>
      </c>
      <c r="AT74" s="49">
        <f t="shared" si="95"/>
        <v>21.416882408965989</v>
      </c>
      <c r="AU74" s="61">
        <f t="shared" si="96"/>
        <v>133.4253790836008</v>
      </c>
      <c r="AV74" s="58" t="str">
        <f t="shared" si="70"/>
        <v>201.762145210293+222.65459099835i</v>
      </c>
      <c r="AW74" s="64">
        <f t="shared" si="97"/>
        <v>49.556061266988245</v>
      </c>
      <c r="AX74" s="61">
        <f t="shared" si="98"/>
        <v>47.818181666204708</v>
      </c>
    </row>
    <row r="75" spans="1:50" x14ac:dyDescent="0.25">
      <c r="N75" s="10">
        <v>57</v>
      </c>
      <c r="O75" s="50">
        <f t="shared" si="71"/>
        <v>37.15352290971726</v>
      </c>
      <c r="P75" s="48" t="str">
        <f t="shared" si="72"/>
        <v>304.285714285714</v>
      </c>
      <c r="Q75" s="17" t="str">
        <f t="shared" si="63"/>
        <v>1+12.1556828634172i</v>
      </c>
      <c r="R75" s="17">
        <f t="shared" si="73"/>
        <v>12.196746528315433</v>
      </c>
      <c r="S75" s="17">
        <f t="shared" si="74"/>
        <v>1.4887151120584619</v>
      </c>
      <c r="T75" s="17" t="str">
        <f t="shared" si="64"/>
        <v>1+0.0002521178667968i</v>
      </c>
      <c r="U75" s="17">
        <f t="shared" si="75"/>
        <v>1.0000000317817088</v>
      </c>
      <c r="V75" s="17">
        <f t="shared" si="76"/>
        <v>2.5211786145497571E-4</v>
      </c>
      <c r="W75" s="31" t="str">
        <f t="shared" si="65"/>
        <v>1-0.00078786833374i</v>
      </c>
      <c r="X75" s="17">
        <f t="shared" si="77"/>
        <v>1.0000003103682076</v>
      </c>
      <c r="Y75" s="17">
        <f t="shared" si="78"/>
        <v>-7.8786817072051373E-4</v>
      </c>
      <c r="Z75" s="31" t="str">
        <f t="shared" si="66"/>
        <v>0.999999913327507+0.00695014043004982i</v>
      </c>
      <c r="AA75" s="17">
        <f t="shared" si="79"/>
        <v>1.0000240652639412</v>
      </c>
      <c r="AB75" s="17">
        <f t="shared" si="80"/>
        <v>6.9500291280751155E-3</v>
      </c>
      <c r="AC75" s="66" t="str">
        <f t="shared" si="81"/>
        <v>1.85924520341857-24.8781354925245i</v>
      </c>
      <c r="AD75" s="64">
        <f t="shared" si="82"/>
        <v>27.940545245809002</v>
      </c>
      <c r="AE75" s="61">
        <f t="shared" si="83"/>
        <v>-85.725996386420704</v>
      </c>
      <c r="AF75" s="31" t="str">
        <f t="shared" si="84"/>
        <v>-1512.12121212121</v>
      </c>
      <c r="AG75" s="31" t="str">
        <f t="shared" si="85"/>
        <v>233.442469256296i</v>
      </c>
      <c r="AH75" s="31">
        <f t="shared" si="86"/>
        <v>233.44246925629599</v>
      </c>
      <c r="AI75" s="31">
        <f t="shared" si="87"/>
        <v>1.5707963267948966</v>
      </c>
      <c r="AJ75" s="31" t="str">
        <f t="shared" si="67"/>
        <v>0.99976309286042+0.321746051774467i</v>
      </c>
      <c r="AK75" s="31">
        <f t="shared" si="88"/>
        <v>1.0502603313837435</v>
      </c>
      <c r="AL75" s="31">
        <f t="shared" si="89"/>
        <v>0.31135509321029231</v>
      </c>
      <c r="AM75" s="31" t="str">
        <f t="shared" si="68"/>
        <v>1+1.60234910897521i</v>
      </c>
      <c r="AN75" s="31">
        <f t="shared" si="90"/>
        <v>1.8887886771774254</v>
      </c>
      <c r="AO75" s="31">
        <f t="shared" si="91"/>
        <v>1.01285617749358</v>
      </c>
      <c r="AP75" s="31" t="str">
        <f t="shared" si="69"/>
        <v>1+0.0616288118836621i</v>
      </c>
      <c r="AQ75" s="31">
        <f t="shared" si="92"/>
        <v>1.0018972554379975</v>
      </c>
      <c r="AR75" s="31">
        <f t="shared" si="93"/>
        <v>6.15509648648533E-2</v>
      </c>
      <c r="AS75" s="58" t="str">
        <f t="shared" si="94"/>
        <v>-8.06633717314128+8.43514251303899i</v>
      </c>
      <c r="AT75" s="49">
        <f t="shared" si="95"/>
        <v>21.342326650381921</v>
      </c>
      <c r="AU75" s="61">
        <f t="shared" si="96"/>
        <v>133.71966196499753</v>
      </c>
      <c r="AV75" s="58" t="str">
        <f t="shared" si="70"/>
        <v>194.853319639818+216.358427379316i</v>
      </c>
      <c r="AW75" s="64">
        <f t="shared" si="97"/>
        <v>49.282871896190926</v>
      </c>
      <c r="AX75" s="61">
        <f t="shared" si="98"/>
        <v>47.993665578576831</v>
      </c>
    </row>
    <row r="76" spans="1:50" x14ac:dyDescent="0.25">
      <c r="N76" s="10">
        <v>58</v>
      </c>
      <c r="O76" s="50">
        <f t="shared" si="71"/>
        <v>38.018939632056139</v>
      </c>
      <c r="P76" s="48" t="str">
        <f t="shared" si="72"/>
        <v>304.285714285714</v>
      </c>
      <c r="Q76" s="17" t="str">
        <f t="shared" si="63"/>
        <v>1+12.438825090522i</v>
      </c>
      <c r="R76" s="17">
        <f t="shared" si="73"/>
        <v>12.478957073113108</v>
      </c>
      <c r="S76" s="17">
        <f t="shared" si="74"/>
        <v>1.4905754104263444</v>
      </c>
      <c r="T76" s="17" t="str">
        <f t="shared" si="64"/>
        <v>1+0.000257990446321938i</v>
      </c>
      <c r="U76" s="17">
        <f t="shared" si="75"/>
        <v>1.0000000332795347</v>
      </c>
      <c r="V76" s="17">
        <f t="shared" si="76"/>
        <v>2.5799044059807011E-4</v>
      </c>
      <c r="W76" s="31" t="str">
        <f t="shared" si="65"/>
        <v>1-0.000806220144756056i</v>
      </c>
      <c r="X76" s="17">
        <f t="shared" si="77"/>
        <v>1.0000003249954081</v>
      </c>
      <c r="Y76" s="17">
        <f t="shared" si="78"/>
        <v>-8.0621997007753235E-4</v>
      </c>
      <c r="Z76" s="31" t="str">
        <f t="shared" si="66"/>
        <v>0.999999909242758+0.00711202999743713i</v>
      </c>
      <c r="AA76" s="17">
        <f t="shared" si="79"/>
        <v>1.0000251994105993</v>
      </c>
      <c r="AB76" s="17">
        <f t="shared" si="80"/>
        <v>7.1119107353848354E-3</v>
      </c>
      <c r="AC76" s="66" t="str">
        <f t="shared" si="81"/>
        <v>1.76771903536752-24.3191384477028i</v>
      </c>
      <c r="AD76" s="64">
        <f t="shared" si="82"/>
        <v>27.741849688492177</v>
      </c>
      <c r="AE76" s="61">
        <f t="shared" si="83"/>
        <v>-85.842573771064977</v>
      </c>
      <c r="AF76" s="31" t="str">
        <f t="shared" si="84"/>
        <v>-1512.12121212121</v>
      </c>
      <c r="AG76" s="31" t="str">
        <f t="shared" si="85"/>
        <v>238.880042890683i</v>
      </c>
      <c r="AH76" s="31">
        <f t="shared" si="86"/>
        <v>238.880042890683</v>
      </c>
      <c r="AI76" s="31">
        <f t="shared" si="87"/>
        <v>1.5707963267948966</v>
      </c>
      <c r="AJ76" s="31" t="str">
        <f t="shared" si="67"/>
        <v>0.999751927770908+0.329240480074813i</v>
      </c>
      <c r="AK76" s="31">
        <f t="shared" si="88"/>
        <v>1.0525698127922634</v>
      </c>
      <c r="AL76" s="31">
        <f t="shared" si="89"/>
        <v>0.31813617895294555</v>
      </c>
      <c r="AM76" s="31" t="str">
        <f t="shared" si="68"/>
        <v>1+1.63967261440164i</v>
      </c>
      <c r="AN76" s="31">
        <f t="shared" si="90"/>
        <v>1.9205536395577993</v>
      </c>
      <c r="AO76" s="31">
        <f t="shared" si="91"/>
        <v>1.0231453459379038</v>
      </c>
      <c r="AP76" s="31" t="str">
        <f t="shared" si="69"/>
        <v>1+0.0630643313231403i</v>
      </c>
      <c r="AQ76" s="31">
        <f t="shared" si="92"/>
        <v>1.0019865816892135</v>
      </c>
      <c r="AR76" s="31">
        <f t="shared" si="93"/>
        <v>6.2980925669093843E-2</v>
      </c>
      <c r="AS76" s="58" t="str">
        <f t="shared" si="94"/>
        <v>-8.03962483996105+8.32452184212339i</v>
      </c>
      <c r="AT76" s="49">
        <f t="shared" si="95"/>
        <v>21.268883473799537</v>
      </c>
      <c r="AU76" s="61">
        <f t="shared" si="96"/>
        <v>134.0025910169382</v>
      </c>
      <c r="AV76" s="58" t="str">
        <f t="shared" si="70"/>
        <v>188.233401322712+210.232165271257i</v>
      </c>
      <c r="AW76" s="64">
        <f t="shared" si="97"/>
        <v>49.0107331622917</v>
      </c>
      <c r="AX76" s="61">
        <f t="shared" si="98"/>
        <v>48.160017245873185</v>
      </c>
    </row>
    <row r="77" spans="1:50" x14ac:dyDescent="0.25">
      <c r="N77" s="10">
        <v>59</v>
      </c>
      <c r="O77" s="50">
        <f t="shared" si="71"/>
        <v>38.904514499428053</v>
      </c>
      <c r="P77" s="48" t="str">
        <f t="shared" si="72"/>
        <v>304.285714285714</v>
      </c>
      <c r="Q77" s="17" t="str">
        <f t="shared" si="63"/>
        <v>1+12.7285625473372i</v>
      </c>
      <c r="R77" s="17">
        <f t="shared" si="73"/>
        <v>12.767783853178095</v>
      </c>
      <c r="S77" s="17">
        <f t="shared" si="74"/>
        <v>1.4923939010682725</v>
      </c>
      <c r="T77" s="17" t="str">
        <f t="shared" si="64"/>
        <v>1+0.000263999815796623i</v>
      </c>
      <c r="U77" s="17">
        <f t="shared" si="75"/>
        <v>1.0000000348479507</v>
      </c>
      <c r="V77" s="17">
        <f t="shared" si="76"/>
        <v>2.639998096633881E-4</v>
      </c>
      <c r="W77" s="31" t="str">
        <f t="shared" si="65"/>
        <v>1-0.000824999424364448i</v>
      </c>
      <c r="X77" s="17">
        <f t="shared" si="77"/>
        <v>1.0000003403119673</v>
      </c>
      <c r="Y77" s="17">
        <f t="shared" si="78"/>
        <v>-8.2499923719304123E-4</v>
      </c>
      <c r="Z77" s="31" t="str">
        <f t="shared" si="66"/>
        <v>0.999999904965501+0.00727769045726792i</v>
      </c>
      <c r="AA77" s="17">
        <f t="shared" si="79"/>
        <v>1.0000263870065642</v>
      </c>
      <c r="AB77" s="17">
        <f t="shared" si="80"/>
        <v>7.2775626658586178E-3</v>
      </c>
      <c r="AC77" s="66" t="str">
        <f t="shared" si="81"/>
        <v>1.68026053213639-23.7723772792685i</v>
      </c>
      <c r="AD77" s="64">
        <f t="shared" si="82"/>
        <v>27.543094898218069</v>
      </c>
      <c r="AE77" s="61">
        <f t="shared" si="83"/>
        <v>-85.956988427678922</v>
      </c>
      <c r="AF77" s="31" t="str">
        <f t="shared" si="84"/>
        <v>-1512.12121212121</v>
      </c>
      <c r="AG77" s="31" t="str">
        <f t="shared" si="85"/>
        <v>244.444273885762i</v>
      </c>
      <c r="AH77" s="31">
        <f t="shared" si="86"/>
        <v>244.44427388576199</v>
      </c>
      <c r="AI77" s="31">
        <f t="shared" si="87"/>
        <v>1.5707963267948966</v>
      </c>
      <c r="AJ77" s="31" t="str">
        <f t="shared" si="67"/>
        <v>0.99974023648694+0.336909476035707i</v>
      </c>
      <c r="AK77" s="31">
        <f t="shared" si="88"/>
        <v>1.0549827181018736</v>
      </c>
      <c r="AL77" s="31">
        <f t="shared" si="89"/>
        <v>0.32504423637984903</v>
      </c>
      <c r="AM77" s="31" t="str">
        <f t="shared" si="68"/>
        <v>1+1.67786549595187i</v>
      </c>
      <c r="AN77" s="31">
        <f t="shared" si="90"/>
        <v>1.9532620465533588</v>
      </c>
      <c r="AO77" s="31">
        <f t="shared" si="91"/>
        <v>1.0333266398886027</v>
      </c>
      <c r="AP77" s="31" t="str">
        <f t="shared" si="69"/>
        <v>1+0.0645332883058411i</v>
      </c>
      <c r="AQ77" s="31">
        <f t="shared" si="92"/>
        <v>1.0020801092225935</v>
      </c>
      <c r="AR77" s="31">
        <f t="shared" si="93"/>
        <v>6.4443927553773303E-2</v>
      </c>
      <c r="AS77" s="58" t="str">
        <f t="shared" si="94"/>
        <v>-8.01190344457687+8.21757164026677i</v>
      </c>
      <c r="AT77" s="49">
        <f t="shared" si="95"/>
        <v>21.196486902375099</v>
      </c>
      <c r="AU77" s="61">
        <f t="shared" si="96"/>
        <v>134.27395748851157</v>
      </c>
      <c r="AV77" s="58" t="str">
        <f t="shared" si="70"/>
        <v>181.889128206629+204.269652706696i</v>
      </c>
      <c r="AW77" s="64">
        <f t="shared" si="97"/>
        <v>48.739581800593179</v>
      </c>
      <c r="AX77" s="61">
        <f t="shared" si="98"/>
        <v>48.316969060832662</v>
      </c>
    </row>
    <row r="78" spans="1:50" x14ac:dyDescent="0.25">
      <c r="N78" s="10">
        <v>60</v>
      </c>
      <c r="O78" s="50">
        <f t="shared" si="71"/>
        <v>39.810717055349755</v>
      </c>
      <c r="P78" s="48" t="str">
        <f t="shared" si="72"/>
        <v>304.285714285714</v>
      </c>
      <c r="Q78" s="17" t="str">
        <f t="shared" si="63"/>
        <v>1+13.0250488564974i</v>
      </c>
      <c r="R78" s="17">
        <f t="shared" si="73"/>
        <v>13.063380026399914</v>
      </c>
      <c r="S78" s="17">
        <f t="shared" si="74"/>
        <v>1.494171500036559</v>
      </c>
      <c r="T78" s="17" t="str">
        <f t="shared" si="64"/>
        <v>1+0.000270149161468094i</v>
      </c>
      <c r="U78" s="17">
        <f t="shared" si="75"/>
        <v>1.0000000364902841</v>
      </c>
      <c r="V78" s="17">
        <f t="shared" si="76"/>
        <v>2.7014915489621442E-4</v>
      </c>
      <c r="W78" s="31" t="str">
        <f t="shared" si="65"/>
        <v>1-0.000844216129587793i</v>
      </c>
      <c r="X78" s="17">
        <f t="shared" si="77"/>
        <v>1.0000003563503732</v>
      </c>
      <c r="Y78" s="17">
        <f t="shared" si="78"/>
        <v>-8.4421592903002115E-4</v>
      </c>
      <c r="Z78" s="31" t="str">
        <f t="shared" si="66"/>
        <v>0.999999900486663+0.00744720964491077i</v>
      </c>
      <c r="AA78" s="17">
        <f t="shared" si="79"/>
        <v>1.0000276305706914</v>
      </c>
      <c r="AB78" s="17">
        <f t="shared" si="80"/>
        <v>7.4470727141529936E-3</v>
      </c>
      <c r="AC78" s="66" t="str">
        <f t="shared" si="81"/>
        <v>1.5966911312415-23.23760550265i</v>
      </c>
      <c r="AD78" s="64">
        <f t="shared" si="82"/>
        <v>27.344283466270799</v>
      </c>
      <c r="AE78" s="61">
        <f t="shared" si="83"/>
        <v>-86.069298260390696</v>
      </c>
      <c r="AF78" s="31" t="str">
        <f t="shared" si="84"/>
        <v>-1512.12121212121</v>
      </c>
      <c r="AG78" s="31" t="str">
        <f t="shared" si="85"/>
        <v>250.138112470457i</v>
      </c>
      <c r="AH78" s="31">
        <f t="shared" si="86"/>
        <v>250.138112470457</v>
      </c>
      <c r="AI78" s="31">
        <f t="shared" si="87"/>
        <v>1.5707963267948966</v>
      </c>
      <c r="AJ78" s="31" t="str">
        <f t="shared" si="67"/>
        <v>0.999727994209732+0.34475710586032i</v>
      </c>
      <c r="AK78" s="31">
        <f t="shared" si="88"/>
        <v>1.0575034394496301</v>
      </c>
      <c r="AL78" s="31">
        <f t="shared" si="89"/>
        <v>0.33208031015883027</v>
      </c>
      <c r="AM78" s="31" t="str">
        <f t="shared" si="68"/>
        <v>1+1.71694800399721i</v>
      </c>
      <c r="AN78" s="31">
        <f t="shared" si="90"/>
        <v>1.9869349381471966</v>
      </c>
      <c r="AO78" s="31">
        <f t="shared" si="91"/>
        <v>1.0433970140880446</v>
      </c>
      <c r="AP78" s="31" t="str">
        <f t="shared" si="69"/>
        <v>1+0.0660364616922006i</v>
      </c>
      <c r="AQ78" s="31">
        <f t="shared" si="92"/>
        <v>1.0021780352177079</v>
      </c>
      <c r="AR78" s="31">
        <f t="shared" si="93"/>
        <v>6.5940721156756865E-2</v>
      </c>
      <c r="AS78" s="58" t="str">
        <f t="shared" si="94"/>
        <v>-7.98314579663181+8.11419291349655i</v>
      </c>
      <c r="AT78" s="49">
        <f t="shared" si="95"/>
        <v>21.125069506581475</v>
      </c>
      <c r="AU78" s="61">
        <f t="shared" si="96"/>
        <v>134.53357005263192</v>
      </c>
      <c r="AV78" s="58" t="str">
        <f t="shared" si="70"/>
        <v>175.807795803341+198.465052554431i</v>
      </c>
      <c r="AW78" s="64">
        <f t="shared" si="97"/>
        <v>48.469352972852263</v>
      </c>
      <c r="AX78" s="61">
        <f t="shared" si="98"/>
        <v>48.464271792241227</v>
      </c>
    </row>
    <row r="79" spans="1:50" x14ac:dyDescent="0.25">
      <c r="N79" s="10">
        <v>61</v>
      </c>
      <c r="O79" s="50">
        <f t="shared" si="71"/>
        <v>40.738027780411279</v>
      </c>
      <c r="P79" s="48" t="str">
        <f t="shared" si="72"/>
        <v>304.285714285714</v>
      </c>
      <c r="Q79" s="17" t="str">
        <f t="shared" si="63"/>
        <v>1+13.3284412189682i</v>
      </c>
      <c r="R79" s="17">
        <f t="shared" si="73"/>
        <v>13.365902338693431</v>
      </c>
      <c r="S79" s="17">
        <f t="shared" si="74"/>
        <v>1.4959091048769169</v>
      </c>
      <c r="T79" s="17" t="str">
        <f t="shared" si="64"/>
        <v>1+0.000276441743800822i</v>
      </c>
      <c r="U79" s="17">
        <f t="shared" si="75"/>
        <v>1.000000038210018</v>
      </c>
      <c r="V79" s="17">
        <f t="shared" si="76"/>
        <v>2.7644173675892616E-4</v>
      </c>
      <c r="W79" s="31" t="str">
        <f t="shared" si="65"/>
        <v>1-0.000863880449377571i</v>
      </c>
      <c r="X79" s="17">
        <f t="shared" si="77"/>
        <v>1.0000003731446458</v>
      </c>
      <c r="Y79" s="17">
        <f t="shared" si="78"/>
        <v>-8.6388023447605091E-4</v>
      </c>
      <c r="Z79" s="31" t="str">
        <f t="shared" si="66"/>
        <v>0.999999895796744+0.00762067744168284i</v>
      </c>
      <c r="AA79" s="17">
        <f t="shared" si="79"/>
        <v>1.0000289327405327</v>
      </c>
      <c r="AB79" s="17">
        <f t="shared" si="80"/>
        <v>7.620530717961667E-3</v>
      </c>
      <c r="AC79" s="66" t="str">
        <f t="shared" si="81"/>
        <v>1.51683991526895-22.7145801498966i</v>
      </c>
      <c r="AD79" s="64">
        <f t="shared" si="82"/>
        <v>27.145417868152979</v>
      </c>
      <c r="AE79" s="61">
        <f t="shared" si="83"/>
        <v>-86.179560239071876</v>
      </c>
      <c r="AF79" s="31" t="str">
        <f t="shared" si="84"/>
        <v>-1512.12121212121</v>
      </c>
      <c r="AG79" s="31" t="str">
        <f t="shared" si="85"/>
        <v>255.964577593354i</v>
      </c>
      <c r="AH79" s="31">
        <f t="shared" si="86"/>
        <v>255.96457759335399</v>
      </c>
      <c r="AI79" s="31">
        <f t="shared" si="87"/>
        <v>1.5707963267948966</v>
      </c>
      <c r="AJ79" s="31" t="str">
        <f t="shared" si="67"/>
        <v>0.999715174971776+0.352787530465859i</v>
      </c>
      <c r="AK79" s="31">
        <f t="shared" si="88"/>
        <v>1.0601365349430458</v>
      </c>
      <c r="AL79" s="31">
        <f t="shared" si="89"/>
        <v>0.33924536469310024</v>
      </c>
      <c r="AM79" s="31" t="str">
        <f t="shared" si="68"/>
        <v>1+1.75694086060078i</v>
      </c>
      <c r="AN79" s="31">
        <f t="shared" si="90"/>
        <v>2.0215937246758084</v>
      </c>
      <c r="AO79" s="31">
        <f t="shared" si="91"/>
        <v>1.0533536373429271</v>
      </c>
      <c r="AP79" s="31" t="str">
        <f t="shared" si="69"/>
        <v>1+0.0675746484846454i</v>
      </c>
      <c r="AQ79" s="31">
        <f t="shared" si="92"/>
        <v>1.0022805660681162</v>
      </c>
      <c r="AR79" s="31">
        <f t="shared" si="93"/>
        <v>6.7472073255489609E-2</v>
      </c>
      <c r="AS79" s="58" t="str">
        <f t="shared" si="94"/>
        <v>-7.95332491468237+8.01428663756159i</v>
      </c>
      <c r="AT79" s="49">
        <f t="shared" si="95"/>
        <v>21.054562522909407</v>
      </c>
      <c r="AU79" s="61">
        <f t="shared" si="96"/>
        <v>134.78125517074963</v>
      </c>
      <c r="AV79" s="58" t="str">
        <f t="shared" si="70"/>
        <v>169.977235483445+192.812826096982i</v>
      </c>
      <c r="AW79" s="64">
        <f t="shared" si="97"/>
        <v>48.19998039106239</v>
      </c>
      <c r="AX79" s="61">
        <f t="shared" si="98"/>
        <v>48.601694931677706</v>
      </c>
    </row>
    <row r="80" spans="1:50" x14ac:dyDescent="0.25">
      <c r="N80" s="10">
        <v>62</v>
      </c>
      <c r="O80" s="50">
        <f t="shared" si="71"/>
        <v>41.686938347033561</v>
      </c>
      <c r="P80" s="48" t="str">
        <f t="shared" si="72"/>
        <v>304.285714285714</v>
      </c>
      <c r="Q80" s="17" t="str">
        <f t="shared" si="63"/>
        <v>1+13.6389004973962i</v>
      </c>
      <c r="R80" s="17">
        <f t="shared" si="73"/>
        <v>13.675511207186164</v>
      </c>
      <c r="S80" s="17">
        <f t="shared" si="74"/>
        <v>1.4976075948965624</v>
      </c>
      <c r="T80" s="17" t="str">
        <f t="shared" si="64"/>
        <v>1+0.000282880899205254i</v>
      </c>
      <c r="U80" s="17">
        <f t="shared" si="75"/>
        <v>1.0000000400108007</v>
      </c>
      <c r="V80" s="17">
        <f t="shared" si="76"/>
        <v>2.8288089165972669E-4</v>
      </c>
      <c r="W80" s="31" t="str">
        <f t="shared" si="65"/>
        <v>1-0.000884002810016418i</v>
      </c>
      <c r="X80" s="17">
        <f t="shared" si="77"/>
        <v>1.0000003907304078</v>
      </c>
      <c r="Y80" s="17">
        <f t="shared" si="78"/>
        <v>-8.8400257974529544E-4</v>
      </c>
      <c r="Z80" s="31" t="str">
        <f t="shared" si="66"/>
        <v>0.999999890885796+0.00779818582250609i</v>
      </c>
      <c r="AA80" s="17">
        <f t="shared" si="79"/>
        <v>1.0000302962779308</v>
      </c>
      <c r="AB80" s="17">
        <f t="shared" si="80"/>
        <v>7.7980286054635563E-3</v>
      </c>
      <c r="AC80" s="66" t="str">
        <f t="shared" si="81"/>
        <v>1.44054330158511-22.2030618242621i</v>
      </c>
      <c r="AD80" s="64">
        <f t="shared" si="82"/>
        <v>26.94650046845743</v>
      </c>
      <c r="AE80" s="61">
        <f t="shared" si="83"/>
        <v>-86.287830417627347</v>
      </c>
      <c r="AF80" s="31" t="str">
        <f t="shared" si="84"/>
        <v>-1512.12121212121</v>
      </c>
      <c r="AG80" s="31" t="str">
        <f t="shared" si="85"/>
        <v>261.926758523383i</v>
      </c>
      <c r="AH80" s="31">
        <f t="shared" si="86"/>
        <v>261.926758523383</v>
      </c>
      <c r="AI80" s="31">
        <f t="shared" si="87"/>
        <v>1.5707963267948966</v>
      </c>
      <c r="AJ80" s="31" t="str">
        <f t="shared" si="67"/>
        <v>0.999701751581747+0.361005007689747i</v>
      </c>
      <c r="AK80" s="31">
        <f t="shared" si="88"/>
        <v>1.0628867332376895</v>
      </c>
      <c r="AL80" s="31">
        <f t="shared" si="89"/>
        <v>0.34654027797812148</v>
      </c>
      <c r="AM80" s="31" t="str">
        <f t="shared" si="68"/>
        <v>1+1.7978652705045i</v>
      </c>
      <c r="AN80" s="31">
        <f t="shared" si="90"/>
        <v>2.0572602000928852</v>
      </c>
      <c r="AO80" s="31">
        <f t="shared" si="91"/>
        <v>1.0631938918189128</v>
      </c>
      <c r="AP80" s="31" t="str">
        <f t="shared" si="69"/>
        <v>1+0.0691486642501731i</v>
      </c>
      <c r="AQ80" s="31">
        <f t="shared" si="92"/>
        <v>1.0023879178080626</v>
      </c>
      <c r="AR80" s="31">
        <f t="shared" si="93"/>
        <v>6.9038767048310301E-2</v>
      </c>
      <c r="AS80" s="58" t="str">
        <f t="shared" si="94"/>
        <v>-7.92241412338489+7.91775366881522i</v>
      </c>
      <c r="AT80" s="49">
        <f t="shared" si="95"/>
        <v>20.984895973009262</v>
      </c>
      <c r="AU80" s="61">
        <f t="shared" si="96"/>
        <v>135.01685742053067</v>
      </c>
      <c r="AV80" s="58" t="str">
        <f t="shared" si="70"/>
        <v>164.385793620157+187.307717590135i</v>
      </c>
      <c r="AW80" s="64">
        <f t="shared" si="97"/>
        <v>47.931396441466703</v>
      </c>
      <c r="AX80" s="61">
        <f t="shared" si="98"/>
        <v>48.729027002903401</v>
      </c>
    </row>
    <row r="81" spans="14:50" x14ac:dyDescent="0.25">
      <c r="N81" s="10">
        <v>63</v>
      </c>
      <c r="O81" s="50">
        <f t="shared" si="71"/>
        <v>42.657951880159267</v>
      </c>
      <c r="P81" s="48" t="str">
        <f t="shared" si="72"/>
        <v>304.285714285714</v>
      </c>
      <c r="Q81" s="17" t="str">
        <f t="shared" si="63"/>
        <v>1+13.9565913014i</v>
      </c>
      <c r="R81" s="17">
        <f t="shared" si="73"/>
        <v>13.992370805346539</v>
      </c>
      <c r="S81" s="17">
        <f t="shared" si="74"/>
        <v>1.4992678314360695</v>
      </c>
      <c r="T81" s="17" t="str">
        <f t="shared" si="64"/>
        <v>1+0.000289470041806814i</v>
      </c>
      <c r="U81" s="17">
        <f t="shared" si="75"/>
        <v>1.0000000418964516</v>
      </c>
      <c r="V81" s="17">
        <f t="shared" si="76"/>
        <v>2.8947003372163579E-4</v>
      </c>
      <c r="W81" s="31" t="str">
        <f t="shared" si="65"/>
        <v>1-0.000904593880646295i</v>
      </c>
      <c r="X81" s="17">
        <f t="shared" si="77"/>
        <v>1.0000004091449608</v>
      </c>
      <c r="Y81" s="17">
        <f t="shared" si="78"/>
        <v>-9.045936339063472E-4</v>
      </c>
      <c r="Z81" s="31" t="str">
        <f t="shared" si="66"/>
        <v>0.999999885743402+0.0079798289046736i</v>
      </c>
      <c r="AA81" s="17">
        <f t="shared" si="79"/>
        <v>1.0000317240748742</v>
      </c>
      <c r="AB81" s="17">
        <f t="shared" si="80"/>
        <v>7.9796604438660372E-3</v>
      </c>
      <c r="AC81" s="66" t="str">
        <f t="shared" si="81"/>
        <v>1.36764474312462-21.7028147450992i</v>
      </c>
      <c r="AD81" s="64">
        <f t="shared" si="82"/>
        <v>26.747533525536266</v>
      </c>
      <c r="AE81" s="61">
        <f t="shared" si="83"/>
        <v>-86.39416395256859</v>
      </c>
      <c r="AF81" s="31" t="str">
        <f t="shared" si="84"/>
        <v>-1512.12121212121</v>
      </c>
      <c r="AG81" s="31" t="str">
        <f t="shared" si="85"/>
        <v>268.027816487791i</v>
      </c>
      <c r="AH81" s="31">
        <f t="shared" si="86"/>
        <v>268.02781648779097</v>
      </c>
      <c r="AI81" s="31">
        <f t="shared" si="87"/>
        <v>1.5707963267948966</v>
      </c>
      <c r="AJ81" s="31" t="str">
        <f t="shared" si="67"/>
        <v>0.999687695566836+0.369413894547178i</v>
      </c>
      <c r="AK81" s="31">
        <f t="shared" si="88"/>
        <v>1.065758938105726</v>
      </c>
      <c r="AL81" s="31">
        <f t="shared" si="89"/>
        <v>0.35396583529576259</v>
      </c>
      <c r="AM81" s="31" t="str">
        <f t="shared" si="68"/>
        <v>1+1.83974293237219i</v>
      </c>
      <c r="AN81" s="31">
        <f t="shared" si="90"/>
        <v>2.0939565557129938</v>
      </c>
      <c r="AO81" s="31">
        <f t="shared" si="91"/>
        <v>1.072915371559263</v>
      </c>
      <c r="AP81" s="31" t="str">
        <f t="shared" si="69"/>
        <v>1+0.0707593435527768i</v>
      </c>
      <c r="AQ81" s="31">
        <f t="shared" si="92"/>
        <v>1.0025003165585635</v>
      </c>
      <c r="AR81" s="31">
        <f t="shared" si="93"/>
        <v>7.0641602435740816E-2</v>
      </c>
      <c r="AS81" s="58" t="str">
        <f t="shared" si="94"/>
        <v>-7.89038715762357+7.8244946601377i</v>
      </c>
      <c r="AT81" s="49">
        <f t="shared" si="95"/>
        <v>20.915998783008888</v>
      </c>
      <c r="AU81" s="61">
        <f t="shared" si="96"/>
        <v>135.24023978839543</v>
      </c>
      <c r="AV81" s="58" t="str">
        <f t="shared" si="70"/>
        <v>159.022311565645+181.944739738558i</v>
      </c>
      <c r="AW81" s="64">
        <f t="shared" si="97"/>
        <v>47.663532308545165</v>
      </c>
      <c r="AX81" s="61">
        <f t="shared" si="98"/>
        <v>48.846075835826753</v>
      </c>
    </row>
    <row r="82" spans="14:50" x14ac:dyDescent="0.25">
      <c r="N82" s="10">
        <v>64</v>
      </c>
      <c r="O82" s="50">
        <f t="shared" si="71"/>
        <v>43.651583224016633</v>
      </c>
      <c r="P82" s="48" t="str">
        <f t="shared" si="72"/>
        <v>304.285714285714</v>
      </c>
      <c r="Q82" s="17" t="str">
        <f t="shared" si="63"/>
        <v>1+14.2816820748491i</v>
      </c>
      <c r="R82" s="17">
        <f t="shared" si="73"/>
        <v>14.316649150100243</v>
      </c>
      <c r="S82" s="17">
        <f t="shared" si="74"/>
        <v>1.5008906581442867</v>
      </c>
      <c r="T82" s="17" t="str">
        <f t="shared" si="64"/>
        <v>1+0.000296212665256129i</v>
      </c>
      <c r="U82" s="17">
        <f t="shared" si="75"/>
        <v>1.0000000438709706</v>
      </c>
      <c r="V82" s="17">
        <f t="shared" si="76"/>
        <v>2.9621265659270454E-4</v>
      </c>
      <c r="W82" s="31" t="str">
        <f t="shared" si="65"/>
        <v>1-0.000925664578925406i</v>
      </c>
      <c r="X82" s="17">
        <f t="shared" si="77"/>
        <v>1.0000004284273645</v>
      </c>
      <c r="Y82" s="17">
        <f t="shared" si="78"/>
        <v>-9.2566431453879462E-4</v>
      </c>
      <c r="Z82" s="31" t="str">
        <f t="shared" si="66"/>
        <v>0.999999880358654+0.00816570299775189i</v>
      </c>
      <c r="AA82" s="17">
        <f t="shared" si="79"/>
        <v>1.0000332191596286</v>
      </c>
      <c r="AB82" s="17">
        <f t="shared" si="80"/>
        <v>8.1655224890682596E-3</v>
      </c>
      <c r="AC82" s="66" t="str">
        <f t="shared" si="81"/>
        <v>1.29799444000068-21.2136067837907i</v>
      </c>
      <c r="AD82" s="64">
        <f t="shared" si="82"/>
        <v>26.548519195974194</v>
      </c>
      <c r="AE82" s="61">
        <f t="shared" si="83"/>
        <v>-86.498615121830667</v>
      </c>
      <c r="AF82" s="31" t="str">
        <f t="shared" si="84"/>
        <v>-1512.12121212121</v>
      </c>
      <c r="AG82" s="31" t="str">
        <f t="shared" si="85"/>
        <v>274.270986348268i</v>
      </c>
      <c r="AH82" s="31">
        <f t="shared" si="86"/>
        <v>274.27098634826802</v>
      </c>
      <c r="AI82" s="31">
        <f t="shared" si="87"/>
        <v>1.5707963267948966</v>
      </c>
      <c r="AJ82" s="31" t="str">
        <f t="shared" si="67"/>
        <v>0.999672977112351+0.378018649541269i</v>
      </c>
      <c r="AK82" s="31">
        <f t="shared" si="88"/>
        <v>1.068758232983342</v>
      </c>
      <c r="AL82" s="31">
        <f t="shared" si="89"/>
        <v>0.36152272276114911</v>
      </c>
      <c r="AM82" s="31" t="str">
        <f t="shared" si="68"/>
        <v>1+1.88259605029451i</v>
      </c>
      <c r="AN82" s="31">
        <f t="shared" si="90"/>
        <v>2.1317053944165196</v>
      </c>
      <c r="AO82" s="31">
        <f t="shared" si="91"/>
        <v>1.0825158802769514</v>
      </c>
      <c r="AP82" s="31" t="str">
        <f t="shared" si="69"/>
        <v>1+0.0724075403959427i</v>
      </c>
      <c r="AQ82" s="31">
        <f t="shared" si="92"/>
        <v>1.0026179989937294</v>
      </c>
      <c r="AR82" s="31">
        <f t="shared" si="93"/>
        <v>7.2281396301302578E-2</v>
      </c>
      <c r="AS82" s="58" t="str">
        <f t="shared" si="94"/>
        <v>-7.85721827359344+7.73440998258495i</v>
      </c>
      <c r="AT82" s="49">
        <f t="shared" si="95"/>
        <v>20.847798902797969</v>
      </c>
      <c r="AU82" s="61">
        <f t="shared" si="96"/>
        <v>135.45128392884357</v>
      </c>
      <c r="AV82" s="58" t="str">
        <f t="shared" si="70"/>
        <v>153.876106442187+176.719160024507i</v>
      </c>
      <c r="AW82" s="64">
        <f t="shared" si="97"/>
        <v>47.39631809877217</v>
      </c>
      <c r="AX82" s="61">
        <f t="shared" si="98"/>
        <v>48.95266880701282</v>
      </c>
    </row>
    <row r="83" spans="14:50" x14ac:dyDescent="0.25">
      <c r="N83" s="10">
        <v>65</v>
      </c>
      <c r="O83" s="50">
        <f t="shared" si="71"/>
        <v>44.668359215096324</v>
      </c>
      <c r="P83" s="48" t="str">
        <f t="shared" ref="P83:P146" si="99">COMPLEX(Adc,0)</f>
        <v>304.285714285714</v>
      </c>
      <c r="Q83" s="17" t="str">
        <f t="shared" ref="Q83:Q146" si="100">IMSUM(COMPLEX(1,0),IMDIV(COMPLEX(0,2*PI()*O83),COMPLEX(wp_lf,0)))</f>
        <v>1+14.6143451851748i</v>
      </c>
      <c r="R83" s="17">
        <f t="shared" si="73"/>
        <v>14.648518190978972</v>
      </c>
      <c r="S83" s="17">
        <f t="shared" si="74"/>
        <v>1.5024769012556471</v>
      </c>
      <c r="T83" s="17" t="str">
        <f t="shared" ref="T83:T146" si="101">IMSUM(COMPLEX(1,0),IMDIV(COMPLEX(0,2*PI()*O83),COMPLEX(wz_esr,0)))</f>
        <v>1+0.000303112344581402i</v>
      </c>
      <c r="U83" s="17">
        <f t="shared" si="75"/>
        <v>1.0000000459385456</v>
      </c>
      <c r="V83" s="17">
        <f t="shared" si="76"/>
        <v>3.0311233529837546E-4</v>
      </c>
      <c r="W83" s="31" t="str">
        <f t="shared" ref="W83:W146" si="102">IMSUB(COMPLEX(1,0),IMDIV(COMPLEX(0,2*PI()*O83),COMPLEX(wz_rhp,0)))</f>
        <v>1-0.000947226076816882i</v>
      </c>
      <c r="X83" s="17">
        <f t="shared" si="77"/>
        <v>1.0000004486185197</v>
      </c>
      <c r="Y83" s="17">
        <f t="shared" si="78"/>
        <v>-9.4722579352153071E-4</v>
      </c>
      <c r="Z83" s="31" t="str">
        <f t="shared" ref="Z83:Z146" si="103">IMSUM(COMPLEX(1,0),IMDIV(COMPLEX(0,2*PI()*O83),COMPLEX(Q*(wsl/2),0)),IMDIV(IMPOWER(COMPLEX(0,2*PI()*O83),2),IMPOWER(COMPLEX(wsl/2,0),2)))</f>
        <v>0.999999874720131+0.00835590665464546i</v>
      </c>
      <c r="AA83" s="17">
        <f t="shared" si="79"/>
        <v>1.0000347847031616</v>
      </c>
      <c r="AB83" s="17">
        <f t="shared" si="80"/>
        <v>8.3557132364695443E-3</v>
      </c>
      <c r="AC83" s="66" t="str">
        <f t="shared" si="81"/>
        <v>1.23144906167389-20.735209491403i</v>
      </c>
      <c r="AD83" s="64">
        <f t="shared" si="82"/>
        <v>26.349459538873955</v>
      </c>
      <c r="AE83" s="61">
        <f t="shared" si="83"/>
        <v>-86.601237343797777</v>
      </c>
      <c r="AF83" s="31" t="str">
        <f t="shared" ref="AF83:AF146" si="104">COMPLEX(Adc_ea_iso,0)</f>
        <v>-1512.12121212121</v>
      </c>
      <c r="AG83" s="31" t="str">
        <f t="shared" si="85"/>
        <v>280.659578316113i</v>
      </c>
      <c r="AH83" s="31">
        <f t="shared" si="86"/>
        <v>280.65957831611303</v>
      </c>
      <c r="AI83" s="31">
        <f t="shared" si="87"/>
        <v>1.5707963267948966</v>
      </c>
      <c r="AJ83" s="31" t="str">
        <f t="shared" ref="AJ83:AJ146" si="105">IMSUM(IMPRODUCT(COMPLEX(wpA_ea_iso,0),IMPOWER(COMPLEX(0,2*PI()*O83),2)),COMPLEX(0,wpB_ea_iso*2*PI()*O83),COMPLEX(1,0))</f>
        <v>0.999657564998477+0.386823835027014i</v>
      </c>
      <c r="AK83" s="31">
        <f t="shared" si="88"/>
        <v>1.0718898854843677</v>
      </c>
      <c r="AL83" s="31">
        <f t="shared" si="89"/>
        <v>0.36921152074004804</v>
      </c>
      <c r="AM83" s="31" t="str">
        <f t="shared" ref="AM83:AM146" si="106">IMSUM(COMPLEX(1,0),IMDIV(COMPLEX(0,2*PI()*O83),COMPLEX(wz1_ea_iso,0)))</f>
        <v>1+1.9264473455618i</v>
      </c>
      <c r="AN83" s="31">
        <f t="shared" si="90"/>
        <v>2.1705297452977015</v>
      </c>
      <c r="AO83" s="31">
        <f t="shared" si="91"/>
        <v>1.0919934284722845</v>
      </c>
      <c r="AP83" s="31" t="str">
        <f t="shared" ref="AP83:AP146" si="107">IMSUM(COMPLEX(1,0),IMDIV(COMPLEX(0,2*PI()*O83),COMPLEX(wz2_ea_iso,0)))</f>
        <v>1+0.0740941286754538i</v>
      </c>
      <c r="AQ83" s="31">
        <f t="shared" si="92"/>
        <v>1.0027412128282027</v>
      </c>
      <c r="AR83" s="31">
        <f t="shared" si="93"/>
        <v>7.3958982791370531E-2</v>
      </c>
      <c r="AS83" s="58" t="str">
        <f t="shared" si="94"/>
        <v>-7.82288236678996+7.64739965348474i</v>
      </c>
      <c r="AT83" s="49">
        <f t="shared" si="95"/>
        <v>20.780223425118546</v>
      </c>
      <c r="AU83" s="61">
        <f t="shared" si="96"/>
        <v>135.64989039249744</v>
      </c>
      <c r="AV83" s="58" t="str">
        <f t="shared" ref="AV83:AV146" si="108">IMPRODUCT(AC83,AS83)</f>
        <v>148.93695272932+171.626487829521i</v>
      </c>
      <c r="AW83" s="64">
        <f t="shared" si="97"/>
        <v>47.129682963992494</v>
      </c>
      <c r="AX83" s="61">
        <f t="shared" si="98"/>
        <v>49.04865304869962</v>
      </c>
    </row>
    <row r="84" spans="14:50" x14ac:dyDescent="0.25">
      <c r="N84" s="10">
        <v>66</v>
      </c>
      <c r="O84" s="50">
        <f t="shared" ref="O84:O118" si="109">10^(1+(N84/100))</f>
        <v>45.70881896148753</v>
      </c>
      <c r="P84" s="48" t="str">
        <f t="shared" si="99"/>
        <v>304.285714285714</v>
      </c>
      <c r="Q84" s="17" t="str">
        <f t="shared" si="100"/>
        <v>1+14.9547570147613i</v>
      </c>
      <c r="R84" s="17">
        <f t="shared" ref="R84:R147" si="110">IMABS(Q84)</f>
        <v>14.988153901349971</v>
      </c>
      <c r="S84" s="17">
        <f t="shared" ref="S84:S147" si="111">IMARGUMENT(Q84)</f>
        <v>1.5040273698692792</v>
      </c>
      <c r="T84" s="17" t="str">
        <f t="shared" si="101"/>
        <v>1+0.000310172738083938i</v>
      </c>
      <c r="U84" s="17">
        <f t="shared" ref="U84:U147" si="112">IMABS(T84)</f>
        <v>1.0000000481035625</v>
      </c>
      <c r="V84" s="17">
        <f t="shared" ref="V84:V147" si="113">IMARGUMENT(T84)</f>
        <v>3.1017272813699585E-4</v>
      </c>
      <c r="W84" s="31" t="str">
        <f t="shared" si="102"/>
        <v>1-0.000969289806512307i</v>
      </c>
      <c r="X84" s="17">
        <f t="shared" ref="X84:X147" si="114">IMABS(W84)</f>
        <v>1.0000004697612541</v>
      </c>
      <c r="Y84" s="17">
        <f t="shared" ref="Y84:Y147" si="115">IMARGUMENT(W84)</f>
        <v>-9.6928950295587673E-4</v>
      </c>
      <c r="Z84" s="31" t="str">
        <f t="shared" si="103"/>
        <v>0.999999868815873+0.00855054072385082i</v>
      </c>
      <c r="AA84" s="17">
        <f t="shared" ref="AA84:AA147" si="116">IMABS(Z84)</f>
        <v>1.0000364240258619</v>
      </c>
      <c r="AB84" s="17">
        <f t="shared" ref="AB84:AB147" si="117">IMARGUMENT(Z84)</f>
        <v>8.5503334729490291E-3</v>
      </c>
      <c r="AC84" s="66" t="str">
        <f t="shared" ref="AC84:AC147" si="118">(IMDIV(IMPRODUCT(P84,T84,W84),IMPRODUCT(Q84,Z84)))</f>
        <v>1.16787147940914-20.2673981187004i</v>
      </c>
      <c r="AD84" s="64">
        <f t="shared" ref="AD84:AD147" si="119">20*LOG(IMABS(AC84))</f>
        <v>26.150356519959971</v>
      </c>
      <c r="AE84" s="61">
        <f t="shared" ref="AE84:AE147" si="120">(180/PI())*IMARGUMENT(AC84)</f>
        <v>-86.702083196504148</v>
      </c>
      <c r="AF84" s="31" t="str">
        <f t="shared" si="104"/>
        <v>-1512.12121212121</v>
      </c>
      <c r="AG84" s="31" t="str">
        <f t="shared" ref="AG84:AG147" si="121">COMPLEX(0,1*2*PI()*O84)</f>
        <v>287.19697970735i</v>
      </c>
      <c r="AH84" s="31">
        <f t="shared" ref="AH84:AH147" si="122">IMABS(AG84)</f>
        <v>287.19697970735001</v>
      </c>
      <c r="AI84" s="31">
        <f t="shared" ref="AI84:AI147" si="123">IMARGUMENT(AG84)</f>
        <v>1.5707963267948966</v>
      </c>
      <c r="AJ84" s="31" t="str">
        <f t="shared" si="105"/>
        <v>0.999641426534054+0.39583411963031i</v>
      </c>
      <c r="AK84" s="31">
        <f t="shared" ref="AK84:AK147" si="124">IMABS(AJ84)</f>
        <v>1.0751593518667553</v>
      </c>
      <c r="AL84" s="31">
        <f t="shared" ref="AL84:AL147" si="125">IMARGUMENT(AJ84)</f>
        <v>0.37703269715727061</v>
      </c>
      <c r="AM84" s="31" t="str">
        <f t="shared" si="106"/>
        <v>1+1.97132006871125i</v>
      </c>
      <c r="AN84" s="31">
        <f t="shared" ref="AN84:AN147" si="126">IMABS(AM84)</f>
        <v>2.2104530787383219</v>
      </c>
      <c r="AO84" s="31">
        <f t="shared" ref="AO84:AO147" si="127">IMARGUMENT(AM84)</f>
        <v>1.1013462299299019</v>
      </c>
      <c r="AP84" s="31" t="str">
        <f t="shared" si="107"/>
        <v>1+0.0758200026427404i</v>
      </c>
      <c r="AQ84" s="31">
        <f t="shared" ref="AQ84:AQ147" si="128">IMABS(AP84)</f>
        <v>1.0028702173266215</v>
      </c>
      <c r="AR84" s="31">
        <f t="shared" ref="AR84:AR147" si="129">IMARGUMENT(AP84)</f>
        <v>7.567521359353481E-2</v>
      </c>
      <c r="AS84" s="58" t="str">
        <f t="shared" ref="AS84:AS147" si="130">IMDIV(IMPRODUCT(AF84,AM84,AP84),IMPRODUCT(AG84,AJ84))</f>
        <v>-7.78735509679375+7.56336327174108i</v>
      </c>
      <c r="AT84" s="49">
        <f t="shared" ref="AT84:AT147" si="131">20*LOG(IMABS(AS84))</f>
        <v>20.713198704357314</v>
      </c>
      <c r="AU84" s="61">
        <f t="shared" ref="AU84:AU147" si="132">(180/PI())*IMARGUMENT(AS84)</f>
        <v>135.83597882474305</v>
      </c>
      <c r="AV84" s="58" t="str">
        <f t="shared" si="108"/>
        <v>144.195064627156+166.662462291887i</v>
      </c>
      <c r="AW84" s="64">
        <f t="shared" ref="AW84:AW147" si="133">20*LOG(IMABS(AV84))</f>
        <v>46.863555224317295</v>
      </c>
      <c r="AX84" s="61">
        <f t="shared" ref="AX84:AX147" si="134">(180/PI())*IMARGUMENT(AV84)</f>
        <v>49.13389562823896</v>
      </c>
    </row>
    <row r="85" spans="14:50" x14ac:dyDescent="0.25">
      <c r="N85" s="10">
        <v>67</v>
      </c>
      <c r="O85" s="50">
        <f t="shared" si="109"/>
        <v>46.773514128719818</v>
      </c>
      <c r="P85" s="48" t="str">
        <f t="shared" si="99"/>
        <v>304.285714285714</v>
      </c>
      <c r="Q85" s="17" t="str">
        <f t="shared" si="100"/>
        <v>1+15.3030980544667i</v>
      </c>
      <c r="R85" s="17">
        <f t="shared" si="110"/>
        <v>15.335736371776299</v>
      </c>
      <c r="S85" s="17">
        <f t="shared" si="111"/>
        <v>1.5055428562293651</v>
      </c>
      <c r="T85" s="17" t="str">
        <f t="shared" si="101"/>
        <v>1+0.000317397589277827i</v>
      </c>
      <c r="U85" s="17">
        <f t="shared" si="112"/>
        <v>1.0000000503706135</v>
      </c>
      <c r="V85" s="17">
        <f t="shared" si="113"/>
        <v>3.173975786194865E-4</v>
      </c>
      <c r="W85" s="31" t="str">
        <f t="shared" si="102"/>
        <v>1-0.000991867466493211i</v>
      </c>
      <c r="X85" s="17">
        <f t="shared" si="114"/>
        <v>1.0000004919004146</v>
      </c>
      <c r="Y85" s="17">
        <f t="shared" si="115"/>
        <v>-9.9186714122664432E-4</v>
      </c>
      <c r="Z85" s="31" t="str">
        <f t="shared" si="103"/>
        <v>0.999999862633355+0.00874970840292774i</v>
      </c>
      <c r="AA85" s="17">
        <f t="shared" si="116"/>
        <v>1.00003814060458</v>
      </c>
      <c r="AB85" s="17">
        <f t="shared" si="117"/>
        <v>8.7494863300428827E-3</v>
      </c>
      <c r="AC85" s="66" t="str">
        <f t="shared" si="118"/>
        <v>1.10713050874535-19.8099516291202i</v>
      </c>
      <c r="AD85" s="64">
        <f t="shared" si="119"/>
        <v>25.951212015506471</v>
      </c>
      <c r="AE85" s="61">
        <f t="shared" si="120"/>
        <v>-86.8012044369802</v>
      </c>
      <c r="AF85" s="31" t="str">
        <f t="shared" si="104"/>
        <v>-1512.12121212121</v>
      </c>
      <c r="AG85" s="31" t="str">
        <f t="shared" si="121"/>
        <v>293.886656738729i</v>
      </c>
      <c r="AH85" s="31">
        <f t="shared" si="122"/>
        <v>293.88665673872902</v>
      </c>
      <c r="AI85" s="31">
        <f t="shared" si="123"/>
        <v>1.5707963267948966</v>
      </c>
      <c r="AJ85" s="31" t="str">
        <f t="shared" si="105"/>
        <v>0.999624527487234+0.405054280723318i</v>
      </c>
      <c r="AK85" s="31">
        <f t="shared" si="124"/>
        <v>1.0785722814379943</v>
      </c>
      <c r="AL85" s="31">
        <f t="shared" si="125"/>
        <v>0.38498660071925805</v>
      </c>
      <c r="AM85" s="31" t="str">
        <f t="shared" si="106"/>
        <v>1+2.01723801185463i</v>
      </c>
      <c r="AN85" s="31">
        <f t="shared" si="126"/>
        <v>2.2514993218900199</v>
      </c>
      <c r="AO85" s="31">
        <f t="shared" si="127"/>
        <v>1.110572697650053</v>
      </c>
      <c r="AP85" s="31" t="str">
        <f t="shared" si="107"/>
        <v>1+0.0775860773790244i</v>
      </c>
      <c r="AQ85" s="31">
        <f t="shared" si="128"/>
        <v>1.0030052838360644</v>
      </c>
      <c r="AR85" s="31">
        <f t="shared" si="129"/>
        <v>7.7430958212895487E-2</v>
      </c>
      <c r="AS85" s="58" t="str">
        <f t="shared" si="130"/>
        <v>-7.750613018661+7.48219996113239i</v>
      </c>
      <c r="AT85" s="49">
        <f t="shared" si="131"/>
        <v>20.646650474977783</v>
      </c>
      <c r="AU85" s="61">
        <f t="shared" si="132"/>
        <v>136.0094881367574</v>
      </c>
      <c r="AV85" s="58" t="str">
        <f t="shared" si="108"/>
        <v>139.641079174999+161.823040845207i</v>
      </c>
      <c r="AW85" s="64">
        <f t="shared" si="133"/>
        <v>46.59786249048426</v>
      </c>
      <c r="AX85" s="61">
        <f t="shared" si="134"/>
        <v>49.208283699777311</v>
      </c>
    </row>
    <row r="86" spans="14:50" x14ac:dyDescent="0.25">
      <c r="N86" s="10">
        <v>68</v>
      </c>
      <c r="O86" s="50">
        <f t="shared" si="109"/>
        <v>47.863009232263877</v>
      </c>
      <c r="P86" s="48" t="str">
        <f t="shared" si="99"/>
        <v>304.285714285714</v>
      </c>
      <c r="Q86" s="17" t="str">
        <f t="shared" si="100"/>
        <v>1+15.659552999321i</v>
      </c>
      <c r="R86" s="17">
        <f t="shared" si="110"/>
        <v>15.691449905555043</v>
      </c>
      <c r="S86" s="17">
        <f t="shared" si="111"/>
        <v>1.5070241360062282</v>
      </c>
      <c r="T86" s="17" t="str">
        <f t="shared" si="101"/>
        <v>1+0.000324790728874806i</v>
      </c>
      <c r="U86" s="17">
        <f t="shared" si="112"/>
        <v>1.0000000527445074</v>
      </c>
      <c r="V86" s="17">
        <f t="shared" si="113"/>
        <v>3.2479071745418838E-4</v>
      </c>
      <c r="W86" s="31" t="str">
        <f t="shared" si="102"/>
        <v>1-0.00101497102773377i</v>
      </c>
      <c r="X86" s="17">
        <f t="shared" si="114"/>
        <v>1.000000515082961</v>
      </c>
      <c r="Y86" s="17">
        <f t="shared" si="115"/>
        <v>-1.0149706792043742E-3</v>
      </c>
      <c r="Z86" s="31" t="str">
        <f t="shared" si="103"/>
        <v>0.999999856159465+0.00895351529321599i</v>
      </c>
      <c r="AA86" s="17">
        <f t="shared" si="116"/>
        <v>1.0000399380800031</v>
      </c>
      <c r="AB86" s="17">
        <f t="shared" si="117"/>
        <v>8.9532773383459406E-3</v>
      </c>
      <c r="AC86" s="66" t="str">
        <f t="shared" si="118"/>
        <v>1.04910066169968-19.3626527052735i</v>
      </c>
      <c r="AD86" s="64">
        <f t="shared" si="119"/>
        <v>25.752027816097272</v>
      </c>
      <c r="AE86" s="61">
        <f t="shared" si="120"/>
        <v>-86.898652020716369</v>
      </c>
      <c r="AF86" s="31" t="str">
        <f t="shared" si="104"/>
        <v>-1512.12121212121</v>
      </c>
      <c r="AG86" s="31" t="str">
        <f t="shared" si="121"/>
        <v>300.732156365561i</v>
      </c>
      <c r="AH86" s="31">
        <f t="shared" si="122"/>
        <v>300.73215636556102</v>
      </c>
      <c r="AI86" s="31">
        <f t="shared" si="123"/>
        <v>1.5707963267948966</v>
      </c>
      <c r="AJ86" s="31" t="str">
        <f t="shared" si="105"/>
        <v>0.999606832012874+0.414489206957493i</v>
      </c>
      <c r="AK86" s="31">
        <f t="shared" si="124"/>
        <v>1.0821345208850266</v>
      </c>
      <c r="AL86" s="31">
        <f t="shared" si="125"/>
        <v>0.39307345407685901</v>
      </c>
      <c r="AM86" s="31" t="str">
        <f t="shared" si="106"/>
        <v>1+2.06422552129321i</v>
      </c>
      <c r="AN86" s="31">
        <f t="shared" si="126"/>
        <v>2.2936928745492984</v>
      </c>
      <c r="AO86" s="31">
        <f t="shared" si="127"/>
        <v>1.1196714392695817</v>
      </c>
      <c r="AP86" s="31" t="str">
        <f t="shared" si="107"/>
        <v>1+0.0793932892805081i</v>
      </c>
      <c r="AQ86" s="31">
        <f t="shared" si="128"/>
        <v>1.0031466963424536</v>
      </c>
      <c r="AR86" s="31">
        <f t="shared" si="129"/>
        <v>7.9227104245665855E-2</v>
      </c>
      <c r="AS86" s="58" t="str">
        <f t="shared" si="130"/>
        <v>-7.71263372065156+7.40380832241678i</v>
      </c>
      <c r="AT86" s="49">
        <f t="shared" si="131"/>
        <v>20.580503969578725</v>
      </c>
      <c r="AU86" s="61">
        <f t="shared" si="132"/>
        <v>136.17037665057188</v>
      </c>
      <c r="AV86" s="58" t="str">
        <f t="shared" si="108"/>
        <v>135.266040103587+157.104388386103i</v>
      </c>
      <c r="AW86" s="64">
        <f t="shared" si="133"/>
        <v>46.332531785676011</v>
      </c>
      <c r="AX86" s="61">
        <f t="shared" si="134"/>
        <v>49.271724629855576</v>
      </c>
    </row>
    <row r="87" spans="14:50" x14ac:dyDescent="0.25">
      <c r="N87" s="10">
        <v>69</v>
      </c>
      <c r="O87" s="50">
        <f t="shared" si="109"/>
        <v>48.977881936844632</v>
      </c>
      <c r="P87" s="48" t="str">
        <f t="shared" si="99"/>
        <v>304.285714285714</v>
      </c>
      <c r="Q87" s="17" t="str">
        <f t="shared" si="100"/>
        <v>1+16.0243108464543i</v>
      </c>
      <c r="R87" s="17">
        <f t="shared" si="110"/>
        <v>16.055483116486808</v>
      </c>
      <c r="S87" s="17">
        <f t="shared" si="111"/>
        <v>1.5084719685776902</v>
      </c>
      <c r="T87" s="17" t="str">
        <f t="shared" si="101"/>
        <v>1+0.000332356076815348i</v>
      </c>
      <c r="U87" s="17">
        <f t="shared" si="112"/>
        <v>1.0000000552302795</v>
      </c>
      <c r="V87" s="17">
        <f t="shared" si="113"/>
        <v>3.3235606457793579E-4</v>
      </c>
      <c r="W87" s="31" t="str">
        <f t="shared" si="102"/>
        <v>1-0.00103861274004796i</v>
      </c>
      <c r="X87" s="17">
        <f t="shared" si="114"/>
        <v>1.0000005393580664</v>
      </c>
      <c r="Y87" s="17">
        <f t="shared" si="115"/>
        <v>-1.0386123665919948E-3</v>
      </c>
      <c r="Z87" s="31" t="str">
        <f t="shared" si="103"/>
        <v>0.999999849380469+0.0091620694558265i</v>
      </c>
      <c r="AA87" s="17">
        <f t="shared" si="116"/>
        <v>1.0000418202643697</v>
      </c>
      <c r="AB87" s="17">
        <f t="shared" si="117"/>
        <v>9.1618144831653384E-3</v>
      </c>
      <c r="AC87" s="66" t="str">
        <f t="shared" si="118"/>
        <v>0.99366190842585-18.9252877494967i</v>
      </c>
      <c r="AD87" s="64">
        <f t="shared" si="119"/>
        <v>25.552805630222664</v>
      </c>
      <c r="AE87" s="61">
        <f t="shared" si="120"/>
        <v>-86.994476121219705</v>
      </c>
      <c r="AF87" s="31" t="str">
        <f t="shared" si="104"/>
        <v>-1512.12121212121</v>
      </c>
      <c r="AG87" s="31" t="str">
        <f t="shared" si="121"/>
        <v>307.737108162359i</v>
      </c>
      <c r="AH87" s="31">
        <f t="shared" si="122"/>
        <v>307.73710816235899</v>
      </c>
      <c r="AI87" s="31">
        <f t="shared" si="123"/>
        <v>1.5707963267948966</v>
      </c>
      <c r="AJ87" s="31" t="str">
        <f t="shared" si="105"/>
        <v>0.999588302576501+0.42414390085561i</v>
      </c>
      <c r="AK87" s="31">
        <f t="shared" si="124"/>
        <v>1.0858521185137431</v>
      </c>
      <c r="AL87" s="31">
        <f t="shared" si="125"/>
        <v>0.40129334695715502</v>
      </c>
      <c r="AM87" s="31" t="str">
        <f t="shared" si="106"/>
        <v>1+2.11230751042643i</v>
      </c>
      <c r="AN87" s="31">
        <f t="shared" si="126"/>
        <v>2.3370586254101333</v>
      </c>
      <c r="AO87" s="31">
        <f t="shared" si="127"/>
        <v>1.128641252027903</v>
      </c>
      <c r="AP87" s="31" t="str">
        <f t="shared" si="107"/>
        <v>1+0.0812425965548627i</v>
      </c>
      <c r="AQ87" s="31">
        <f t="shared" si="128"/>
        <v>1.0032947520519462</v>
      </c>
      <c r="AR87" s="31">
        <f t="shared" si="129"/>
        <v>8.1064557649406621E-2</v>
      </c>
      <c r="AS87" s="58" t="str">
        <f t="shared" si="130"/>
        <v>-7.67339596793596+7.32808639507368i</v>
      </c>
      <c r="AT87" s="49">
        <f t="shared" si="131"/>
        <v>20.514684036602411</v>
      </c>
      <c r="AU87" s="61">
        <f t="shared" si="132"/>
        <v>136.3186222196419</v>
      </c>
      <c r="AV87" s="58" t="str">
        <f t="shared" si="108"/>
        <v>131.061382398335+152.502867021454i</v>
      </c>
      <c r="AW87" s="64">
        <f t="shared" si="133"/>
        <v>46.067489666825068</v>
      </c>
      <c r="AX87" s="61">
        <f t="shared" si="134"/>
        <v>49.324146098422126</v>
      </c>
    </row>
    <row r="88" spans="14:50" x14ac:dyDescent="0.25">
      <c r="N88" s="10">
        <v>70</v>
      </c>
      <c r="O88" s="50">
        <f t="shared" si="109"/>
        <v>50.118723362727238</v>
      </c>
      <c r="P88" s="48" t="str">
        <f t="shared" si="99"/>
        <v>304.285714285714</v>
      </c>
      <c r="Q88" s="17" t="str">
        <f t="shared" si="100"/>
        <v>1+16.3975649953051i</v>
      </c>
      <c r="R88" s="17">
        <f t="shared" si="110"/>
        <v>16.428029028926602</v>
      </c>
      <c r="S88" s="17">
        <f t="shared" si="111"/>
        <v>1.5098870973102543</v>
      </c>
      <c r="T88" s="17" t="str">
        <f t="shared" si="101"/>
        <v>1+0.000340097644347069i</v>
      </c>
      <c r="U88" s="17">
        <f t="shared" si="112"/>
        <v>1.0000000578332022</v>
      </c>
      <c r="V88" s="17">
        <f t="shared" si="113"/>
        <v>3.4009763123444566E-4</v>
      </c>
      <c r="W88" s="31" t="str">
        <f t="shared" si="102"/>
        <v>1-0.00106280513858459i</v>
      </c>
      <c r="X88" s="17">
        <f t="shared" si="114"/>
        <v>1.0000005647772219</v>
      </c>
      <c r="Y88" s="17">
        <f t="shared" si="115"/>
        <v>-1.0628047384193258E-3</v>
      </c>
      <c r="Z88" s="31" t="str">
        <f t="shared" si="103"/>
        <v>0.999999842281989+0.00937548146893678i</v>
      </c>
      <c r="AA88" s="17">
        <f t="shared" si="116"/>
        <v>1.0000437911495563</v>
      </c>
      <c r="AB88" s="17">
        <f t="shared" si="117"/>
        <v>9.375208261454172E-3</v>
      </c>
      <c r="AC88" s="66" t="str">
        <f t="shared" si="118"/>
        <v>0.940699448045905-18.497646878948i</v>
      </c>
      <c r="AD88" s="64">
        <f t="shared" si="119"/>
        <v>25.353547087719832</v>
      </c>
      <c r="AE88" s="61">
        <f t="shared" si="120"/>
        <v>-87.088726149639513</v>
      </c>
      <c r="AF88" s="31" t="str">
        <f t="shared" si="104"/>
        <v>-1512.12121212121</v>
      </c>
      <c r="AG88" s="31" t="str">
        <f t="shared" si="121"/>
        <v>314.905226247286i</v>
      </c>
      <c r="AH88" s="31">
        <f t="shared" si="122"/>
        <v>314.90522624728601</v>
      </c>
      <c r="AI88" s="31">
        <f t="shared" si="123"/>
        <v>1.5707963267948966</v>
      </c>
      <c r="AJ88" s="31" t="str">
        <f t="shared" si="105"/>
        <v>0.999568899874695+0.434023481464168i</v>
      </c>
      <c r="AK88" s="31">
        <f t="shared" si="124"/>
        <v>1.0897313283828198</v>
      </c>
      <c r="AL88" s="31">
        <f t="shared" si="125"/>
        <v>0.40964622929612449</v>
      </c>
      <c r="AM88" s="31" t="str">
        <f t="shared" si="106"/>
        <v>1+2.16150947296137i</v>
      </c>
      <c r="AN88" s="31">
        <f t="shared" si="126"/>
        <v>2.3816219686805336</v>
      </c>
      <c r="AO88" s="31">
        <f t="shared" si="127"/>
        <v>1.1374811173326767</v>
      </c>
      <c r="AP88" s="31" t="str">
        <f t="shared" si="107"/>
        <v>1+0.0831349797292835i</v>
      </c>
      <c r="AQ88" s="31">
        <f t="shared" si="128"/>
        <v>1.0034497619983715</v>
      </c>
      <c r="AR88" s="31">
        <f t="shared" si="129"/>
        <v>8.2944243009164212E-2</v>
      </c>
      <c r="AS88" s="58" t="str">
        <f t="shared" si="130"/>
        <v>-7.63287985183194+7.25493162951954i</v>
      </c>
      <c r="AT88" s="49">
        <f t="shared" si="131"/>
        <v>20.449115257753341</v>
      </c>
      <c r="AU88" s="61">
        <f t="shared" si="132"/>
        <v>136.45422232620388</v>
      </c>
      <c r="AV88" s="58" t="str">
        <f t="shared" si="108"/>
        <v>127.018917550144+148.015026348124i</v>
      </c>
      <c r="AW88" s="64">
        <f t="shared" si="133"/>
        <v>45.802662345473166</v>
      </c>
      <c r="AX88" s="61">
        <f t="shared" si="134"/>
        <v>49.365496176564434</v>
      </c>
    </row>
    <row r="89" spans="14:50" x14ac:dyDescent="0.25">
      <c r="N89" s="10">
        <v>71</v>
      </c>
      <c r="O89" s="50">
        <f t="shared" si="109"/>
        <v>51.28613839913649</v>
      </c>
      <c r="P89" s="48" t="str">
        <f t="shared" si="99"/>
        <v>304.285714285714</v>
      </c>
      <c r="Q89" s="17" t="str">
        <f t="shared" si="100"/>
        <v>1+16.7795133501639i</v>
      </c>
      <c r="R89" s="17">
        <f t="shared" si="110"/>
        <v>16.809285180171361</v>
      </c>
      <c r="S89" s="17">
        <f t="shared" si="111"/>
        <v>1.5112702498397361</v>
      </c>
      <c r="T89" s="17" t="str">
        <f t="shared" si="101"/>
        <v>1+0.000348019536151548i</v>
      </c>
      <c r="U89" s="17">
        <f t="shared" si="112"/>
        <v>1.0000000605587969</v>
      </c>
      <c r="V89" s="17">
        <f t="shared" si="113"/>
        <v>3.4801952210111899E-4</v>
      </c>
      <c r="W89" s="31" t="str">
        <f t="shared" si="102"/>
        <v>1-0.00108756105047359i</v>
      </c>
      <c r="X89" s="17">
        <f t="shared" si="114"/>
        <v>1.0000005913943444</v>
      </c>
      <c r="Y89" s="17">
        <f t="shared" si="115"/>
        <v>-1.0875606216887979E-3</v>
      </c>
      <c r="Z89" s="31" t="str">
        <f t="shared" si="103"/>
        <v>0.999999834848969+0.00959386448642108i</v>
      </c>
      <c r="AA89" s="17">
        <f t="shared" si="116"/>
        <v>1.000045854915538</v>
      </c>
      <c r="AB89" s="17">
        <f t="shared" si="117"/>
        <v>9.5935717400540913E-3</v>
      </c>
      <c r="AC89" s="66" t="str">
        <f t="shared" si="118"/>
        <v>0.89010348837485-18.0795239157091i</v>
      </c>
      <c r="AD89" s="64">
        <f t="shared" si="119"/>
        <v>25.154253743062213</v>
      </c>
      <c r="AE89" s="61">
        <f t="shared" si="120"/>
        <v>-87.181450774442268</v>
      </c>
      <c r="AF89" s="31" t="str">
        <f t="shared" si="104"/>
        <v>-1512.12121212121</v>
      </c>
      <c r="AG89" s="31" t="str">
        <f t="shared" si="121"/>
        <v>322.240311251433i</v>
      </c>
      <c r="AH89" s="31">
        <f t="shared" si="122"/>
        <v>322.24031125143301</v>
      </c>
      <c r="AI89" s="31">
        <f t="shared" si="123"/>
        <v>1.5707963267948966</v>
      </c>
      <c r="AJ89" s="31" t="str">
        <f t="shared" si="105"/>
        <v>0.999548582751725+0.444133187067579i</v>
      </c>
      <c r="AK89" s="31">
        <f t="shared" si="124"/>
        <v>1.0937786143163464</v>
      </c>
      <c r="AL89" s="31">
        <f t="shared" si="125"/>
        <v>0.41813190440686865</v>
      </c>
      <c r="AM89" s="31" t="str">
        <f t="shared" si="106"/>
        <v>1+2.21185749642983i</v>
      </c>
      <c r="AN89" s="31">
        <f t="shared" si="126"/>
        <v>2.4274088210503058</v>
      </c>
      <c r="AO89" s="31">
        <f t="shared" si="127"/>
        <v>1.146190194978697</v>
      </c>
      <c r="AP89" s="31" t="str">
        <f t="shared" si="107"/>
        <v>1+0.0850714421703783i</v>
      </c>
      <c r="AQ89" s="31">
        <f t="shared" si="128"/>
        <v>1.0036120516778124</v>
      </c>
      <c r="AR89" s="31">
        <f t="shared" si="129"/>
        <v>8.4867103798721838E-2</v>
      </c>
      <c r="AS89" s="58" t="str">
        <f t="shared" si="130"/>
        <v>-7.59106694401459+7.18424087063589i</v>
      </c>
      <c r="AT89" s="49">
        <f t="shared" si="131"/>
        <v>20.383722065214279</v>
      </c>
      <c r="AU89" s="61">
        <f t="shared" si="132"/>
        <v>136.57719415644047</v>
      </c>
      <c r="AV89" s="58" t="str">
        <f t="shared" si="108"/>
        <v>123.130819469522+143.637594220339i</v>
      </c>
      <c r="AW89" s="64">
        <f t="shared" si="133"/>
        <v>45.537975808276499</v>
      </c>
      <c r="AX89" s="61">
        <f t="shared" si="134"/>
        <v>49.395743381998251</v>
      </c>
    </row>
    <row r="90" spans="14:50" x14ac:dyDescent="0.25">
      <c r="N90" s="10">
        <v>72</v>
      </c>
      <c r="O90" s="50">
        <f t="shared" si="109"/>
        <v>52.480746024977286</v>
      </c>
      <c r="P90" s="48" t="str">
        <f t="shared" si="99"/>
        <v>304.285714285714</v>
      </c>
      <c r="Q90" s="17" t="str">
        <f t="shared" si="100"/>
        <v>1+17.1703584251042i</v>
      </c>
      <c r="R90" s="17">
        <f t="shared" si="110"/>
        <v>17.199453725236356</v>
      </c>
      <c r="S90" s="17">
        <f t="shared" si="111"/>
        <v>1.5126221383509622</v>
      </c>
      <c r="T90" s="17" t="str">
        <f t="shared" si="101"/>
        <v>1+0.000356125952520678i</v>
      </c>
      <c r="U90" s="17">
        <f t="shared" si="112"/>
        <v>1.000000063412845</v>
      </c>
      <c r="V90" s="17">
        <f t="shared" si="113"/>
        <v>3.5612593746537209E-4</v>
      </c>
      <c r="W90" s="31" t="str">
        <f t="shared" si="102"/>
        <v>1-0.00111289360162712i</v>
      </c>
      <c r="X90" s="17">
        <f t="shared" si="114"/>
        <v>1.0000006192658926</v>
      </c>
      <c r="Y90" s="17">
        <f t="shared" si="115"/>
        <v>-1.1128931421759529E-3</v>
      </c>
      <c r="Z90" s="31" t="str">
        <f t="shared" si="103"/>
        <v>0.99999982706564+0.0098173342978459i</v>
      </c>
      <c r="AA90" s="17">
        <f t="shared" si="116"/>
        <v>1.0000480159392475</v>
      </c>
      <c r="AB90" s="17">
        <f t="shared" si="117"/>
        <v>9.8170206152755658E-3</v>
      </c>
      <c r="AC90" s="66" t="str">
        <f t="shared" si="118"/>
        <v>0.84176903425963-17.6707163723241i</v>
      </c>
      <c r="AD90" s="64">
        <f t="shared" si="119"/>
        <v>24.954927078503829</v>
      </c>
      <c r="AE90" s="61">
        <f t="shared" si="120"/>
        <v>-87.272697941115865</v>
      </c>
      <c r="AF90" s="31" t="str">
        <f t="shared" si="104"/>
        <v>-1512.12121212121</v>
      </c>
      <c r="AG90" s="31" t="str">
        <f t="shared" si="121"/>
        <v>329.746252333961i</v>
      </c>
      <c r="AH90" s="31">
        <f t="shared" si="122"/>
        <v>329.74625233396102</v>
      </c>
      <c r="AI90" s="31">
        <f t="shared" si="123"/>
        <v>1.5707963267948966</v>
      </c>
      <c r="AJ90" s="31" t="str">
        <f t="shared" si="105"/>
        <v>0.999527308112249+0.454478377965571i</v>
      </c>
      <c r="AK90" s="31">
        <f t="shared" si="124"/>
        <v>1.0980006537795572</v>
      </c>
      <c r="AL90" s="31">
        <f t="shared" si="125"/>
        <v>0.42675002222102859</v>
      </c>
      <c r="AM90" s="31" t="str">
        <f t="shared" si="106"/>
        <v>1+2.2633782760203i</v>
      </c>
      <c r="AN90" s="31">
        <f t="shared" si="126"/>
        <v>2.47444563899889</v>
      </c>
      <c r="AO90" s="31">
        <f t="shared" si="127"/>
        <v>1.154767817072051</v>
      </c>
      <c r="AP90" s="31" t="str">
        <f t="shared" si="107"/>
        <v>1+0.0870530106161657i</v>
      </c>
      <c r="AQ90" s="31">
        <f t="shared" si="128"/>
        <v>1.0037819617114756</v>
      </c>
      <c r="AR90" s="31">
        <f t="shared" si="129"/>
        <v>8.683410263611345E-2</v>
      </c>
      <c r="AS90" s="58" t="str">
        <f t="shared" si="130"/>
        <v>-7.54794045504405+7.11591035343653i</v>
      </c>
      <c r="AT90" s="49">
        <f t="shared" si="131"/>
        <v>20.318428858772677</v>
      </c>
      <c r="AU90" s="61">
        <f t="shared" si="132"/>
        <v>136.68757465423968</v>
      </c>
      <c r="AV90" s="58" t="str">
        <f t="shared" si="108"/>
        <v>119.38961103897+139.367467962365i</v>
      </c>
      <c r="AW90" s="64">
        <f t="shared" si="133"/>
        <v>45.27335593727652</v>
      </c>
      <c r="AX90" s="61">
        <f t="shared" si="134"/>
        <v>49.414876713123846</v>
      </c>
    </row>
    <row r="91" spans="14:50" x14ac:dyDescent="0.25">
      <c r="N91" s="10">
        <v>73</v>
      </c>
      <c r="O91" s="50">
        <f t="shared" si="109"/>
        <v>53.703179637025293</v>
      </c>
      <c r="P91" s="48" t="str">
        <f t="shared" si="99"/>
        <v>304.285714285714</v>
      </c>
      <c r="Q91" s="17" t="str">
        <f t="shared" si="100"/>
        <v>1+17.5703074513579i</v>
      </c>
      <c r="R91" s="17">
        <f t="shared" si="110"/>
        <v>17.598741544077601</v>
      </c>
      <c r="S91" s="17">
        <f t="shared" si="111"/>
        <v>1.5139434598562207</v>
      </c>
      <c r="T91" s="17" t="str">
        <f t="shared" si="101"/>
        <v>1+0.000364421191583718i</v>
      </c>
      <c r="U91" s="17">
        <f t="shared" si="112"/>
        <v>1.0000000664014004</v>
      </c>
      <c r="V91" s="17">
        <f t="shared" si="113"/>
        <v>3.6442117545166716E-4</v>
      </c>
      <c r="W91" s="31" t="str">
        <f t="shared" si="102"/>
        <v>1-0.00113881622369912i</v>
      </c>
      <c r="X91" s="17">
        <f t="shared" si="114"/>
        <v>1.0000006484509854</v>
      </c>
      <c r="Y91" s="17">
        <f t="shared" si="115"/>
        <v>-1.1388157313883417E-3</v>
      </c>
      <c r="Z91" s="31" t="str">
        <f t="shared" si="103"/>
        <v>0.999999818915495+0.0100460093898632i</v>
      </c>
      <c r="AA91" s="17">
        <f t="shared" si="116"/>
        <v>1.0000502788038628</v>
      </c>
      <c r="AB91" s="17">
        <f t="shared" si="117"/>
        <v>1.0045673273846038E-2</v>
      </c>
      <c r="AC91" s="66" t="str">
        <f t="shared" si="118"/>
        <v>0.795595684255759-17.2710254331772i</v>
      </c>
      <c r="AD91" s="64">
        <f t="shared" si="119"/>
        <v>24.75556850708368</v>
      </c>
      <c r="AE91" s="61">
        <f t="shared" si="120"/>
        <v>-87.362514891886846</v>
      </c>
      <c r="AF91" s="31" t="str">
        <f t="shared" si="104"/>
        <v>-1512.12121212121</v>
      </c>
      <c r="AG91" s="31" t="str">
        <f t="shared" si="121"/>
        <v>337.427029244183i</v>
      </c>
      <c r="AH91" s="31">
        <f t="shared" si="122"/>
        <v>337.42702924418302</v>
      </c>
      <c r="AI91" s="31">
        <f t="shared" si="123"/>
        <v>1.5707963267948966</v>
      </c>
      <c r="AJ91" s="31" t="str">
        <f t="shared" si="105"/>
        <v>0.999505030829903+0.465064539315293i</v>
      </c>
      <c r="AK91" s="31">
        <f t="shared" si="124"/>
        <v>1.1024043416019511</v>
      </c>
      <c r="AL91" s="31">
        <f t="shared" si="125"/>
        <v>0.43550007264389357</v>
      </c>
      <c r="AM91" s="31" t="str">
        <f t="shared" si="106"/>
        <v>1+2.31609912873207i</v>
      </c>
      <c r="AN91" s="31">
        <f t="shared" si="126"/>
        <v>2.5227594364333377</v>
      </c>
      <c r="AO91" s="31">
        <f t="shared" si="127"/>
        <v>1.1632134817096682</v>
      </c>
      <c r="AP91" s="31" t="str">
        <f t="shared" si="107"/>
        <v>1+0.0890807357204643i</v>
      </c>
      <c r="AQ91" s="31">
        <f t="shared" si="128"/>
        <v>1.0039598485380274</v>
      </c>
      <c r="AR91" s="31">
        <f t="shared" si="129"/>
        <v>8.8846221532482811E-2</v>
      </c>
      <c r="AS91" s="58" t="str">
        <f t="shared" si="130"/>
        <v>-7.50348539643962+7.04983571167761i</v>
      </c>
      <c r="AT91" s="49">
        <f t="shared" si="131"/>
        <v>20.253160122984298</v>
      </c>
      <c r="AU91" s="61">
        <f t="shared" si="132"/>
        <v>136.78542055404176</v>
      </c>
      <c r="AV91" s="58" t="str">
        <f t="shared" si="108"/>
        <v>115.788151277821+135.201705986305i</v>
      </c>
      <c r="AW91" s="64">
        <f t="shared" si="133"/>
        <v>45.008728630067949</v>
      </c>
      <c r="AX91" s="61">
        <f t="shared" si="134"/>
        <v>49.422905662154967</v>
      </c>
    </row>
    <row r="92" spans="14:50" x14ac:dyDescent="0.25">
      <c r="N92" s="10">
        <v>74</v>
      </c>
      <c r="O92" s="50">
        <f t="shared" si="109"/>
        <v>54.95408738576247</v>
      </c>
      <c r="P92" s="48" t="str">
        <f t="shared" si="99"/>
        <v>304.285714285714</v>
      </c>
      <c r="Q92" s="17" t="str">
        <f t="shared" si="100"/>
        <v>1+17.9795724871928i</v>
      </c>
      <c r="R92" s="17">
        <f t="shared" si="110"/>
        <v>18.00736035131802</v>
      </c>
      <c r="S92" s="17">
        <f t="shared" si="111"/>
        <v>1.5152348964721616</v>
      </c>
      <c r="T92" s="17" t="str">
        <f t="shared" si="101"/>
        <v>1+0.000372909651586221i</v>
      </c>
      <c r="U92" s="17">
        <f t="shared" si="112"/>
        <v>1.0000000695308018</v>
      </c>
      <c r="V92" s="17">
        <f t="shared" si="113"/>
        <v>3.7290963430041714E-4</v>
      </c>
      <c r="W92" s="31" t="str">
        <f t="shared" si="102"/>
        <v>1-0.00116534266120694i</v>
      </c>
      <c r="X92" s="17">
        <f t="shared" si="114"/>
        <v>1.0000006790115286</v>
      </c>
      <c r="Y92" s="17">
        <f t="shared" si="115"/>
        <v>-1.1653421336864564E-3</v>
      </c>
      <c r="Z92" s="31" t="str">
        <f t="shared" si="103"/>
        <v>0.999999810381245+0.0102800110090337i</v>
      </c>
      <c r="AA92" s="17">
        <f t="shared" si="116"/>
        <v>1.0000526483085137</v>
      </c>
      <c r="AB92" s="17">
        <f t="shared" si="117"/>
        <v>1.027965085525654E-2</v>
      </c>
      <c r="AC92" s="66" t="str">
        <f t="shared" si="118"/>
        <v>0.751487435368146-16.8802559320843i</v>
      </c>
      <c r="AD92" s="64">
        <f t="shared" si="119"/>
        <v>24.556179375495141</v>
      </c>
      <c r="AE92" s="61">
        <f t="shared" si="120"/>
        <v>-87.450948185435152</v>
      </c>
      <c r="AF92" s="31" t="str">
        <f t="shared" si="104"/>
        <v>-1512.12121212121</v>
      </c>
      <c r="AG92" s="31" t="str">
        <f t="shared" si="121"/>
        <v>345.286714431686i</v>
      </c>
      <c r="AH92" s="31">
        <f t="shared" si="122"/>
        <v>345.28671443168599</v>
      </c>
      <c r="AI92" s="31">
        <f t="shared" si="123"/>
        <v>1.5707963267948966</v>
      </c>
      <c r="AJ92" s="31" t="str">
        <f t="shared" si="105"/>
        <v>0.999481703651587+0.475897284039616i</v>
      </c>
      <c r="AK92" s="31">
        <f t="shared" si="124"/>
        <v>1.1069967935321952</v>
      </c>
      <c r="AL92" s="31">
        <f t="shared" si="125"/>
        <v>0.44438137906643171</v>
      </c>
      <c r="AM92" s="31" t="str">
        <f t="shared" si="106"/>
        <v>1+2.37004800785909i</v>
      </c>
      <c r="AN92" s="31">
        <f t="shared" si="126"/>
        <v>2.5723778026481336</v>
      </c>
      <c r="AO92" s="31">
        <f t="shared" si="127"/>
        <v>1.1715268464622357</v>
      </c>
      <c r="AP92" s="31" t="str">
        <f t="shared" si="107"/>
        <v>1+0.0911556926099651i</v>
      </c>
      <c r="AQ92" s="31">
        <f t="shared" si="128"/>
        <v>1.0041460851366211</v>
      </c>
      <c r="AR92" s="31">
        <f t="shared" si="129"/>
        <v>9.0904462133304817E-2</v>
      </c>
      <c r="AS92" s="58" t="str">
        <f t="shared" si="130"/>
        <v>-7.4576887454195+6.98591200017867i</v>
      </c>
      <c r="AT92" s="49">
        <f t="shared" si="131"/>
        <v>20.18784054451331</v>
      </c>
      <c r="AU92" s="61">
        <f t="shared" si="132"/>
        <v>136.87080839299236</v>
      </c>
      <c r="AV92" s="58" t="str">
        <f t="shared" si="108"/>
        <v>112.319623092966+131.137519777228i</v>
      </c>
      <c r="AW92" s="64">
        <f t="shared" si="133"/>
        <v>44.744019920008483</v>
      </c>
      <c r="AX92" s="61">
        <f t="shared" si="134"/>
        <v>49.419860207557228</v>
      </c>
    </row>
    <row r="93" spans="14:50" x14ac:dyDescent="0.25">
      <c r="N93" s="10">
        <v>75</v>
      </c>
      <c r="O93" s="50">
        <f t="shared" si="109"/>
        <v>56.234132519034915</v>
      </c>
      <c r="P93" s="48" t="str">
        <f t="shared" si="99"/>
        <v>304.285714285714</v>
      </c>
      <c r="Q93" s="17" t="str">
        <f t="shared" si="100"/>
        <v>1+18.3983705303483i</v>
      </c>
      <c r="R93" s="17">
        <f t="shared" si="110"/>
        <v>18.425526808533554</v>
      </c>
      <c r="S93" s="17">
        <f t="shared" si="111"/>
        <v>1.5164971156948654</v>
      </c>
      <c r="T93" s="17" t="str">
        <f t="shared" si="101"/>
        <v>1+0.000381595833222037i</v>
      </c>
      <c r="U93" s="17">
        <f t="shared" si="112"/>
        <v>1.0000000728076874</v>
      </c>
      <c r="V93" s="17">
        <f t="shared" si="113"/>
        <v>3.8159581469996454E-4</v>
      </c>
      <c r="W93" s="31" t="str">
        <f t="shared" si="102"/>
        <v>1-0.00119248697881887i</v>
      </c>
      <c r="X93" s="17">
        <f t="shared" si="114"/>
        <v>1.0000007110123446</v>
      </c>
      <c r="Y93" s="17">
        <f t="shared" si="115"/>
        <v>-1.1924864135705094E-3</v>
      </c>
      <c r="Z93" s="31" t="str">
        <f t="shared" si="103"/>
        <v>0.999999801444789+0.0105194632261132i</v>
      </c>
      <c r="AA93" s="17">
        <f t="shared" si="116"/>
        <v>1.0000551294784616</v>
      </c>
      <c r="AB93" s="17">
        <f t="shared" si="117"/>
        <v>1.0519077315537083E-2</v>
      </c>
      <c r="AC93" s="66" t="str">
        <f t="shared" si="118"/>
        <v>0.709352495586628-16.4982163264514i</v>
      </c>
      <c r="AD93" s="64">
        <f t="shared" si="119"/>
        <v>24.356760966826705</v>
      </c>
      <c r="AE93" s="61">
        <f t="shared" si="120"/>
        <v>-87.538043716592497</v>
      </c>
      <c r="AF93" s="31" t="str">
        <f t="shared" si="104"/>
        <v>-1512.12121212121</v>
      </c>
      <c r="AG93" s="31" t="str">
        <f t="shared" si="121"/>
        <v>353.32947520559i</v>
      </c>
      <c r="AH93" s="31">
        <f t="shared" si="122"/>
        <v>353.32947520558997</v>
      </c>
      <c r="AI93" s="31">
        <f t="shared" si="123"/>
        <v>1.5707963267948966</v>
      </c>
      <c r="AJ93" s="31" t="str">
        <f t="shared" si="105"/>
        <v>0.999457277097226+0.486982355803183i</v>
      </c>
      <c r="AK93" s="31">
        <f t="shared" si="124"/>
        <v>1.1117853496094554</v>
      </c>
      <c r="AL93" s="31">
        <f t="shared" si="125"/>
        <v>0.45339309208010425</v>
      </c>
      <c r="AM93" s="31" t="str">
        <f t="shared" si="106"/>
        <v>1+2.42525351781116i</v>
      </c>
      <c r="AN93" s="31">
        <f t="shared" si="126"/>
        <v>2.623328920599818</v>
      </c>
      <c r="AO93" s="31">
        <f t="shared" si="127"/>
        <v>1.1797077217059828</v>
      </c>
      <c r="AP93" s="31" t="str">
        <f t="shared" si="107"/>
        <v>1+0.0932789814542757i</v>
      </c>
      <c r="AQ93" s="31">
        <f t="shared" si="128"/>
        <v>1.0043410617818767</v>
      </c>
      <c r="AR93" s="31">
        <f t="shared" si="129"/>
        <v>9.3009845950901199E-2</v>
      </c>
      <c r="AS93" s="58" t="str">
        <f t="shared" si="130"/>
        <v>-7.41053961130721+6.9240337315721i</v>
      </c>
      <c r="AT93" s="49">
        <f t="shared" si="131"/>
        <v>20.122395129789052</v>
      </c>
      <c r="AU93" s="61">
        <f t="shared" si="132"/>
        <v>136.94383450231891</v>
      </c>
      <c r="AV93" s="58" t="str">
        <f t="shared" si="108"/>
        <v>108.977521588199+127.1722662101i</v>
      </c>
      <c r="AW93" s="64">
        <f t="shared" si="133"/>
        <v>44.479156096615768</v>
      </c>
      <c r="AX93" s="61">
        <f t="shared" si="134"/>
        <v>49.405790785726303</v>
      </c>
    </row>
    <row r="94" spans="14:50" x14ac:dyDescent="0.25">
      <c r="N94" s="10">
        <v>76</v>
      </c>
      <c r="O94" s="50">
        <f t="shared" si="109"/>
        <v>57.543993733715695</v>
      </c>
      <c r="P94" s="48" t="str">
        <f t="shared" si="99"/>
        <v>304.285714285714</v>
      </c>
      <c r="Q94" s="17" t="str">
        <f t="shared" si="100"/>
        <v>1+18.8269236330901i</v>
      </c>
      <c r="R94" s="17">
        <f t="shared" si="110"/>
        <v>18.853462639160121</v>
      </c>
      <c r="S94" s="17">
        <f t="shared" si="111"/>
        <v>1.517730770672842</v>
      </c>
      <c r="T94" s="17" t="str">
        <f t="shared" si="101"/>
        <v>1+0.000390484342019646i</v>
      </c>
      <c r="U94" s="17">
        <f t="shared" si="112"/>
        <v>1.0000000762390078</v>
      </c>
      <c r="V94" s="17">
        <f t="shared" si="113"/>
        <v>3.9048432217288784E-4</v>
      </c>
      <c r="W94" s="31" t="str">
        <f t="shared" si="102"/>
        <v>1-0.0012202635688114i</v>
      </c>
      <c r="X94" s="17">
        <f t="shared" si="114"/>
        <v>1.0000007445213115</v>
      </c>
      <c r="Y94" s="17">
        <f t="shared" si="115"/>
        <v>-1.2202629631368938E-3</v>
      </c>
      <c r="Z94" s="31" t="str">
        <f t="shared" si="103"/>
        <v>0.99999979208717+0.0107644930018367i</v>
      </c>
      <c r="AA94" s="17">
        <f t="shared" si="116"/>
        <v>1.0000577275757483</v>
      </c>
      <c r="AB94" s="17">
        <f t="shared" si="117"/>
        <v>1.076407949249345E-2</v>
      </c>
      <c r="AC94" s="66" t="str">
        <f t="shared" si="118"/>
        <v>0.669103103950504-16.1247186683222i</v>
      </c>
      <c r="AD94" s="64">
        <f t="shared" si="119"/>
        <v>24.157314503176828</v>
      </c>
      <c r="AE94" s="61">
        <f t="shared" si="120"/>
        <v>-87.623846736012212</v>
      </c>
      <c r="AF94" s="31" t="str">
        <f t="shared" si="104"/>
        <v>-1512.12121212121</v>
      </c>
      <c r="AG94" s="31" t="str">
        <f t="shared" si="121"/>
        <v>361.559575944117i</v>
      </c>
      <c r="AH94" s="31">
        <f t="shared" si="122"/>
        <v>361.559575944117</v>
      </c>
      <c r="AI94" s="31">
        <f t="shared" si="123"/>
        <v>1.5707963267948966</v>
      </c>
      <c r="AJ94" s="31" t="str">
        <f t="shared" si="105"/>
        <v>0.999431699354824+0.49832563205777i</v>
      </c>
      <c r="AK94" s="31">
        <f t="shared" si="124"/>
        <v>1.1167775773362603</v>
      </c>
      <c r="AL94" s="31">
        <f t="shared" si="125"/>
        <v>0.46253418344269143</v>
      </c>
      <c r="AM94" s="31" t="str">
        <f t="shared" si="106"/>
        <v>1+2.48174492928041i</v>
      </c>
      <c r="AN94" s="31">
        <f t="shared" si="126"/>
        <v>2.6756415854910438</v>
      </c>
      <c r="AO94" s="31">
        <f t="shared" si="127"/>
        <v>1.187756063846249</v>
      </c>
      <c r="AP94" s="31" t="str">
        <f t="shared" si="107"/>
        <v>1+0.0954517280492468i</v>
      </c>
      <c r="AQ94" s="31">
        <f t="shared" si="128"/>
        <v>1.0045451868321242</v>
      </c>
      <c r="AR94" s="31">
        <f t="shared" si="129"/>
        <v>9.5163414587119355E-2</v>
      </c>
      <c r="AS94" s="58" t="str">
        <f t="shared" si="130"/>
        <v>-7.36202940249269+6.86409492813321i</v>
      </c>
      <c r="AT94" s="49">
        <f t="shared" si="131"/>
        <v>20.056749323117401</v>
      </c>
      <c r="AU94" s="61">
        <f t="shared" si="132"/>
        <v>137.00461497756086</v>
      </c>
      <c r="AV94" s="58" t="str">
        <f t="shared" si="108"/>
        <v>105.755642904223+123.303440165336i</v>
      </c>
      <c r="AW94" s="64">
        <f t="shared" si="133"/>
        <v>44.214063826294264</v>
      </c>
      <c r="AX94" s="61">
        <f t="shared" si="134"/>
        <v>49.38076824154863</v>
      </c>
    </row>
    <row r="95" spans="14:50" x14ac:dyDescent="0.25">
      <c r="N95" s="10">
        <v>77</v>
      </c>
      <c r="O95" s="50">
        <f t="shared" si="109"/>
        <v>58.884365535558949</v>
      </c>
      <c r="P95" s="48" t="str">
        <f t="shared" si="99"/>
        <v>304.285714285714</v>
      </c>
      <c r="Q95" s="17" t="str">
        <f t="shared" si="100"/>
        <v>1+19.2654590199461i</v>
      </c>
      <c r="R95" s="17">
        <f t="shared" si="110"/>
        <v>19.291394746083615</v>
      </c>
      <c r="S95" s="17">
        <f t="shared" si="111"/>
        <v>1.5189365004777349</v>
      </c>
      <c r="T95" s="17" t="str">
        <f t="shared" si="101"/>
        <v>1+0.000399579890784065i</v>
      </c>
      <c r="U95" s="17">
        <f t="shared" si="112"/>
        <v>1.0000000798320414</v>
      </c>
      <c r="V95" s="17">
        <f t="shared" si="113"/>
        <v>3.9957986951788061E-4</v>
      </c>
      <c r="W95" s="31" t="str">
        <f t="shared" si="102"/>
        <v>1-0.00124868715870021i</v>
      </c>
      <c r="X95" s="17">
        <f t="shared" si="114"/>
        <v>1.0000007796095063</v>
      </c>
      <c r="Y95" s="17">
        <f t="shared" si="115"/>
        <v>-1.2486865097083113E-3</v>
      </c>
      <c r="Z95" s="31" t="str">
        <f t="shared" si="103"/>
        <v>0.99999978228854+0.0110152302542347i</v>
      </c>
      <c r="AA95" s="17">
        <f t="shared" si="116"/>
        <v>1.0000604481103537</v>
      </c>
      <c r="AB95" s="17">
        <f t="shared" si="117"/>
        <v>1.1014787172436959E-2</v>
      </c>
      <c r="AC95" s="66" t="str">
        <f t="shared" si="118"/>
        <v>0.630655357881349-15.7595785726226i</v>
      </c>
      <c r="AD95" s="64">
        <f t="shared" si="119"/>
        <v>23.95784114814948</v>
      </c>
      <c r="AE95" s="61">
        <f t="shared" si="120"/>
        <v>-87.708401869800085</v>
      </c>
      <c r="AF95" s="31" t="str">
        <f t="shared" si="104"/>
        <v>-1512.12121212121</v>
      </c>
      <c r="AG95" s="31" t="str">
        <f t="shared" si="121"/>
        <v>369.981380355616i</v>
      </c>
      <c r="AH95" s="31">
        <f t="shared" si="122"/>
        <v>369.98138035561601</v>
      </c>
      <c r="AI95" s="31">
        <f t="shared" si="123"/>
        <v>1.5707963267948966</v>
      </c>
      <c r="AJ95" s="31" t="str">
        <f t="shared" si="105"/>
        <v>0.999404916170561+0.509933127158594i</v>
      </c>
      <c r="AK95" s="31">
        <f t="shared" si="124"/>
        <v>1.1219812746385871</v>
      </c>
      <c r="AL95" s="31">
        <f t="shared" si="125"/>
        <v>0.47180344034555893</v>
      </c>
      <c r="AM95" s="31" t="str">
        <f t="shared" si="106"/>
        <v>1+2.53955219476094i</v>
      </c>
      <c r="AN95" s="31">
        <f t="shared" si="126"/>
        <v>2.7293452236598994</v>
      </c>
      <c r="AO95" s="31">
        <f t="shared" si="127"/>
        <v>1.1956719684729318</v>
      </c>
      <c r="AP95" s="31" t="str">
        <f t="shared" si="107"/>
        <v>1+0.0976750844138826i</v>
      </c>
      <c r="AQ95" s="31">
        <f t="shared" si="128"/>
        <v>1.0047588875522619</v>
      </c>
      <c r="AR95" s="31">
        <f t="shared" si="129"/>
        <v>9.7366229944943677E-2</v>
      </c>
      <c r="AS95" s="58" t="str">
        <f t="shared" si="130"/>
        <v>-7.31215199272109+6.80598918926234i</v>
      </c>
      <c r="AT95" s="49">
        <f t="shared" si="131"/>
        <v>19.990829125373413</v>
      </c>
      <c r="AU95" s="61">
        <f t="shared" si="132"/>
        <v>137.053285626991</v>
      </c>
      <c r="AV95" s="58" t="str">
        <f t="shared" si="108"/>
        <v>102.648073560747+119.528667412138i</v>
      </c>
      <c r="AW95" s="64">
        <f t="shared" si="133"/>
        <v>43.948670273522893</v>
      </c>
      <c r="AX95" s="61">
        <f t="shared" si="134"/>
        <v>49.34488375719112</v>
      </c>
    </row>
    <row r="96" spans="14:50" x14ac:dyDescent="0.25">
      <c r="N96" s="10">
        <v>78</v>
      </c>
      <c r="O96" s="50">
        <f t="shared" si="109"/>
        <v>60.255958607435822</v>
      </c>
      <c r="P96" s="48" t="str">
        <f t="shared" si="99"/>
        <v>304.285714285714</v>
      </c>
      <c r="Q96" s="17" t="str">
        <f t="shared" si="100"/>
        <v>1+19.7142092081828i</v>
      </c>
      <c r="R96" s="17">
        <f t="shared" si="110"/>
        <v>19.739555331972387</v>
      </c>
      <c r="S96" s="17">
        <f t="shared" si="111"/>
        <v>1.5201149303725217</v>
      </c>
      <c r="T96" s="17" t="str">
        <f t="shared" si="101"/>
        <v>1+0.000408887302095643i</v>
      </c>
      <c r="U96" s="17">
        <f t="shared" si="112"/>
        <v>1.0000000835944094</v>
      </c>
      <c r="V96" s="17">
        <f t="shared" si="113"/>
        <v>4.0888727930851602E-4</v>
      </c>
      <c r="W96" s="31" t="str">
        <f t="shared" si="102"/>
        <v>1-0.00127777281904889i</v>
      </c>
      <c r="X96" s="17">
        <f t="shared" si="114"/>
        <v>1.0000008163513554</v>
      </c>
      <c r="Y96" s="17">
        <f t="shared" si="115"/>
        <v>-1.2777721236415724E-3</v>
      </c>
      <c r="Z96" s="31" t="str">
        <f t="shared" si="103"/>
        <v>0.999999772028115+0.0112718079275173i</v>
      </c>
      <c r="AA96" s="17">
        <f t="shared" si="116"/>
        <v>1.0000632968518728</v>
      </c>
      <c r="AB96" s="17">
        <f t="shared" si="117"/>
        <v>1.1271333158440148E-2</v>
      </c>
      <c r="AC96" s="66" t="str">
        <f t="shared" si="118"/>
        <v>0.593929047528594-15.402615182883i</v>
      </c>
      <c r="AD96" s="64">
        <f t="shared" si="119"/>
        <v>23.758342009233754</v>
      </c>
      <c r="AE96" s="61">
        <f t="shared" si="120"/>
        <v>-87.791753139096144</v>
      </c>
      <c r="AF96" s="31" t="str">
        <f t="shared" si="104"/>
        <v>-1512.12121212121</v>
      </c>
      <c r="AG96" s="31" t="str">
        <f t="shared" si="121"/>
        <v>378.599353792262i</v>
      </c>
      <c r="AH96" s="31">
        <f t="shared" si="122"/>
        <v>378.59935379226198</v>
      </c>
      <c r="AI96" s="31">
        <f t="shared" si="123"/>
        <v>1.5707963267948966</v>
      </c>
      <c r="AJ96" s="31" t="str">
        <f t="shared" si="105"/>
        <v>0.999376870733711+0.5218109955532i</v>
      </c>
      <c r="AK96" s="31">
        <f t="shared" si="124"/>
        <v>1.1274044725996639</v>
      </c>
      <c r="AL96" s="31">
        <f t="shared" si="125"/>
        <v>0.48119946003459435</v>
      </c>
      <c r="AM96" s="31" t="str">
        <f t="shared" si="106"/>
        <v>1+2.59870596443008i</v>
      </c>
      <c r="AN96" s="31">
        <f t="shared" si="126"/>
        <v>2.7844699117721623</v>
      </c>
      <c r="AO96" s="31">
        <f t="shared" si="127"/>
        <v>1.2034556634851201</v>
      </c>
      <c r="AP96" s="31" t="str">
        <f t="shared" si="107"/>
        <v>1+0.0999502294011571i</v>
      </c>
      <c r="AQ96" s="31">
        <f t="shared" si="128"/>
        <v>1.0049826109726196</v>
      </c>
      <c r="AR96" s="31">
        <f t="shared" si="129"/>
        <v>9.9619374427733817E-2</v>
      </c>
      <c r="AS96" s="58" t="str">
        <f t="shared" si="130"/>
        <v>-7.26090388537463+6.74960977509134i</v>
      </c>
      <c r="AT96" s="49">
        <f t="shared" si="131"/>
        <v>19.9245612133851</v>
      </c>
      <c r="AU96" s="61">
        <f t="shared" si="132"/>
        <v>137.09000189729997</v>
      </c>
      <c r="AV96" s="58" t="str">
        <f t="shared" si="108"/>
        <v>99.6491802715202+115.845697731235i</v>
      </c>
      <c r="AW96" s="64">
        <f t="shared" si="133"/>
        <v>43.682903222618847</v>
      </c>
      <c r="AX96" s="61">
        <f t="shared" si="134"/>
        <v>49.298248758203805</v>
      </c>
    </row>
    <row r="97" spans="14:50" x14ac:dyDescent="0.25">
      <c r="N97" s="10">
        <v>79</v>
      </c>
      <c r="O97" s="50">
        <f t="shared" si="109"/>
        <v>61.659500186148257</v>
      </c>
      <c r="P97" s="48" t="str">
        <f t="shared" si="99"/>
        <v>304.285714285714</v>
      </c>
      <c r="Q97" s="17" t="str">
        <f t="shared" si="100"/>
        <v>1+20.1734121310902i</v>
      </c>
      <c r="R97" s="17">
        <f t="shared" si="110"/>
        <v>20.19818202242017</v>
      </c>
      <c r="S97" s="17">
        <f t="shared" si="111"/>
        <v>1.5212666720770451</v>
      </c>
      <c r="T97" s="17" t="str">
        <f t="shared" si="101"/>
        <v>1+0.000418411510867056i</v>
      </c>
      <c r="U97" s="17">
        <f t="shared" si="112"/>
        <v>1.0000000875340924</v>
      </c>
      <c r="V97" s="17">
        <f t="shared" si="113"/>
        <v>4.1841148645020958E-4</v>
      </c>
      <c r="W97" s="31" t="str">
        <f t="shared" si="102"/>
        <v>1-0.00130753597145955i</v>
      </c>
      <c r="X97" s="17">
        <f t="shared" si="114"/>
        <v>1.000000854824793</v>
      </c>
      <c r="Y97" s="17">
        <f t="shared" si="115"/>
        <v>-1.3075352263172185E-3</v>
      </c>
      <c r="Z97" s="31" t="str">
        <f t="shared" si="103"/>
        <v>0.999999761284131+0.0115343620625631i</v>
      </c>
      <c r="AA97" s="17">
        <f t="shared" si="116"/>
        <v>1.0000662798417459</v>
      </c>
      <c r="AB97" s="17">
        <f t="shared" si="117"/>
        <v>1.1533853340152337E-2</v>
      </c>
      <c r="AC97" s="66" t="str">
        <f t="shared" si="118"/>
        <v>0.558847496877446-15.0536511347026i</v>
      </c>
      <c r="AD97" s="64">
        <f t="shared" si="119"/>
        <v>23.55881814007234</v>
      </c>
      <c r="AE97" s="61">
        <f t="shared" si="120"/>
        <v>-87.873943979599758</v>
      </c>
      <c r="AF97" s="31" t="str">
        <f t="shared" si="104"/>
        <v>-1512.12121212121</v>
      </c>
      <c r="AG97" s="31" t="str">
        <f t="shared" si="121"/>
        <v>387.418065617644i</v>
      </c>
      <c r="AH97" s="31">
        <f t="shared" si="122"/>
        <v>387.418065617644</v>
      </c>
      <c r="AI97" s="31">
        <f t="shared" si="123"/>
        <v>1.5707963267948966</v>
      </c>
      <c r="AJ97" s="31" t="str">
        <f t="shared" si="105"/>
        <v>0.999347503556142+0.533965535044633i</v>
      </c>
      <c r="AK97" s="31">
        <f t="shared" si="124"/>
        <v>1.1330554379549989</v>
      </c>
      <c r="AL97" s="31">
        <f t="shared" si="125"/>
        <v>0.49072064483854699</v>
      </c>
      <c r="AM97" s="31" t="str">
        <f t="shared" si="106"/>
        <v>1+2.6592376023995i</v>
      </c>
      <c r="AN97" s="31">
        <f t="shared" si="126"/>
        <v>2.8410463963151749</v>
      </c>
      <c r="AO97" s="31">
        <f t="shared" si="127"/>
        <v>1.2111075022192233</v>
      </c>
      <c r="AP97" s="31" t="str">
        <f t="shared" si="107"/>
        <v>1+0.102278369323058i</v>
      </c>
      <c r="AQ97" s="31">
        <f t="shared" si="128"/>
        <v>1.0052168247852717</v>
      </c>
      <c r="AR97" s="31">
        <f t="shared" si="129"/>
        <v>0.1019239511246835</v>
      </c>
      <c r="AS97" s="58" t="str">
        <f t="shared" si="130"/>
        <v>-7.20828437430699+6.69484970657276i</v>
      </c>
      <c r="AT97" s="49">
        <f t="shared" si="131"/>
        <v>19.85787306009361</v>
      </c>
      <c r="AU97" s="61">
        <f t="shared" si="132"/>
        <v>137.1149387753475</v>
      </c>
      <c r="AV97" s="58" t="str">
        <f t="shared" si="108"/>
        <v>96.7536002026501+112.252398251034i</v>
      </c>
      <c r="AW97" s="64">
        <f t="shared" si="133"/>
        <v>43.416691200165936</v>
      </c>
      <c r="AX97" s="61">
        <f t="shared" si="134"/>
        <v>49.240994795747682</v>
      </c>
    </row>
    <row r="98" spans="14:50" x14ac:dyDescent="0.25">
      <c r="N98" s="10">
        <v>80</v>
      </c>
      <c r="O98" s="50">
        <f t="shared" si="109"/>
        <v>63.095734448019364</v>
      </c>
      <c r="P98" s="48" t="str">
        <f t="shared" si="99"/>
        <v>304.285714285714</v>
      </c>
      <c r="Q98" s="17" t="str">
        <f t="shared" si="100"/>
        <v>1+20.6433112641362i</v>
      </c>
      <c r="R98" s="17">
        <f t="shared" si="110"/>
        <v>20.667517991960537</v>
      </c>
      <c r="S98" s="17">
        <f t="shared" si="111"/>
        <v>1.5223923240306956</v>
      </c>
      <c r="T98" s="17" t="str">
        <f t="shared" si="101"/>
        <v>1+0.00042815756695986i</v>
      </c>
      <c r="U98" s="17">
        <f t="shared" si="112"/>
        <v>1.0000000916594469</v>
      </c>
      <c r="V98" s="17">
        <f t="shared" si="113"/>
        <v>4.2815754079673782E-4</v>
      </c>
      <c r="W98" s="31" t="str">
        <f t="shared" si="102"/>
        <v>1-0.00133799239674956i</v>
      </c>
      <c r="X98" s="17">
        <f t="shared" si="114"/>
        <v>1.0000008951114263</v>
      </c>
      <c r="Y98" s="17">
        <f t="shared" si="115"/>
        <v>-1.3379915983152051E-3</v>
      </c>
      <c r="Z98" s="31" t="str">
        <f t="shared" si="103"/>
        <v>0.999999750033799+0.0118030318690498i</v>
      </c>
      <c r="AA98" s="17">
        <f t="shared" si="116"/>
        <v>1.0000694034060646</v>
      </c>
      <c r="AB98" s="17">
        <f t="shared" si="117"/>
        <v>1.1802486765208762E-2</v>
      </c>
      <c r="AC98" s="66" t="str">
        <f t="shared" si="118"/>
        <v>0.525337411374765-14.7125125171998i</v>
      </c>
      <c r="AD98" s="64">
        <f t="shared" si="119"/>
        <v>23.359270542622845</v>
      </c>
      <c r="AE98" s="61">
        <f t="shared" si="120"/>
        <v>-87.955017261030264</v>
      </c>
      <c r="AF98" s="31" t="str">
        <f t="shared" si="104"/>
        <v>-1512.12121212121</v>
      </c>
      <c r="AG98" s="31" t="str">
        <f t="shared" si="121"/>
        <v>396.4421916295i</v>
      </c>
      <c r="AH98" s="31">
        <f t="shared" si="122"/>
        <v>396.44219162949997</v>
      </c>
      <c r="AI98" s="31">
        <f t="shared" si="123"/>
        <v>1.5707963267948966</v>
      </c>
      <c r="AJ98" s="31" t="str">
        <f t="shared" si="105"/>
        <v>0.999316752346135+0.546403190130616i</v>
      </c>
      <c r="AK98" s="31">
        <f t="shared" si="124"/>
        <v>1.1389426753373237</v>
      </c>
      <c r="AL98" s="31">
        <f t="shared" si="125"/>
        <v>0.50036519765955034</v>
      </c>
      <c r="AM98" s="31" t="str">
        <f t="shared" si="106"/>
        <v>1+2.72117920334488i</v>
      </c>
      <c r="AN98" s="31">
        <f t="shared" si="126"/>
        <v>2.8991061133936915</v>
      </c>
      <c r="AO98" s="31">
        <f t="shared" si="127"/>
        <v>1.2186279566120266</v>
      </c>
      <c r="AP98" s="31" t="str">
        <f t="shared" si="107"/>
        <v>1+0.104660738590188i</v>
      </c>
      <c r="AQ98" s="31">
        <f t="shared" si="128"/>
        <v>1.0054620182792802</v>
      </c>
      <c r="AR98" s="31">
        <f t="shared" si="129"/>
        <v>0.1042810839809955</v>
      </c>
      <c r="AS98" s="58" t="str">
        <f t="shared" si="130"/>
        <v>-7.15429569969769+6.64160188227786i</v>
      </c>
      <c r="AT98" s="49">
        <f t="shared" si="131"/>
        <v>19.790693055546672</v>
      </c>
      <c r="AU98" s="61">
        <f t="shared" si="132"/>
        <v>137.12829066455953</v>
      </c>
      <c r="AV98" s="58" t="str">
        <f t="shared" si="108"/>
        <v>93.956231644182+108.746746973769i</v>
      </c>
      <c r="AW98" s="64">
        <f t="shared" si="133"/>
        <v>43.149963598169535</v>
      </c>
      <c r="AX98" s="61">
        <f t="shared" si="134"/>
        <v>49.173273403529379</v>
      </c>
    </row>
    <row r="99" spans="14:50" x14ac:dyDescent="0.25">
      <c r="N99" s="10">
        <v>81</v>
      </c>
      <c r="O99" s="50">
        <f t="shared" si="109"/>
        <v>64.565422903465588</v>
      </c>
      <c r="P99" s="48" t="str">
        <f t="shared" si="99"/>
        <v>304.285714285714</v>
      </c>
      <c r="Q99" s="17" t="str">
        <f t="shared" si="100"/>
        <v>1+21.1241557540609i</v>
      </c>
      <c r="R99" s="17">
        <f t="shared" si="110"/>
        <v>21.147812093023344</v>
      </c>
      <c r="S99" s="17">
        <f t="shared" si="111"/>
        <v>1.5234924716521159</v>
      </c>
      <c r="T99" s="17" t="str">
        <f t="shared" si="101"/>
        <v>1+0.000438130637862002i</v>
      </c>
      <c r="U99" s="17">
        <f t="shared" si="112"/>
        <v>1.0000000959792232</v>
      </c>
      <c r="V99" s="17">
        <f t="shared" si="113"/>
        <v>4.3813060982771167E-4</v>
      </c>
      <c r="W99" s="31" t="str">
        <f t="shared" si="102"/>
        <v>1-0.00136915824331876i</v>
      </c>
      <c r="X99" s="17">
        <f t="shared" si="114"/>
        <v>1.0000009372967085</v>
      </c>
      <c r="Y99" s="17">
        <f t="shared" si="115"/>
        <v>-1.3691573877809781E-3</v>
      </c>
      <c r="Z99" s="31" t="str">
        <f t="shared" si="103"/>
        <v>0.999999738253255+0.0120779597992651i</v>
      </c>
      <c r="AA99" s="17">
        <f t="shared" si="116"/>
        <v>1.0000726741689783</v>
      </c>
      <c r="AB99" s="17">
        <f t="shared" si="117"/>
        <v>1.2077375712268449E-2</v>
      </c>
      <c r="AC99" s="66" t="str">
        <f t="shared" si="118"/>
        <v>0.493328731834156-14.3790288326763i</v>
      </c>
      <c r="AD99" s="64">
        <f t="shared" si="119"/>
        <v>23.159700169215974</v>
      </c>
      <c r="AE99" s="61">
        <f t="shared" si="120"/>
        <v>-88.035015306517636</v>
      </c>
      <c r="AF99" s="31" t="str">
        <f t="shared" si="104"/>
        <v>-1512.12121212121</v>
      </c>
      <c r="AG99" s="31" t="str">
        <f t="shared" si="121"/>
        <v>405.676516538891i</v>
      </c>
      <c r="AH99" s="31">
        <f t="shared" si="122"/>
        <v>405.67651653889101</v>
      </c>
      <c r="AI99" s="31">
        <f t="shared" si="123"/>
        <v>1.5707963267948966</v>
      </c>
      <c r="AJ99" s="31" t="str">
        <f t="shared" si="105"/>
        <v>0.999284551876249+0.559130555420508i</v>
      </c>
      <c r="AK99" s="31">
        <f t="shared" si="124"/>
        <v>1.1450749292615579</v>
      </c>
      <c r="AL99" s="31">
        <f t="shared" si="125"/>
        <v>0.51013111798118449</v>
      </c>
      <c r="AM99" s="31" t="str">
        <f t="shared" si="106"/>
        <v>1+2.78456360952294i</v>
      </c>
      <c r="AN99" s="31">
        <f t="shared" si="126"/>
        <v>2.9586812088292693</v>
      </c>
      <c r="AO99" s="31">
        <f t="shared" si="127"/>
        <v>1.2260176104271618</v>
      </c>
      <c r="AP99" s="31" t="str">
        <f t="shared" si="107"/>
        <v>1+0.107098600366267i</v>
      </c>
      <c r="AQ99" s="31">
        <f t="shared" si="128"/>
        <v>1.0057187033163961</v>
      </c>
      <c r="AR99" s="31">
        <f t="shared" si="129"/>
        <v>0.1066919179511714</v>
      </c>
      <c r="AS99" s="58" t="str">
        <f t="shared" si="130"/>
        <v>-7.09894319730854+6.58975921198135i</v>
      </c>
      <c r="AT99" s="49">
        <f t="shared" si="131"/>
        <v>19.722950628746059</v>
      </c>
      <c r="AU99" s="61">
        <f t="shared" si="132"/>
        <v>137.13027123433682</v>
      </c>
      <c r="AV99" s="58" t="str">
        <f t="shared" si="108"/>
        <v>91.2522250645831+105.32682647077i</v>
      </c>
      <c r="AW99" s="64">
        <f t="shared" si="133"/>
        <v>42.882650797962036</v>
      </c>
      <c r="AX99" s="61">
        <f t="shared" si="134"/>
        <v>49.095255927819203</v>
      </c>
    </row>
    <row r="100" spans="14:50" x14ac:dyDescent="0.25">
      <c r="N100" s="10">
        <v>82</v>
      </c>
      <c r="O100" s="50">
        <f t="shared" si="109"/>
        <v>66.069344800759623</v>
      </c>
      <c r="P100" s="48" t="str">
        <f t="shared" si="99"/>
        <v>304.285714285714</v>
      </c>
      <c r="Q100" s="17" t="str">
        <f t="shared" si="100"/>
        <v>1+21.6162005509777i</v>
      </c>
      <c r="R100" s="17">
        <f t="shared" si="110"/>
        <v>21.639318987899983</v>
      </c>
      <c r="S100" s="17">
        <f t="shared" si="111"/>
        <v>1.5245676875957945</v>
      </c>
      <c r="T100" s="17" t="str">
        <f t="shared" si="101"/>
        <v>1+0.000448336011427684i</v>
      </c>
      <c r="U100" s="17">
        <f t="shared" si="112"/>
        <v>1.0000001005025845</v>
      </c>
      <c r="V100" s="17">
        <f t="shared" si="113"/>
        <v>4.4833598138840089E-4</v>
      </c>
      <c r="W100" s="31" t="str">
        <f t="shared" si="102"/>
        <v>1-0.00140105003571151i</v>
      </c>
      <c r="X100" s="17">
        <f t="shared" si="114"/>
        <v>1.0000009814701196</v>
      </c>
      <c r="Y100" s="17">
        <f t="shared" si="115"/>
        <v>-1.401049118986309E-3</v>
      </c>
      <c r="Z100" s="31" t="str">
        <f t="shared" si="103"/>
        <v>0.999999725917511+0.0123592916236366i</v>
      </c>
      <c r="AA100" s="17">
        <f t="shared" si="116"/>
        <v>1.0000760990667337</v>
      </c>
      <c r="AB100" s="17">
        <f t="shared" si="117"/>
        <v>1.2358665765715822E-2</v>
      </c>
      <c r="AC100" s="66" t="str">
        <f t="shared" si="118"/>
        <v>0.462754494387743-14.0530329547045i</v>
      </c>
      <c r="AD100" s="64">
        <f t="shared" si="119"/>
        <v>22.960107924513935</v>
      </c>
      <c r="AE100" s="61">
        <f t="shared" si="120"/>
        <v>-88.113979911917767</v>
      </c>
      <c r="AF100" s="31" t="str">
        <f t="shared" si="104"/>
        <v>-1512.12121212121</v>
      </c>
      <c r="AG100" s="31" t="str">
        <f t="shared" si="121"/>
        <v>415.125936507115i</v>
      </c>
      <c r="AH100" s="31">
        <f t="shared" si="122"/>
        <v>415.125936507115</v>
      </c>
      <c r="AI100" s="31">
        <f t="shared" si="123"/>
        <v>1.5707963267948966</v>
      </c>
      <c r="AJ100" s="31" t="str">
        <f t="shared" si="105"/>
        <v>0.999250833844971+0.572154379131852i</v>
      </c>
      <c r="AK100" s="31">
        <f t="shared" si="124"/>
        <v>1.1514611858415484</v>
      </c>
      <c r="AL100" s="31">
        <f t="shared" si="125"/>
        <v>0.5200161984494579</v>
      </c>
      <c r="AM100" s="31" t="str">
        <f t="shared" si="106"/>
        <v>1+2.84942442818483i</v>
      </c>
      <c r="AN100" s="31">
        <f t="shared" si="126"/>
        <v>3.0198045585660749</v>
      </c>
      <c r="AO100" s="31">
        <f t="shared" si="127"/>
        <v>1.2332771525706163</v>
      </c>
      <c r="AP100" s="31" t="str">
        <f t="shared" si="107"/>
        <v>1+0.109593247237878i</v>
      </c>
      <c r="AQ100" s="31">
        <f t="shared" si="128"/>
        <v>1.0059874153487918</v>
      </c>
      <c r="AR100" s="31">
        <f t="shared" si="129"/>
        <v>0.10915761913369554</v>
      </c>
      <c r="AS100" s="58" t="str">
        <f t="shared" si="130"/>
        <v>-7.04223543945547+6.53921476694538i</v>
      </c>
      <c r="AT100" s="49">
        <f t="shared" si="131"/>
        <v>19.654576370329355</v>
      </c>
      <c r="AU100" s="61">
        <f t="shared" si="132"/>
        <v>137.12111324067379</v>
      </c>
      <c r="AV100" s="58" t="str">
        <f t="shared" si="108"/>
        <v>88.6369745176291+101.990817728626i</v>
      </c>
      <c r="AW100" s="64">
        <f t="shared" si="133"/>
        <v>42.614684294843272</v>
      </c>
      <c r="AX100" s="61">
        <f t="shared" si="134"/>
        <v>49.007133328755913</v>
      </c>
    </row>
    <row r="101" spans="14:50" x14ac:dyDescent="0.25">
      <c r="N101" s="10">
        <v>83</v>
      </c>
      <c r="O101" s="50">
        <f t="shared" si="109"/>
        <v>67.60829753919819</v>
      </c>
      <c r="P101" s="48" t="str">
        <f t="shared" si="99"/>
        <v>304.285714285714</v>
      </c>
      <c r="Q101" s="17" t="str">
        <f t="shared" si="100"/>
        <v>1+22.1197065435508i</v>
      </c>
      <c r="R101" s="17">
        <f t="shared" si="110"/>
        <v>22.142299283787221</v>
      </c>
      <c r="S101" s="17">
        <f t="shared" si="111"/>
        <v>1.5256185320054361</v>
      </c>
      <c r="T101" s="17" t="str">
        <f t="shared" si="101"/>
        <v>1+0.000458779098681053i</v>
      </c>
      <c r="U101" s="17">
        <f t="shared" si="112"/>
        <v>1.0000001052391252</v>
      </c>
      <c r="V101" s="17">
        <f t="shared" si="113"/>
        <v>4.5877906649338136E-4</v>
      </c>
      <c r="W101" s="31" t="str">
        <f t="shared" si="102"/>
        <v>1-0.00143368468337829i</v>
      </c>
      <c r="X101" s="17">
        <f t="shared" si="114"/>
        <v>1.0000010277253577</v>
      </c>
      <c r="Y101" s="17">
        <f t="shared" si="115"/>
        <v>-1.433683701089594E-3</v>
      </c>
      <c r="Z101" s="31" t="str">
        <f t="shared" si="103"/>
        <v>0.999999713000401+0.0126471765080216i</v>
      </c>
      <c r="AA101" s="17">
        <f t="shared" si="116"/>
        <v>1.0000796853623761</v>
      </c>
      <c r="AB101" s="17">
        <f t="shared" si="117"/>
        <v>1.2646505892063035E-2</v>
      </c>
      <c r="AC101" s="66" t="str">
        <f t="shared" si="118"/>
        <v>0.433550696258269-13.7343610848363i</v>
      </c>
      <c r="AD101" s="64">
        <f t="shared" si="119"/>
        <v>22.760494667373923</v>
      </c>
      <c r="AE101" s="61">
        <f t="shared" si="120"/>
        <v>-88.191952365048422</v>
      </c>
      <c r="AF101" s="31" t="str">
        <f t="shared" si="104"/>
        <v>-1512.12121212121</v>
      </c>
      <c r="AG101" s="31" t="str">
        <f t="shared" si="121"/>
        <v>424.795461741716i</v>
      </c>
      <c r="AH101" s="31">
        <f t="shared" si="122"/>
        <v>424.795461741716</v>
      </c>
      <c r="AI101" s="31">
        <f t="shared" si="123"/>
        <v>1.5707963267948966</v>
      </c>
      <c r="AJ101" s="31" t="str">
        <f t="shared" si="105"/>
        <v>0.999215526731836+0.58548156666837i</v>
      </c>
      <c r="AK101" s="31">
        <f t="shared" si="124"/>
        <v>1.1581106742321432</v>
      </c>
      <c r="AL101" s="31">
        <f t="shared" si="125"/>
        <v>0.5300180220815579</v>
      </c>
      <c r="AM101" s="31" t="str">
        <f t="shared" si="106"/>
        <v>1+2.91579604939513i</v>
      </c>
      <c r="AN101" s="31">
        <f t="shared" si="126"/>
        <v>3.0825097893872533</v>
      </c>
      <c r="AO101" s="31">
        <f t="shared" si="127"/>
        <v>1.2404073705181136</v>
      </c>
      <c r="AP101" s="31" t="str">
        <f t="shared" si="107"/>
        <v>1+0.112146001899813i</v>
      </c>
      <c r="AQ101" s="31">
        <f t="shared" si="128"/>
        <v>1.0062687144804379</v>
      </c>
      <c r="AR101" s="31">
        <f t="shared" si="129"/>
        <v>0.11167937488528468</v>
      </c>
      <c r="AS101" s="58" t="str">
        <f t="shared" si="130"/>
        <v>-6.98418436595661+6.4898619466368i</v>
      </c>
      <c r="AT101" s="49">
        <f t="shared" si="131"/>
        <v>19.585502156022624</v>
      </c>
      <c r="AU101" s="61">
        <f t="shared" si="132"/>
        <v>137.10106831604915</v>
      </c>
      <c r="AV101" s="58" t="str">
        <f t="shared" si="108"/>
        <v>86.1061093711918+98.736994130701i</v>
      </c>
      <c r="AW101" s="64">
        <f t="shared" si="133"/>
        <v>42.345996823396547</v>
      </c>
      <c r="AX101" s="61">
        <f t="shared" si="134"/>
        <v>48.909115951000743</v>
      </c>
    </row>
    <row r="102" spans="14:50" x14ac:dyDescent="0.25">
      <c r="N102" s="10">
        <v>84</v>
      </c>
      <c r="O102" s="50">
        <f t="shared" si="109"/>
        <v>69.183097091893657</v>
      </c>
      <c r="P102" s="48" t="str">
        <f t="shared" si="99"/>
        <v>304.285714285714</v>
      </c>
      <c r="Q102" s="17" t="str">
        <f t="shared" si="100"/>
        <v>1+22.6349406973223i</v>
      </c>
      <c r="R102" s="17">
        <f t="shared" si="110"/>
        <v>22.657019670982709</v>
      </c>
      <c r="S102" s="17">
        <f t="shared" si="111"/>
        <v>1.526645552764013</v>
      </c>
      <c r="T102" s="17" t="str">
        <f t="shared" si="101"/>
        <v>1+0.000469465436685202i</v>
      </c>
      <c r="U102" s="17">
        <f t="shared" si="112"/>
        <v>1.000000110198892</v>
      </c>
      <c r="V102" s="17">
        <f t="shared" si="113"/>
        <v>4.6946540219549069E-4</v>
      </c>
      <c r="W102" s="31" t="str">
        <f t="shared" si="102"/>
        <v>1-0.00146707948964126i</v>
      </c>
      <c r="X102" s="17">
        <f t="shared" si="114"/>
        <v>1.0000010761605354</v>
      </c>
      <c r="Y102" s="17">
        <f t="shared" si="115"/>
        <v>-1.4670784371000204E-3</v>
      </c>
      <c r="Z102" s="31" t="str">
        <f t="shared" si="103"/>
        <v>0.999999699474526+0.0129417670927963i</v>
      </c>
      <c r="AA102" s="17">
        <f t="shared" si="116"/>
        <v>1.0000834406611412</v>
      </c>
      <c r="AB102" s="17">
        <f t="shared" si="117"/>
        <v>1.2941048518088282E-2</v>
      </c>
      <c r="AC102" s="66" t="str">
        <f t="shared" si="118"/>
        <v>0.405656167131343-13.4228527081112i</v>
      </c>
      <c r="AD102" s="64">
        <f t="shared" si="119"/>
        <v>22.56086121261864</v>
      </c>
      <c r="AE102" s="61">
        <f t="shared" si="120"/>
        <v>-88.268973464842333</v>
      </c>
      <c r="AF102" s="31" t="str">
        <f t="shared" si="104"/>
        <v>-1512.12121212121</v>
      </c>
      <c r="AG102" s="31" t="str">
        <f t="shared" si="121"/>
        <v>434.690219152965i</v>
      </c>
      <c r="AH102" s="31">
        <f t="shared" si="122"/>
        <v>434.69021915296503</v>
      </c>
      <c r="AI102" s="31">
        <f t="shared" si="123"/>
        <v>1.5707963267948966</v>
      </c>
      <c r="AJ102" s="31" t="str">
        <f t="shared" si="105"/>
        <v>0.999178555645722+0.5991191842813i</v>
      </c>
      <c r="AK102" s="31">
        <f t="shared" si="124"/>
        <v>1.1650328677922186</v>
      </c>
      <c r="AL102" s="31">
        <f t="shared" si="125"/>
        <v>0.54013396015599779</v>
      </c>
      <c r="AM102" s="31" t="str">
        <f t="shared" si="106"/>
        <v>1+2.98371366426595i</v>
      </c>
      <c r="AN102" s="31">
        <f t="shared" si="126"/>
        <v>3.146831299947193</v>
      </c>
      <c r="AO102" s="31">
        <f t="shared" si="127"/>
        <v>1.2474091438744939</v>
      </c>
      <c r="AP102" s="31" t="str">
        <f t="shared" si="107"/>
        <v>1+0.114758217856383i</v>
      </c>
      <c r="AQ102" s="31">
        <f t="shared" si="128"/>
        <v>1.0065631865737854</v>
      </c>
      <c r="AR102" s="31">
        <f t="shared" si="129"/>
        <v>0.11425839391275225</v>
      </c>
      <c r="AS102" s="58" t="str">
        <f t="shared" si="130"/>
        <v>-6.92480540328303+6.44159466141869i</v>
      </c>
      <c r="AT102" s="49">
        <f t="shared" si="131"/>
        <v>19.515661270751345</v>
      </c>
      <c r="AU102" s="61">
        <f t="shared" si="132"/>
        <v>137.0704067265537</v>
      </c>
      <c r="AV102" s="58" t="str">
        <f t="shared" si="108"/>
        <v>83.6554863275523+95.5637155611655i</v>
      </c>
      <c r="AW102" s="64">
        <f t="shared" si="133"/>
        <v>42.076522483369978</v>
      </c>
      <c r="AX102" s="61">
        <f t="shared" si="134"/>
        <v>48.801433261711367</v>
      </c>
    </row>
    <row r="103" spans="14:50" x14ac:dyDescent="0.25">
      <c r="N103" s="10">
        <v>85</v>
      </c>
      <c r="O103" s="50">
        <f t="shared" si="109"/>
        <v>70.794578438413865</v>
      </c>
      <c r="P103" s="48" t="str">
        <f t="shared" si="99"/>
        <v>304.285714285714</v>
      </c>
      <c r="Q103" s="17" t="str">
        <f t="shared" si="100"/>
        <v>1+23.1621761962604i</v>
      </c>
      <c r="R103" s="17">
        <f t="shared" si="110"/>
        <v>23.183753064303719</v>
      </c>
      <c r="S103" s="17">
        <f t="shared" si="111"/>
        <v>1.5276492857404138</v>
      </c>
      <c r="T103" s="17" t="str">
        <f t="shared" si="101"/>
        <v>1+0.000480400691477992i</v>
      </c>
      <c r="U103" s="17">
        <f t="shared" si="112"/>
        <v>1.0000001153924056</v>
      </c>
      <c r="V103" s="17">
        <f t="shared" si="113"/>
        <v>4.8040065452160073E-4</v>
      </c>
      <c r="W103" s="31" t="str">
        <f t="shared" si="102"/>
        <v>1-0.00150125216086873i</v>
      </c>
      <c r="X103" s="17">
        <f t="shared" si="114"/>
        <v>1.0000011268783904</v>
      </c>
      <c r="Y103" s="17">
        <f t="shared" si="115"/>
        <v>-1.5012510330505407E-3</v>
      </c>
      <c r="Z103" s="31" t="str">
        <f t="shared" si="103"/>
        <v>0.999999685311197+0.0132432195737881i</v>
      </c>
      <c r="AA103" s="17">
        <f t="shared" si="116"/>
        <v>1.000087372926572</v>
      </c>
      <c r="AB103" s="17">
        <f t="shared" si="117"/>
        <v>1.3242449610749231E-2</v>
      </c>
      <c r="AC103" s="66" t="str">
        <f t="shared" si="118"/>
        <v>0.379012445914115-13.1183505475334i</v>
      </c>
      <c r="AD103" s="64">
        <f t="shared" si="119"/>
        <v>22.361208332718068</v>
      </c>
      <c r="AE103" s="61">
        <f t="shared" si="120"/>
        <v>-88.345083540415075</v>
      </c>
      <c r="AF103" s="31" t="str">
        <f t="shared" si="104"/>
        <v>-1512.12121212121</v>
      </c>
      <c r="AG103" s="31" t="str">
        <f t="shared" si="121"/>
        <v>444.815455072215i</v>
      </c>
      <c r="AH103" s="31">
        <f t="shared" si="122"/>
        <v>444.815455072215</v>
      </c>
      <c r="AI103" s="31">
        <f t="shared" si="123"/>
        <v>1.5707963267948966</v>
      </c>
      <c r="AJ103" s="31" t="str">
        <f t="shared" si="105"/>
        <v>0.999139842166001+0.613074462816016i</v>
      </c>
      <c r="AK103" s="31">
        <f t="shared" si="124"/>
        <v>1.1722374849665269</v>
      </c>
      <c r="AL103" s="31">
        <f t="shared" si="125"/>
        <v>0.55036117083592972</v>
      </c>
      <c r="AM103" s="31" t="str">
        <f t="shared" si="106"/>
        <v>1+3.05321328361568i</v>
      </c>
      <c r="AN103" s="31">
        <f t="shared" si="126"/>
        <v>3.2128042821260121</v>
      </c>
      <c r="AO103" s="31">
        <f t="shared" si="127"/>
        <v>1.2542834380826178</v>
      </c>
      <c r="AP103" s="31" t="str">
        <f t="shared" si="107"/>
        <v>1+0.117431280139065i</v>
      </c>
      <c r="AQ103" s="31">
        <f t="shared" si="128"/>
        <v>1.0068714444034548</v>
      </c>
      <c r="AR103" s="31">
        <f t="shared" si="129"/>
        <v>0.11689590634041049</v>
      </c>
      <c r="AS103" s="58" t="str">
        <f t="shared" si="130"/>
        <v>-6.86411757012753+6.39430753055248i</v>
      </c>
      <c r="AT103" s="49">
        <f t="shared" si="131"/>
        <v>19.444988533246061</v>
      </c>
      <c r="AU103" s="61">
        <f t="shared" si="132"/>
        <v>137.02941709417732</v>
      </c>
      <c r="AV103" s="58" t="str">
        <f t="shared" si="108"/>
        <v>81.281181705224+92.4694226214978i</v>
      </c>
      <c r="AW103" s="64">
        <f t="shared" si="133"/>
        <v>41.806196865964125</v>
      </c>
      <c r="AX103" s="61">
        <f t="shared" si="134"/>
        <v>48.684333553762229</v>
      </c>
    </row>
    <row r="104" spans="14:50" x14ac:dyDescent="0.25">
      <c r="N104" s="10">
        <v>86</v>
      </c>
      <c r="O104" s="50">
        <f t="shared" si="109"/>
        <v>72.443596007499011</v>
      </c>
      <c r="P104" s="48" t="str">
        <f t="shared" si="99"/>
        <v>304.285714285714</v>
      </c>
      <c r="Q104" s="17" t="str">
        <f t="shared" si="100"/>
        <v>1+23.7016925876053i</v>
      </c>
      <c r="R104" s="17">
        <f t="shared" si="110"/>
        <v>23.722778747805744</v>
      </c>
      <c r="S104" s="17">
        <f t="shared" si="111"/>
        <v>1.5286302550326154</v>
      </c>
      <c r="T104" s="17" t="str">
        <f t="shared" si="101"/>
        <v>1+0.000491590661076257i</v>
      </c>
      <c r="U104" s="17">
        <f t="shared" si="112"/>
        <v>1.0000001208306817</v>
      </c>
      <c r="V104" s="17">
        <f t="shared" si="113"/>
        <v>4.9159062147677052E-4</v>
      </c>
      <c r="W104" s="31" t="str">
        <f t="shared" si="102"/>
        <v>1-0.0015362208158633i</v>
      </c>
      <c r="X104" s="17">
        <f t="shared" si="114"/>
        <v>1.0000011799865014</v>
      </c>
      <c r="Y104" s="17">
        <f t="shared" si="115"/>
        <v>-1.5362196073844142E-3</v>
      </c>
      <c r="Z104" s="31" t="str">
        <f t="shared" si="103"/>
        <v>0.999999670480371+0.0135516937850927i</v>
      </c>
      <c r="AA104" s="17">
        <f t="shared" si="116"/>
        <v>1.0000914904973921</v>
      </c>
      <c r="AB104" s="17">
        <f t="shared" si="117"/>
        <v>1.3550868758908511E-2</v>
      </c>
      <c r="AC104" s="66" t="str">
        <f t="shared" si="118"/>
        <v>0.353563662672856-12.8207005176733i</v>
      </c>
      <c r="AD104" s="64">
        <f t="shared" si="119"/>
        <v>22.161536759386216</v>
      </c>
      <c r="AE104" s="61">
        <f t="shared" si="120"/>
        <v>-88.420322470046202</v>
      </c>
      <c r="AF104" s="31" t="str">
        <f t="shared" si="104"/>
        <v>-1512.12121212121</v>
      </c>
      <c r="AG104" s="31" t="str">
        <f t="shared" si="121"/>
        <v>455.176538033571i</v>
      </c>
      <c r="AH104" s="31">
        <f t="shared" si="122"/>
        <v>455.17653803357098</v>
      </c>
      <c r="AI104" s="31">
        <f t="shared" si="123"/>
        <v>1.5707963267948966</v>
      </c>
      <c r="AJ104" s="31" t="str">
        <f t="shared" si="105"/>
        <v>0.99909930417619+0.627354801545917i</v>
      </c>
      <c r="AK104" s="31">
        <f t="shared" si="124"/>
        <v>1.1797344898866289</v>
      </c>
      <c r="AL104" s="31">
        <f t="shared" si="125"/>
        <v>0.56069659857480059</v>
      </c>
      <c r="AM104" s="31" t="str">
        <f t="shared" si="106"/>
        <v>1+3.12433175706242i</v>
      </c>
      <c r="AN104" s="31">
        <f t="shared" si="126"/>
        <v>3.2804647427138653</v>
      </c>
      <c r="AO104" s="31">
        <f t="shared" si="127"/>
        <v>1.261031298296877</v>
      </c>
      <c r="AP104" s="31" t="str">
        <f t="shared" si="107"/>
        <v>1+0.120166606040863i</v>
      </c>
      <c r="AQ104" s="31">
        <f t="shared" si="128"/>
        <v>1.0071941288586723</v>
      </c>
      <c r="AR104" s="31">
        <f t="shared" si="129"/>
        <v>0.11959316375079625</v>
      </c>
      <c r="AS104" s="58" t="str">
        <f t="shared" si="130"/>
        <v>-6.80214356762024+6.34789609463529i</v>
      </c>
      <c r="AT104" s="49">
        <f t="shared" si="131"/>
        <v>19.373420420927147</v>
      </c>
      <c r="AU104" s="61">
        <f t="shared" si="132"/>
        <v>136.97840608217444</v>
      </c>
      <c r="AV104" s="58" t="str">
        <f t="shared" si="108"/>
        <v>78.9794839528326+89.4526309521629i</v>
      </c>
      <c r="AW104" s="64">
        <f t="shared" si="133"/>
        <v>41.53495718031337</v>
      </c>
      <c r="AX104" s="61">
        <f t="shared" si="134"/>
        <v>48.55808361212825</v>
      </c>
    </row>
    <row r="105" spans="14:50" x14ac:dyDescent="0.25">
      <c r="N105" s="10">
        <v>87</v>
      </c>
      <c r="O105" s="50">
        <f t="shared" si="109"/>
        <v>74.131024130091816</v>
      </c>
      <c r="P105" s="48" t="str">
        <f t="shared" si="99"/>
        <v>304.285714285714</v>
      </c>
      <c r="Q105" s="17" t="str">
        <f t="shared" si="100"/>
        <v>1+24.2537759300892i</v>
      </c>
      <c r="R105" s="17">
        <f t="shared" si="110"/>
        <v>24.274382522877367</v>
      </c>
      <c r="S105" s="17">
        <f t="shared" si="111"/>
        <v>1.5295889732073189</v>
      </c>
      <c r="T105" s="17" t="str">
        <f t="shared" si="101"/>
        <v>1+0.000503041278549997i</v>
      </c>
      <c r="U105" s="17">
        <f t="shared" si="112"/>
        <v>1.0000001265252558</v>
      </c>
      <c r="V105" s="17">
        <f t="shared" si="113"/>
        <v>5.0304123611838306E-4</v>
      </c>
      <c r="W105" s="31" t="str">
        <f t="shared" si="102"/>
        <v>1-0.00157200399546874i</v>
      </c>
      <c r="X105" s="17">
        <f t="shared" si="114"/>
        <v>1.0000012355975176</v>
      </c>
      <c r="Y105" s="17">
        <f t="shared" si="115"/>
        <v>-1.5720027005603704E-3</v>
      </c>
      <c r="Z105" s="31" t="str">
        <f t="shared" si="103"/>
        <v>0.999999654950589+0.01386735328382i</v>
      </c>
      <c r="AA105" s="17">
        <f t="shared" si="116"/>
        <v>1.000095802105176</v>
      </c>
      <c r="AB105" s="17">
        <f t="shared" si="117"/>
        <v>1.3866469256909928E-2</v>
      </c>
      <c r="AC105" s="66" t="str">
        <f t="shared" si="118"/>
        <v>0.329256425548326-12.5297516775338i</v>
      </c>
      <c r="AD105" s="64">
        <f t="shared" si="119"/>
        <v>21.961847185093845</v>
      </c>
      <c r="AE105" s="61">
        <f t="shared" si="120"/>
        <v>-88.494729700072014</v>
      </c>
      <c r="AF105" s="31" t="str">
        <f t="shared" si="104"/>
        <v>-1512.12121212121</v>
      </c>
      <c r="AG105" s="31" t="str">
        <f t="shared" si="121"/>
        <v>465.778961620368i</v>
      </c>
      <c r="AH105" s="31">
        <f t="shared" si="122"/>
        <v>465.77896162036802</v>
      </c>
      <c r="AI105" s="31">
        <f t="shared" si="123"/>
        <v>1.5707963267948966</v>
      </c>
      <c r="AJ105" s="31" t="str">
        <f t="shared" si="105"/>
        <v>0.999056855689778+0.64196777209562i</v>
      </c>
      <c r="AK105" s="31">
        <f t="shared" si="124"/>
        <v>1.1875340926938309</v>
      </c>
      <c r="AL105" s="31">
        <f t="shared" si="125"/>
        <v>0.57113697435018351</v>
      </c>
      <c r="AM105" s="31" t="str">
        <f t="shared" si="106"/>
        <v>1+3.1971067925622i</v>
      </c>
      <c r="AN105" s="31">
        <f t="shared" si="126"/>
        <v>3.3498495254335463</v>
      </c>
      <c r="AO105" s="31">
        <f t="shared" si="127"/>
        <v>1.2676538434340447</v>
      </c>
      <c r="AP105" s="31" t="str">
        <f t="shared" si="107"/>
        <v>1+0.122965645867777i</v>
      </c>
      <c r="AQ105" s="31">
        <f t="shared" si="128"/>
        <v>1.0075319101962377</v>
      </c>
      <c r="AR105" s="31">
        <f t="shared" si="129"/>
        <v>0.12235143919637521</v>
      </c>
      <c r="AS105" s="58" t="str">
        <f t="shared" si="130"/>
        <v>-6.73890985245752+6.30225704137725i</v>
      </c>
      <c r="AT105" s="49">
        <f t="shared" si="131"/>
        <v>19.300895194797508</v>
      </c>
      <c r="AU105" s="61">
        <f t="shared" si="132"/>
        <v>136.91769804147515</v>
      </c>
      <c r="AV105" s="58" t="str">
        <f t="shared" si="108"/>
        <v>76.7468863663332+86.5119256549093i</v>
      </c>
      <c r="AW105" s="64">
        <f t="shared" si="133"/>
        <v>41.262742379891357</v>
      </c>
      <c r="AX105" s="61">
        <f t="shared" si="134"/>
        <v>48.422968341403156</v>
      </c>
    </row>
    <row r="106" spans="14:50" x14ac:dyDescent="0.25">
      <c r="N106" s="10">
        <v>88</v>
      </c>
      <c r="O106" s="50">
        <f t="shared" si="109"/>
        <v>75.857757502918361</v>
      </c>
      <c r="P106" s="48" t="str">
        <f t="shared" si="99"/>
        <v>304.285714285714</v>
      </c>
      <c r="Q106" s="17" t="str">
        <f t="shared" si="100"/>
        <v>1+24.8187189456079i</v>
      </c>
      <c r="R106" s="17">
        <f t="shared" si="110"/>
        <v>24.838856859788788</v>
      </c>
      <c r="S106" s="17">
        <f t="shared" si="111"/>
        <v>1.5305259415359993</v>
      </c>
      <c r="T106" s="17" t="str">
        <f t="shared" si="101"/>
        <v>1+0.000514758615168163i</v>
      </c>
      <c r="U106" s="17">
        <f t="shared" si="112"/>
        <v>1.0000001324882071</v>
      </c>
      <c r="V106" s="17">
        <f t="shared" si="113"/>
        <v>5.1475856970186981E-4</v>
      </c>
      <c r="W106" s="31" t="str">
        <f t="shared" si="102"/>
        <v>1-0.00160862067240051i</v>
      </c>
      <c r="X106" s="17">
        <f t="shared" si="114"/>
        <v>1.0000012938293967</v>
      </c>
      <c r="Y106" s="17">
        <f t="shared" si="115"/>
        <v>-1.6086192848812904E-3</v>
      </c>
      <c r="Z106" s="31" t="str">
        <f t="shared" si="103"/>
        <v>0.999999638688911+0.0141903654368145i</v>
      </c>
      <c r="AA106" s="17">
        <f t="shared" si="116"/>
        <v>1.0001003168928517</v>
      </c>
      <c r="AB106" s="17">
        <f t="shared" si="117"/>
        <v>1.4189418190045619E-2</v>
      </c>
      <c r="AC106" s="66" t="str">
        <f t="shared" si="118"/>
        <v>0.306039712454195-12.2453561828176i</v>
      </c>
      <c r="AD106" s="64">
        <f t="shared" si="119"/>
        <v>21.76214026450274</v>
      </c>
      <c r="AE106" s="61">
        <f t="shared" si="120"/>
        <v>-88.568344263690065</v>
      </c>
      <c r="AF106" s="31" t="str">
        <f t="shared" si="104"/>
        <v>-1512.12121212121</v>
      </c>
      <c r="AG106" s="31" t="str">
        <f t="shared" si="121"/>
        <v>476.628347377929i</v>
      </c>
      <c r="AH106" s="31">
        <f t="shared" si="122"/>
        <v>476.628347377929</v>
      </c>
      <c r="AI106" s="31">
        <f t="shared" si="123"/>
        <v>1.5707963267948966</v>
      </c>
      <c r="AJ106" s="31" t="str">
        <f t="shared" si="105"/>
        <v>0.999012406667835+0.656921122455536i</v>
      </c>
      <c r="AK106" s="31">
        <f t="shared" si="124"/>
        <v>1.1956467495897363</v>
      </c>
      <c r="AL106" s="31">
        <f t="shared" si="125"/>
        <v>0.58167881676754885</v>
      </c>
      <c r="AM106" s="31" t="str">
        <f t="shared" si="106"/>
        <v>1+3.2715769764021i</v>
      </c>
      <c r="AN106" s="31">
        <f t="shared" si="126"/>
        <v>3.4209963333105615</v>
      </c>
      <c r="AO106" s="31">
        <f t="shared" si="127"/>
        <v>1.2741522604119933</v>
      </c>
      <c r="AP106" s="31" t="str">
        <f t="shared" si="107"/>
        <v>1+0.125829883707773i</v>
      </c>
      <c r="AQ106" s="31">
        <f t="shared" si="128"/>
        <v>1.0078854893458442</v>
      </c>
      <c r="AR106" s="31">
        <f t="shared" si="129"/>
        <v>0.1251720271797247</v>
      </c>
      <c r="AS106" s="58" t="str">
        <f t="shared" si="130"/>
        <v>-6.67444669127957+6.25728844340339i</v>
      </c>
      <c r="AT106" s="49">
        <f t="shared" si="131"/>
        <v>19.227353024019749</v>
      </c>
      <c r="AU106" s="61">
        <f t="shared" si="132"/>
        <v>136.84763461621202</v>
      </c>
      <c r="AV106" s="58" t="str">
        <f t="shared" si="108"/>
        <v>74.5800799819128+83.6459558139089i</v>
      </c>
      <c r="AW106" s="64">
        <f t="shared" si="133"/>
        <v>40.989493288522489</v>
      </c>
      <c r="AX106" s="61">
        <f t="shared" si="134"/>
        <v>48.279290352521961</v>
      </c>
    </row>
    <row r="107" spans="14:50" x14ac:dyDescent="0.25">
      <c r="N107" s="10">
        <v>89</v>
      </c>
      <c r="O107" s="50">
        <f t="shared" si="109"/>
        <v>77.624711662869217</v>
      </c>
      <c r="P107" s="48" t="str">
        <f t="shared" si="99"/>
        <v>304.285714285714</v>
      </c>
      <c r="Q107" s="17" t="str">
        <f t="shared" si="100"/>
        <v>1+25.3968211744262i</v>
      </c>
      <c r="R107" s="17">
        <f t="shared" si="110"/>
        <v>25.416501052776383</v>
      </c>
      <c r="S107" s="17">
        <f t="shared" si="111"/>
        <v>1.5314416502273267</v>
      </c>
      <c r="T107" s="17" t="str">
        <f t="shared" si="101"/>
        <v>1+0.000526748883617727i</v>
      </c>
      <c r="U107" s="17">
        <f t="shared" si="112"/>
        <v>1.0000001387321835</v>
      </c>
      <c r="V107" s="17">
        <f t="shared" si="113"/>
        <v>5.2674883489971648E-4</v>
      </c>
      <c r="W107" s="31" t="str">
        <f t="shared" si="102"/>
        <v>1-0.0016460902613054i</v>
      </c>
      <c r="X107" s="17">
        <f t="shared" si="114"/>
        <v>1.0000013548056563</v>
      </c>
      <c r="Y107" s="17">
        <f t="shared" si="115"/>
        <v>-1.6460887745518788E-3</v>
      </c>
      <c r="Z107" s="31" t="str">
        <f t="shared" si="103"/>
        <v>0.999999621660844+0.0145209015093953i</v>
      </c>
      <c r="AA107" s="17">
        <f t="shared" si="116"/>
        <v>1.0001050444340716</v>
      </c>
      <c r="AB107" s="17">
        <f t="shared" si="117"/>
        <v>1.4519886521953304E-2</v>
      </c>
      <c r="AC107" s="66" t="str">
        <f t="shared" si="118"/>
        <v>0.283864767369822-11.9673692377139i</v>
      </c>
      <c r="AD107" s="64">
        <f t="shared" si="119"/>
        <v>21.562416615821959</v>
      </c>
      <c r="AE107" s="61">
        <f t="shared" si="120"/>
        <v>-88.641204799675165</v>
      </c>
      <c r="AF107" s="31" t="str">
        <f t="shared" si="104"/>
        <v>-1512.12121212121</v>
      </c>
      <c r="AG107" s="31" t="str">
        <f t="shared" si="121"/>
        <v>487.730447794192i</v>
      </c>
      <c r="AH107" s="31">
        <f t="shared" si="122"/>
        <v>487.730447794192</v>
      </c>
      <c r="AI107" s="31">
        <f t="shared" si="123"/>
        <v>1.5707963267948966</v>
      </c>
      <c r="AJ107" s="31" t="str">
        <f t="shared" si="105"/>
        <v>0.998965862828025+0.672222781089957i</v>
      </c>
      <c r="AK107" s="31">
        <f t="shared" si="124"/>
        <v>1.204083162622938</v>
      </c>
      <c r="AL107" s="31">
        <f t="shared" si="125"/>
        <v>0.59231843407087981</v>
      </c>
      <c r="AM107" s="31" t="str">
        <f t="shared" si="106"/>
        <v>1+3.34778179365933i</v>
      </c>
      <c r="AN107" s="31">
        <f t="shared" si="126"/>
        <v>3.4939437514013996</v>
      </c>
      <c r="AO107" s="31">
        <f t="shared" si="127"/>
        <v>1.2805277985848322</v>
      </c>
      <c r="AP107" s="31" t="str">
        <f t="shared" si="107"/>
        <v>1+0.128760838217667i</v>
      </c>
      <c r="AQ107" s="31">
        <f t="shared" si="128"/>
        <v>1.0082555992696078</v>
      </c>
      <c r="AR107" s="31">
        <f t="shared" si="129"/>
        <v>0.12805624359955403</v>
      </c>
      <c r="AS107" s="58" t="str">
        <f t="shared" si="130"/>
        <v>-6.60878819472848+6.21289000654455i</v>
      </c>
      <c r="AT107" s="49">
        <f t="shared" si="131"/>
        <v>19.152736109800781</v>
      </c>
      <c r="AU107" s="61">
        <f t="shared" si="132"/>
        <v>136.7685743065835</v>
      </c>
      <c r="AV107" s="58" t="str">
        <f t="shared" si="108"/>
        <v>72.4759466181283+80.8534291165625i</v>
      </c>
      <c r="AW107" s="64">
        <f t="shared" si="133"/>
        <v>40.715152725622737</v>
      </c>
      <c r="AX107" s="61">
        <f t="shared" si="134"/>
        <v>48.127369506908359</v>
      </c>
    </row>
    <row r="108" spans="14:50" x14ac:dyDescent="0.25">
      <c r="N108" s="10">
        <v>90</v>
      </c>
      <c r="O108" s="50">
        <f t="shared" si="109"/>
        <v>79.432823472428197</v>
      </c>
      <c r="P108" s="48" t="str">
        <f t="shared" si="99"/>
        <v>304.285714285714</v>
      </c>
      <c r="Q108" s="17" t="str">
        <f t="shared" si="100"/>
        <v>1+25.9883891339978i</v>
      </c>
      <c r="R108" s="17">
        <f t="shared" si="110"/>
        <v>26.007621378743863</v>
      </c>
      <c r="S108" s="17">
        <f t="shared" si="111"/>
        <v>1.5323365786559289</v>
      </c>
      <c r="T108" s="17" t="str">
        <f t="shared" si="101"/>
        <v>1+0.000539018441297731i</v>
      </c>
      <c r="U108" s="17">
        <f t="shared" si="112"/>
        <v>1.0000001452704295</v>
      </c>
      <c r="V108" s="17">
        <f t="shared" si="113"/>
        <v>5.3901838909544276E-4</v>
      </c>
      <c r="W108" s="31" t="str">
        <f t="shared" si="102"/>
        <v>1-0.00168443262905541i</v>
      </c>
      <c r="X108" s="17">
        <f t="shared" si="114"/>
        <v>1.0000014186556347</v>
      </c>
      <c r="Y108" s="17">
        <f t="shared" si="115"/>
        <v>-1.6844310359704318E-3</v>
      </c>
      <c r="Z108" s="31" t="str">
        <f t="shared" si="103"/>
        <v>0.999999603830269+0.0148591367561633i</v>
      </c>
      <c r="AA108" s="17">
        <f t="shared" si="116"/>
        <v>1.0001099947534939</v>
      </c>
      <c r="AB108" s="17">
        <f t="shared" si="117"/>
        <v>1.4858049183984765E-2</v>
      </c>
      <c r="AC108" s="66" t="str">
        <f t="shared" si="118"/>
        <v>0.262685001045121-11.6956490463191i</v>
      </c>
      <c r="AD108" s="64">
        <f t="shared" si="119"/>
        <v>21.362676822090187</v>
      </c>
      <c r="AE108" s="61">
        <f t="shared" si="120"/>
        <v>-88.71334957100801</v>
      </c>
      <c r="AF108" s="31" t="str">
        <f t="shared" si="104"/>
        <v>-1512.12121212121</v>
      </c>
      <c r="AG108" s="31" t="str">
        <f t="shared" si="121"/>
        <v>499.091149349751i</v>
      </c>
      <c r="AH108" s="31">
        <f t="shared" si="122"/>
        <v>499.09114934975099</v>
      </c>
      <c r="AI108" s="31">
        <f t="shared" si="123"/>
        <v>1.5707963267948966</v>
      </c>
      <c r="AJ108" s="31" t="str">
        <f t="shared" si="105"/>
        <v>0.998917125444624+0.687880861140833i</v>
      </c>
      <c r="AK108" s="31">
        <f t="shared" si="124"/>
        <v>1.2128542792233554</v>
      </c>
      <c r="AL108" s="31">
        <f t="shared" si="125"/>
        <v>0.60305192709144984</v>
      </c>
      <c r="AM108" s="31" t="str">
        <f t="shared" si="106"/>
        <v>1+3.42576164913668i</v>
      </c>
      <c r="AN108" s="31">
        <f t="shared" si="126"/>
        <v>3.5687312698906966</v>
      </c>
      <c r="AO108" s="31">
        <f t="shared" si="127"/>
        <v>1.2867817643810444</v>
      </c>
      <c r="AP108" s="31" t="str">
        <f t="shared" si="107"/>
        <v>1+0.131760063428334i</v>
      </c>
      <c r="AQ108" s="31">
        <f t="shared" si="128"/>
        <v>1.0086430063776968</v>
      </c>
      <c r="AR108" s="31">
        <f t="shared" si="129"/>
        <v>0.13100542565975334</v>
      </c>
      <c r="AS108" s="58" t="str">
        <f t="shared" si="130"/>
        <v>-6.54197232974602+6.16896332686741i</v>
      </c>
      <c r="AT108" s="49">
        <f t="shared" si="131"/>
        <v>19.076988808156429</v>
      </c>
      <c r="AU108" s="61">
        <f t="shared" si="132"/>
        <v>136.68089198747899</v>
      </c>
      <c r="AV108" s="58" t="str">
        <f t="shared" si="108"/>
        <v>70.4315520423778+78.1331065774055i</v>
      </c>
      <c r="AW108" s="64">
        <f t="shared" si="133"/>
        <v>40.439665630246616</v>
      </c>
      <c r="AX108" s="61">
        <f t="shared" si="134"/>
        <v>47.967542416471019</v>
      </c>
    </row>
    <row r="109" spans="14:50" x14ac:dyDescent="0.25">
      <c r="N109" s="10">
        <v>91</v>
      </c>
      <c r="O109" s="50">
        <f t="shared" si="109"/>
        <v>81.283051616409963</v>
      </c>
      <c r="P109" s="48" t="str">
        <f t="shared" si="99"/>
        <v>304.285714285714</v>
      </c>
      <c r="Q109" s="17" t="str">
        <f t="shared" si="100"/>
        <v>1+26.5937364814852i</v>
      </c>
      <c r="R109" s="17">
        <f t="shared" si="110"/>
        <v>26.61253125966557</v>
      </c>
      <c r="S109" s="17">
        <f t="shared" si="111"/>
        <v>1.5332111955874701</v>
      </c>
      <c r="T109" s="17" t="str">
        <f t="shared" si="101"/>
        <v>1+0.000551573793690063i</v>
      </c>
      <c r="U109" s="17">
        <f t="shared" si="112"/>
        <v>1.0000001521168134</v>
      </c>
      <c r="V109" s="17">
        <f t="shared" si="113"/>
        <v>5.5157373775430369E-4</v>
      </c>
      <c r="W109" s="31" t="str">
        <f t="shared" si="102"/>
        <v>1-0.00172366810528145i</v>
      </c>
      <c r="X109" s="17">
        <f t="shared" si="114"/>
        <v>1.0000014855147652</v>
      </c>
      <c r="Y109" s="17">
        <f t="shared" si="115"/>
        <v>-1.7236663982602781E-3</v>
      </c>
      <c r="Z109" s="31" t="str">
        <f t="shared" si="103"/>
        <v>0.999999585159365+0.0152052505139232i</v>
      </c>
      <c r="AA109" s="17">
        <f t="shared" si="116"/>
        <v>1.0001151783480207</v>
      </c>
      <c r="AB109" s="17">
        <f t="shared" si="117"/>
        <v>1.5204085166586341E-2</v>
      </c>
      <c r="AC109" s="66" t="str">
        <f t="shared" si="118"/>
        <v>0.24245589594117-11.4300567637936i</v>
      </c>
      <c r="AD109" s="64">
        <f t="shared" si="119"/>
        <v>21.162921432385907</v>
      </c>
      <c r="AE109" s="61">
        <f t="shared" si="120"/>
        <v>-88.784816483417131</v>
      </c>
      <c r="AF109" s="31" t="str">
        <f t="shared" si="104"/>
        <v>-1512.12121212121</v>
      </c>
      <c r="AG109" s="31" t="str">
        <f t="shared" si="121"/>
        <v>510.716475638947i</v>
      </c>
      <c r="AH109" s="31">
        <f t="shared" si="122"/>
        <v>510.71647563894697</v>
      </c>
      <c r="AI109" s="31">
        <f t="shared" si="123"/>
        <v>1.5707963267948966</v>
      </c>
      <c r="AJ109" s="31" t="str">
        <f t="shared" si="105"/>
        <v>0.998866091139108+0.703903664729465i</v>
      </c>
      <c r="AK109" s="31">
        <f t="shared" si="124"/>
        <v>1.2219712914987373</v>
      </c>
      <c r="AL109" s="31">
        <f t="shared" si="125"/>
        <v>0.6138751931597769</v>
      </c>
      <c r="AM109" s="31" t="str">
        <f t="shared" si="106"/>
        <v>1+3.50555788878572i</v>
      </c>
      <c r="AN109" s="31">
        <f t="shared" si="126"/>
        <v>3.6453993075694462</v>
      </c>
      <c r="AO109" s="31">
        <f t="shared" si="127"/>
        <v>1.2929155161495287</v>
      </c>
      <c r="AP109" s="31" t="str">
        <f t="shared" si="107"/>
        <v>1+0.134829149568682i</v>
      </c>
      <c r="AQ109" s="31">
        <f t="shared" si="128"/>
        <v>1.0090485120019821</v>
      </c>
      <c r="AR109" s="31">
        <f t="shared" si="129"/>
        <v>0.1340209317385169</v>
      </c>
      <c r="AS109" s="58" t="str">
        <f t="shared" si="130"/>
        <v>-6.47404090882833+6.12541215449001i</v>
      </c>
      <c r="AT109" s="49">
        <f t="shared" si="131"/>
        <v>19.000057751081577</v>
      </c>
      <c r="AU109" s="61">
        <f t="shared" si="132"/>
        <v>136.58497838154091</v>
      </c>
      <c r="AV109" s="58" t="str">
        <f t="shared" si="108"/>
        <v>68.4441392385423+75.4837973709555i</v>
      </c>
      <c r="AW109" s="64">
        <f t="shared" si="133"/>
        <v>40.162979183467478</v>
      </c>
      <c r="AX109" s="61">
        <f t="shared" si="134"/>
        <v>47.80016189812379</v>
      </c>
    </row>
    <row r="110" spans="14:50" x14ac:dyDescent="0.25">
      <c r="N110" s="10">
        <v>92</v>
      </c>
      <c r="O110" s="50">
        <f t="shared" si="109"/>
        <v>83.176377110267126</v>
      </c>
      <c r="P110" s="48" t="str">
        <f t="shared" si="99"/>
        <v>304.285714285714</v>
      </c>
      <c r="Q110" s="17" t="str">
        <f t="shared" si="100"/>
        <v>1+27.2131841800649i</v>
      </c>
      <c r="R110" s="17">
        <f t="shared" si="110"/>
        <v>27.231551428777145</v>
      </c>
      <c r="S110" s="17">
        <f t="shared" si="111"/>
        <v>1.5340659594000308</v>
      </c>
      <c r="T110" s="17" t="str">
        <f t="shared" si="101"/>
        <v>1+0.000564421597808752i</v>
      </c>
      <c r="U110" s="17">
        <f t="shared" si="112"/>
        <v>1.0000001592858574</v>
      </c>
      <c r="V110" s="17">
        <f t="shared" si="113"/>
        <v>5.6442153787250658E-4</v>
      </c>
      <c r="W110" s="31" t="str">
        <f t="shared" si="102"/>
        <v>1-0.00176381749315235i</v>
      </c>
      <c r="X110" s="17">
        <f t="shared" si="114"/>
        <v>1.0000015555248647</v>
      </c>
      <c r="Y110" s="17">
        <f t="shared" si="115"/>
        <v>-1.7638156640463634E-3</v>
      </c>
      <c r="Z110" s="31" t="str">
        <f t="shared" si="103"/>
        <v>0.999999565608528+0.015559426296771i</v>
      </c>
      <c r="AA110" s="17">
        <f t="shared" si="116"/>
        <v>1.000120606209036</v>
      </c>
      <c r="AB110" s="17">
        <f t="shared" si="117"/>
        <v>1.5558177612734845E-2</v>
      </c>
      <c r="AC110" s="66" t="str">
        <f t="shared" si="118"/>
        <v>0.223134915236336-11.1704564473498i</v>
      </c>
      <c r="AD110" s="64">
        <f t="shared" si="119"/>
        <v>20.963150962967813</v>
      </c>
      <c r="AE110" s="61">
        <f t="shared" si="120"/>
        <v>-88.855643103836428</v>
      </c>
      <c r="AF110" s="31" t="str">
        <f t="shared" si="104"/>
        <v>-1512.12121212121</v>
      </c>
      <c r="AG110" s="31" t="str">
        <f t="shared" si="121"/>
        <v>522.612590563659i</v>
      </c>
      <c r="AH110" s="31">
        <f t="shared" si="122"/>
        <v>522.61259056365896</v>
      </c>
      <c r="AI110" s="31">
        <f t="shared" si="123"/>
        <v>1.5707963267948966</v>
      </c>
      <c r="AJ110" s="31" t="str">
        <f t="shared" si="105"/>
        <v>0.998812651660872+0.720299687358403i</v>
      </c>
      <c r="AK110" s="31">
        <f t="shared" si="124"/>
        <v>1.2314456353109688</v>
      </c>
      <c r="AL110" s="31">
        <f t="shared" si="125"/>
        <v>0.62478393099878304</v>
      </c>
      <c r="AM110" s="31" t="str">
        <f t="shared" si="106"/>
        <v>1+3.58721282162895i</v>
      </c>
      <c r="AN110" s="31">
        <f t="shared" si="126"/>
        <v>3.7239892357066675</v>
      </c>
      <c r="AO110" s="31">
        <f t="shared" si="127"/>
        <v>1.2989304592168203</v>
      </c>
      <c r="AP110" s="31" t="str">
        <f t="shared" si="107"/>
        <v>1+0.137969723908806i</v>
      </c>
      <c r="AQ110" s="31">
        <f t="shared" si="128"/>
        <v>1.0094729539296594</v>
      </c>
      <c r="AR110" s="31">
        <f t="shared" si="129"/>
        <v>0.13710414121438336</v>
      </c>
      <c r="AS110" s="58" t="str">
        <f t="shared" si="130"/>
        <v>-6.40503955514225+6.08214266203855i</v>
      </c>
      <c r="AT110" s="49">
        <f t="shared" si="131"/>
        <v>18.921891965607681</v>
      </c>
      <c r="AU110" s="61">
        <f t="shared" si="132"/>
        <v>136.4812394856404</v>
      </c>
      <c r="AV110" s="58" t="str">
        <f t="shared" si="108"/>
        <v>66.5111217546478+72.9043537816185i</v>
      </c>
      <c r="AW110" s="64">
        <f t="shared" si="133"/>
        <v>39.885042928575494</v>
      </c>
      <c r="AX110" s="61">
        <f t="shared" si="134"/>
        <v>47.625596381803945</v>
      </c>
    </row>
    <row r="111" spans="14:50" x14ac:dyDescent="0.25">
      <c r="N111" s="10">
        <v>93</v>
      </c>
      <c r="O111" s="50">
        <f t="shared" si="109"/>
        <v>85.113803820237734</v>
      </c>
      <c r="P111" s="48" t="str">
        <f t="shared" si="99"/>
        <v>304.285714285714</v>
      </c>
      <c r="Q111" s="17" t="str">
        <f t="shared" si="100"/>
        <v>1+27.8470606691059i</v>
      </c>
      <c r="R111" s="17">
        <f t="shared" si="110"/>
        <v>27.865010100641715</v>
      </c>
      <c r="S111" s="17">
        <f t="shared" si="111"/>
        <v>1.5349013183017777</v>
      </c>
      <c r="T111" s="17" t="str">
        <f t="shared" si="101"/>
        <v>1+0.000577568665729603i</v>
      </c>
      <c r="U111" s="17">
        <f t="shared" si="112"/>
        <v>1.0000001667927678</v>
      </c>
      <c r="V111" s="17">
        <f t="shared" si="113"/>
        <v>5.7756860150675964E-4</v>
      </c>
      <c r="W111" s="31" t="str">
        <f t="shared" si="102"/>
        <v>1-0.00180490208040501i</v>
      </c>
      <c r="X111" s="17">
        <f t="shared" si="114"/>
        <v>1.0000016288344333</v>
      </c>
      <c r="Y111" s="17">
        <f t="shared" si="115"/>
        <v>-1.8049001204828064E-3</v>
      </c>
      <c r="Z111" s="31" t="str">
        <f t="shared" si="103"/>
        <v>0.999999545136289+0.0159218518933946i</v>
      </c>
      <c r="AA111" s="17">
        <f t="shared" si="116"/>
        <v>1.0001262898456875</v>
      </c>
      <c r="AB111" s="17">
        <f t="shared" si="117"/>
        <v>1.5920513913468482E-2</v>
      </c>
      <c r="AC111" s="66" t="str">
        <f t="shared" si="118"/>
        <v>0.204681415733572-10.9167150071592i</v>
      </c>
      <c r="AD111" s="64">
        <f t="shared" si="119"/>
        <v>20.763365898348379</v>
      </c>
      <c r="AE111" s="61">
        <f t="shared" si="120"/>
        <v>-88.925866678779812</v>
      </c>
      <c r="AF111" s="31" t="str">
        <f t="shared" si="104"/>
        <v>-1512.12121212121</v>
      </c>
      <c r="AG111" s="31" t="str">
        <f t="shared" si="121"/>
        <v>534.785801601484i</v>
      </c>
      <c r="AH111" s="31">
        <f t="shared" si="122"/>
        <v>534.78580160148397</v>
      </c>
      <c r="AI111" s="31">
        <f t="shared" si="123"/>
        <v>1.5707963267948966</v>
      </c>
      <c r="AJ111" s="31" t="str">
        <f t="shared" si="105"/>
        <v>0.998756693657619+0.737077622415872i</v>
      </c>
      <c r="AK111" s="31">
        <f t="shared" si="124"/>
        <v>1.241288989152862</v>
      </c>
      <c r="AL111" s="31">
        <f t="shared" si="125"/>
        <v>0.63577364660856928</v>
      </c>
      <c r="AM111" s="31" t="str">
        <f t="shared" si="106"/>
        <v>1+3.67076974219258i</v>
      </c>
      <c r="AN111" s="31">
        <f t="shared" si="126"/>
        <v>3.8045434023278775</v>
      </c>
      <c r="AO111" s="31">
        <f t="shared" si="127"/>
        <v>1.3048280411573472</v>
      </c>
      <c r="AP111" s="31" t="str">
        <f t="shared" si="107"/>
        <v>1+0.141183451622792i</v>
      </c>
      <c r="AQ111" s="31">
        <f t="shared" si="128"/>
        <v>1.0099172079988168</v>
      </c>
      <c r="AR111" s="31">
        <f t="shared" si="129"/>
        <v>0.14025645424590533</v>
      </c>
      <c r="AS111" s="58" t="str">
        <f t="shared" si="130"/>
        <v>-6.33501764262579+6.03906371543169i</v>
      </c>
      <c r="AT111" s="49">
        <f t="shared" si="131"/>
        <v>18.842442990193224</v>
      </c>
      <c r="AU111" s="61">
        <f t="shared" si="132"/>
        <v>136.3700959500857</v>
      </c>
      <c r="AV111" s="58" t="str">
        <f t="shared" si="108"/>
        <v>64.6300771116539+70.3936662808511i</v>
      </c>
      <c r="AW111" s="64">
        <f t="shared" si="133"/>
        <v>39.605808888541603</v>
      </c>
      <c r="AX111" s="61">
        <f t="shared" si="134"/>
        <v>47.444229271305922</v>
      </c>
    </row>
    <row r="112" spans="14:50" x14ac:dyDescent="0.25">
      <c r="N112" s="10">
        <v>94</v>
      </c>
      <c r="O112" s="50">
        <f t="shared" si="109"/>
        <v>87.096358995608071</v>
      </c>
      <c r="P112" s="48" t="str">
        <f t="shared" si="99"/>
        <v>304.285714285714</v>
      </c>
      <c r="Q112" s="17" t="str">
        <f t="shared" si="100"/>
        <v>1+28.495702038313i</v>
      </c>
      <c r="R112" s="17">
        <f t="shared" si="110"/>
        <v>28.51324314518283</v>
      </c>
      <c r="S112" s="17">
        <f t="shared" si="111"/>
        <v>1.5357177105449242</v>
      </c>
      <c r="T112" s="17" t="str">
        <f t="shared" si="101"/>
        <v>1+0.000591021968202046i</v>
      </c>
      <c r="U112" s="17">
        <f t="shared" si="112"/>
        <v>1.0000001746534681</v>
      </c>
      <c r="V112" s="17">
        <f t="shared" si="113"/>
        <v>5.9102189938603012E-4</v>
      </c>
      <c r="W112" s="31" t="str">
        <f t="shared" si="102"/>
        <v>1-0.0018469436506314i</v>
      </c>
      <c r="X112" s="17">
        <f t="shared" si="114"/>
        <v>1.0000017055989698</v>
      </c>
      <c r="Y112" s="17">
        <f t="shared" si="115"/>
        <v>-1.8469415505371156E-3</v>
      </c>
      <c r="Z112" s="31" t="str">
        <f t="shared" si="103"/>
        <v>0.999999523699223+0.0162927194666428i</v>
      </c>
      <c r="AA112" s="17">
        <f t="shared" si="116"/>
        <v>1.0001322413092639</v>
      </c>
      <c r="AB112" s="17">
        <f t="shared" si="117"/>
        <v>1.6291285805559937E-2</v>
      </c>
      <c r="AC112" s="66" t="str">
        <f t="shared" si="118"/>
        <v>0.18705656451025-10.6687021572563i</v>
      </c>
      <c r="AD112" s="64">
        <f t="shared" si="119"/>
        <v>20.563566692301013</v>
      </c>
      <c r="AE112" s="61">
        <f t="shared" si="120"/>
        <v>-88.995524152636037</v>
      </c>
      <c r="AF112" s="31" t="str">
        <f t="shared" si="104"/>
        <v>-1512.12121212121</v>
      </c>
      <c r="AG112" s="31" t="str">
        <f t="shared" si="121"/>
        <v>547.242563150043i</v>
      </c>
      <c r="AH112" s="31">
        <f t="shared" si="122"/>
        <v>547.242563150043</v>
      </c>
      <c r="AI112" s="31">
        <f t="shared" si="123"/>
        <v>1.5707963267948966</v>
      </c>
      <c r="AJ112" s="31" t="str">
        <f t="shared" si="105"/>
        <v>0.99869809843492+0.754246365785121i</v>
      </c>
      <c r="AK112" s="31">
        <f t="shared" si="124"/>
        <v>1.2515132728491485</v>
      </c>
      <c r="AL112" s="31">
        <f t="shared" si="125"/>
        <v>0.64683966014508587</v>
      </c>
      <c r="AM112" s="31" t="str">
        <f t="shared" si="106"/>
        <v>1+3.75627295346189i</v>
      </c>
      <c r="AN112" s="31">
        <f t="shared" si="126"/>
        <v>3.8871051569142439</v>
      </c>
      <c r="AO112" s="31">
        <f t="shared" si="127"/>
        <v>1.3106097472772644</v>
      </c>
      <c r="AP112" s="31" t="str">
        <f t="shared" si="107"/>
        <v>1+0.144472036671611i</v>
      </c>
      <c r="AQ112" s="31">
        <f t="shared" si="128"/>
        <v>1.0103821897579368</v>
      </c>
      <c r="AR112" s="31">
        <f t="shared" si="129"/>
        <v>0.14347929150143909</v>
      </c>
      <c r="AS112" s="58" t="str">
        <f t="shared" si="130"/>
        <v>-6.26402821043765+5.99608714453073i</v>
      </c>
      <c r="AT112" s="49">
        <f t="shared" si="131"/>
        <v>18.761664987859938</v>
      </c>
      <c r="AU112" s="61">
        <f t="shared" si="132"/>
        <v>136.25198241026442</v>
      </c>
      <c r="AV112" s="58" t="str">
        <f t="shared" si="108"/>
        <v>62.798740256912+67.9506587435705i</v>
      </c>
      <c r="AW112" s="64">
        <f t="shared" si="133"/>
        <v>39.325231680160954</v>
      </c>
      <c r="AX112" s="61">
        <f t="shared" si="134"/>
        <v>47.256458257628417</v>
      </c>
    </row>
    <row r="113" spans="14:50" x14ac:dyDescent="0.25">
      <c r="N113" s="10">
        <v>95</v>
      </c>
      <c r="O113" s="50">
        <f t="shared" si="109"/>
        <v>89.125093813374562</v>
      </c>
      <c r="P113" s="48" t="str">
        <f t="shared" si="99"/>
        <v>304.285714285714</v>
      </c>
      <c r="Q113" s="17" t="str">
        <f t="shared" si="100"/>
        <v>1+29.1594522059261i</v>
      </c>
      <c r="R113" s="17">
        <f t="shared" si="110"/>
        <v>29.176594265775584</v>
      </c>
      <c r="S113" s="17">
        <f t="shared" si="111"/>
        <v>1.5365155646359783</v>
      </c>
      <c r="T113" s="17" t="str">
        <f t="shared" si="101"/>
        <v>1+0.000604788638345133i</v>
      </c>
      <c r="U113" s="17">
        <f t="shared" si="112"/>
        <v>1.0000001828846319</v>
      </c>
      <c r="V113" s="17">
        <f t="shared" si="113"/>
        <v>6.0478856460744422E-4</v>
      </c>
      <c r="W113" s="31" t="str">
        <f t="shared" si="102"/>
        <v>1-0.00188996449482854i</v>
      </c>
      <c r="X113" s="17">
        <f t="shared" si="114"/>
        <v>1.0000017859813011</v>
      </c>
      <c r="Y113" s="17">
        <f t="shared" si="115"/>
        <v>-1.8899622445371885E-3</v>
      </c>
      <c r="Z113" s="31" t="str">
        <f t="shared" si="103"/>
        <v>0.999999501251859+0.0166722256554118i</v>
      </c>
      <c r="AA113" s="17">
        <f t="shared" si="116"/>
        <v>1.0001384732187195</v>
      </c>
      <c r="AB113" s="17">
        <f t="shared" si="117"/>
        <v>1.6670689471371358E-2</v>
      </c>
      <c r="AC113" s="66" t="str">
        <f t="shared" si="118"/>
        <v>0.170223259157717-10.4262903665153i</v>
      </c>
      <c r="AD113" s="64">
        <f t="shared" si="119"/>
        <v>20.36375376880525</v>
      </c>
      <c r="AE113" s="61">
        <f t="shared" si="120"/>
        <v>-89.064652185886231</v>
      </c>
      <c r="AF113" s="31" t="str">
        <f t="shared" si="104"/>
        <v>-1512.12121212121</v>
      </c>
      <c r="AG113" s="31" t="str">
        <f t="shared" si="121"/>
        <v>559.989479949197i</v>
      </c>
      <c r="AH113" s="31">
        <f t="shared" si="122"/>
        <v>559.98947994919695</v>
      </c>
      <c r="AI113" s="31">
        <f t="shared" si="123"/>
        <v>1.5707963267948966</v>
      </c>
      <c r="AJ113" s="31" t="str">
        <f t="shared" si="105"/>
        <v>0.998636741704452+0.77181502056114i</v>
      </c>
      <c r="AK113" s="31">
        <f t="shared" si="124"/>
        <v>1.2621306461083486</v>
      </c>
      <c r="AL113" s="31">
        <f t="shared" si="125"/>
        <v>0.65797711378635149</v>
      </c>
      <c r="AM113" s="31" t="str">
        <f t="shared" si="106"/>
        <v>1+3.84376779037128i</v>
      </c>
      <c r="AN113" s="31">
        <f t="shared" si="126"/>
        <v>3.9717188755368511</v>
      </c>
      <c r="AO113" s="31">
        <f t="shared" si="127"/>
        <v>1.3162770963112411</v>
      </c>
      <c r="AP113" s="31" t="str">
        <f t="shared" si="107"/>
        <v>1+0.147837222706588i</v>
      </c>
      <c r="AQ113" s="31">
        <f t="shared" si="128"/>
        <v>1.0108688561913446</v>
      </c>
      <c r="AR113" s="31">
        <f t="shared" si="129"/>
        <v>0.14677409383539594</v>
      </c>
      <c r="AS113" s="58" t="str">
        <f t="shared" si="130"/>
        <v>-6.19212785138909+5.95312801107552i</v>
      </c>
      <c r="AT113" s="49">
        <f t="shared" si="131"/>
        <v>18.679514855464067</v>
      </c>
      <c r="AU113" s="61">
        <f t="shared" si="132"/>
        <v>136.12734677083731</v>
      </c>
      <c r="AV113" s="58" t="str">
        <f t="shared" si="108"/>
        <v>61.0149970485244+65.5742838173975i</v>
      </c>
      <c r="AW113" s="64">
        <f t="shared" si="133"/>
        <v>39.043268624269317</v>
      </c>
      <c r="AX113" s="61">
        <f t="shared" si="134"/>
        <v>47.062694584951032</v>
      </c>
    </row>
    <row r="114" spans="14:50" x14ac:dyDescent="0.25">
      <c r="N114" s="10">
        <v>96</v>
      </c>
      <c r="O114" s="50">
        <f t="shared" si="109"/>
        <v>91.201083935590972</v>
      </c>
      <c r="P114" s="48" t="str">
        <f t="shared" si="99"/>
        <v>304.285714285714</v>
      </c>
      <c r="Q114" s="17" t="str">
        <f t="shared" si="100"/>
        <v>1+29.8386631010698i</v>
      </c>
      <c r="R114" s="17">
        <f t="shared" si="110"/>
        <v>29.85541518149001</v>
      </c>
      <c r="S114" s="17">
        <f t="shared" si="111"/>
        <v>1.5372952995422913</v>
      </c>
      <c r="T114" s="17" t="str">
        <f t="shared" si="101"/>
        <v>1+0.000618875975429594i</v>
      </c>
      <c r="U114" s="17">
        <f t="shared" si="112"/>
        <v>1.0000001915037182</v>
      </c>
      <c r="V114" s="17">
        <f t="shared" si="113"/>
        <v>6.1887589641823778E-4</v>
      </c>
      <c r="W114" s="31" t="str">
        <f t="shared" si="102"/>
        <v>1-0.00193398742321748i</v>
      </c>
      <c r="X114" s="17">
        <f t="shared" si="114"/>
        <v>1.0000018701519278</v>
      </c>
      <c r="Y114" s="17">
        <f t="shared" si="115"/>
        <v>-1.933985011987098E-3</v>
      </c>
      <c r="Z114" s="31" t="str">
        <f t="shared" si="103"/>
        <v>0.999999477746583+0.0170605716789062i</v>
      </c>
      <c r="AA114" s="17">
        <f t="shared" si="116"/>
        <v>1.0001449987874007</v>
      </c>
      <c r="AB114" s="17">
        <f t="shared" si="117"/>
        <v>1.7058925640938874E-2</v>
      </c>
      <c r="AC114" s="66" t="str">
        <f t="shared" si="118"/>
        <v>0.154146051463148-10.1893548097631i</v>
      </c>
      <c r="AD114" s="64">
        <f t="shared" si="119"/>
        <v>20.163927522929256</v>
      </c>
      <c r="AE114" s="61">
        <f t="shared" si="120"/>
        <v>-89.133287173247552</v>
      </c>
      <c r="AF114" s="31" t="str">
        <f t="shared" si="104"/>
        <v>-1512.12121212121</v>
      </c>
      <c r="AG114" s="31" t="str">
        <f t="shared" si="121"/>
        <v>573.033310582957i</v>
      </c>
      <c r="AH114" s="31">
        <f t="shared" si="122"/>
        <v>573.03331058295703</v>
      </c>
      <c r="AI114" s="31">
        <f t="shared" si="123"/>
        <v>1.5707963267948966</v>
      </c>
      <c r="AJ114" s="31" t="str">
        <f t="shared" si="105"/>
        <v>0.998572493320365+0.789792901877241i</v>
      </c>
      <c r="AK114" s="31">
        <f t="shared" si="124"/>
        <v>1.273153506954964</v>
      </c>
      <c r="AL114" s="31">
        <f t="shared" si="125"/>
        <v>0.66918098057092357</v>
      </c>
      <c r="AM114" s="31" t="str">
        <f t="shared" si="106"/>
        <v>1+3.93330064384141i</v>
      </c>
      <c r="AN114" s="31">
        <f t="shared" si="126"/>
        <v>4.0584299864409692</v>
      </c>
      <c r="AO114" s="31">
        <f t="shared" si="127"/>
        <v>1.3218316363305391</v>
      </c>
      <c r="AP114" s="31" t="str">
        <f t="shared" si="107"/>
        <v>1+0.151280793993901i</v>
      </c>
      <c r="AQ114" s="31">
        <f t="shared" si="128"/>
        <v>1.0113782075126125</v>
      </c>
      <c r="AR114" s="31">
        <f t="shared" si="129"/>
        <v>0.15014232190706439</v>
      </c>
      <c r="AS114" s="58" t="str">
        <f t="shared" si="130"/>
        <v>-6.1193765742794+5.91010487124012i</v>
      </c>
      <c r="AT114" s="49">
        <f t="shared" si="131"/>
        <v>18.595952328476063</v>
      </c>
      <c r="AU114" s="61">
        <f t="shared" si="132"/>
        <v>135.99664944304089</v>
      </c>
      <c r="AV114" s="58" t="str">
        <f t="shared" si="108"/>
        <v>59.2768777596336+63.2635184595202i</v>
      </c>
      <c r="AW114" s="64">
        <f t="shared" si="133"/>
        <v>38.759879851405316</v>
      </c>
      <c r="AX114" s="61">
        <f t="shared" si="134"/>
        <v>46.863362269793349</v>
      </c>
    </row>
    <row r="115" spans="14:50" x14ac:dyDescent="0.25">
      <c r="N115" s="10">
        <v>97</v>
      </c>
      <c r="O115" s="50">
        <f t="shared" si="109"/>
        <v>93.325430079699174</v>
      </c>
      <c r="P115" s="48" t="str">
        <f t="shared" si="99"/>
        <v>304.285714285714</v>
      </c>
      <c r="Q115" s="17" t="str">
        <f t="shared" si="100"/>
        <v>1+30.5336948503511i</v>
      </c>
      <c r="R115" s="17">
        <f t="shared" si="110"/>
        <v>30.550065813584713</v>
      </c>
      <c r="S115" s="17">
        <f t="shared" si="111"/>
        <v>1.5380573248949179</v>
      </c>
      <c r="T115" s="17" t="str">
        <f t="shared" si="101"/>
        <v>1+0.000633291448748021i</v>
      </c>
      <c r="U115" s="17">
        <f t="shared" si="112"/>
        <v>1.0000002005290094</v>
      </c>
      <c r="V115" s="17">
        <f t="shared" si="113"/>
        <v>6.3329136408582824E-4</v>
      </c>
      <c r="W115" s="31" t="str">
        <f t="shared" si="102"/>
        <v>1-0.00197903577733757i</v>
      </c>
      <c r="X115" s="17">
        <f t="shared" si="114"/>
        <v>1.0000019582893866</v>
      </c>
      <c r="Y115" s="17">
        <f t="shared" si="115"/>
        <v>-1.9790331936579393E-3</v>
      </c>
      <c r="Z115" s="31" t="str">
        <f t="shared" si="103"/>
        <v>0.999999453133538+0.0174579634433283i</v>
      </c>
      <c r="AA115" s="17">
        <f t="shared" si="116"/>
        <v>1.0001518318510263</v>
      </c>
      <c r="AB115" s="17">
        <f t="shared" si="117"/>
        <v>1.7456199696329913E-2</v>
      </c>
      <c r="AC115" s="66" t="str">
        <f t="shared" si="118"/>
        <v>0.138791074391772-9.95777331909157i</v>
      </c>
      <c r="AD115" s="64">
        <f t="shared" si="119"/>
        <v>19.964088321653279</v>
      </c>
      <c r="AE115" s="61">
        <f t="shared" si="120"/>
        <v>-89.201465261746378</v>
      </c>
      <c r="AF115" s="31" t="str">
        <f t="shared" si="104"/>
        <v>-1512.12121212121</v>
      </c>
      <c r="AG115" s="31" t="str">
        <f t="shared" si="121"/>
        <v>586.380971062982i</v>
      </c>
      <c r="AH115" s="31">
        <f t="shared" si="122"/>
        <v>586.38097106298198</v>
      </c>
      <c r="AI115" s="31">
        <f t="shared" si="123"/>
        <v>1.5707963267948966</v>
      </c>
      <c r="AJ115" s="31" t="str">
        <f t="shared" si="105"/>
        <v>0.998505217003221+0.808189541844063i</v>
      </c>
      <c r="AK115" s="31">
        <f t="shared" si="124"/>
        <v>1.2845944900741113</v>
      </c>
      <c r="AL115" s="31">
        <f t="shared" si="125"/>
        <v>0.68044607418412095</v>
      </c>
      <c r="AM115" s="31" t="str">
        <f t="shared" si="106"/>
        <v>1+4.0249189853763i</v>
      </c>
      <c r="AN115" s="31">
        <f t="shared" si="126"/>
        <v>4.1472849960959497</v>
      </c>
      <c r="AO115" s="31">
        <f t="shared" si="127"/>
        <v>1.3272749408598197</v>
      </c>
      <c r="AP115" s="31" t="str">
        <f t="shared" si="107"/>
        <v>1+0.154804576360627i</v>
      </c>
      <c r="AQ115" s="31">
        <f t="shared" si="128"/>
        <v>1.0119112890279431</v>
      </c>
      <c r="AR115" s="31">
        <f t="shared" si="129"/>
        <v>0.153585455737971</v>
      </c>
      <c r="AS115" s="58" t="str">
        <f t="shared" si="130"/>
        <v>-6.04583764036099+5.86694003009004i</v>
      </c>
      <c r="AT115" s="49">
        <f t="shared" si="131"/>
        <v>18.5109400806335</v>
      </c>
      <c r="AU115" s="61">
        <f t="shared" si="132"/>
        <v>135.86036253612679</v>
      </c>
      <c r="AV115" s="58" t="str">
        <f t="shared" si="108"/>
        <v>57.582550594637+61.0173596569145i</v>
      </c>
      <c r="AW115" s="64">
        <f t="shared" si="133"/>
        <v>38.475028402286782</v>
      </c>
      <c r="AX115" s="61">
        <f t="shared" si="134"/>
        <v>46.658897274380408</v>
      </c>
    </row>
    <row r="116" spans="14:50" x14ac:dyDescent="0.25">
      <c r="N116" s="10">
        <v>98</v>
      </c>
      <c r="O116" s="50">
        <f t="shared" si="109"/>
        <v>95.499258602143655</v>
      </c>
      <c r="P116" s="48" t="str">
        <f t="shared" si="99"/>
        <v>304.285714285714</v>
      </c>
      <c r="Q116" s="17" t="str">
        <f t="shared" si="100"/>
        <v>1+31.2449159688032i</v>
      </c>
      <c r="R116" s="17">
        <f t="shared" si="110"/>
        <v>31.260914476348464</v>
      </c>
      <c r="S116" s="17">
        <f t="shared" si="111"/>
        <v>1.5388020411878036</v>
      </c>
      <c r="T116" s="17" t="str">
        <f t="shared" si="101"/>
        <v>1+0.000648042701575176i</v>
      </c>
      <c r="U116" s="17">
        <f t="shared" si="112"/>
        <v>1.0000002099796494</v>
      </c>
      <c r="V116" s="17">
        <f t="shared" si="113"/>
        <v>6.4804261085800311E-4</v>
      </c>
      <c r="W116" s="31" t="str">
        <f t="shared" si="102"/>
        <v>1-0.00202513344242243i</v>
      </c>
      <c r="X116" s="17">
        <f t="shared" si="114"/>
        <v>1.0000020505806273</v>
      </c>
      <c r="Y116" s="17">
        <f t="shared" si="115"/>
        <v>-2.0251306739601338E-3</v>
      </c>
      <c r="Z116" s="31" t="str">
        <f t="shared" si="103"/>
        <v>0.999999427360515+0.0178646116510514i</v>
      </c>
      <c r="AA116" s="17">
        <f t="shared" si="116"/>
        <v>1.0001589868969836</v>
      </c>
      <c r="AB116" s="17">
        <f t="shared" si="117"/>
        <v>1.7862721778317998E-2</v>
      </c>
      <c r="AC116" s="66" t="str">
        <f t="shared" si="118"/>
        <v>0.124125972232784-9.73142633542334i</v>
      </c>
      <c r="AD116" s="64">
        <f t="shared" si="119"/>
        <v>19.764236504634873</v>
      </c>
      <c r="AE116" s="61">
        <f t="shared" si="120"/>
        <v>-89.269222368725053</v>
      </c>
      <c r="AF116" s="31" t="str">
        <f t="shared" si="104"/>
        <v>-1512.12121212121</v>
      </c>
      <c r="AG116" s="31" t="str">
        <f t="shared" si="121"/>
        <v>600.039538495533i</v>
      </c>
      <c r="AH116" s="31">
        <f t="shared" si="122"/>
        <v>600.03953849553295</v>
      </c>
      <c r="AI116" s="31">
        <f t="shared" si="123"/>
        <v>1.5707963267948966</v>
      </c>
      <c r="AJ116" s="31" t="str">
        <f t="shared" si="105"/>
        <v>0.998434770050931+0.827014694603623i</v>
      </c>
      <c r="AK116" s="31">
        <f t="shared" si="124"/>
        <v>1.2964664651031199</v>
      </c>
      <c r="AL116" s="31">
        <f t="shared" si="125"/>
        <v>0.69176705965818619</v>
      </c>
      <c r="AM116" s="31" t="str">
        <f t="shared" si="106"/>
        <v>1+4.11867139223333i</v>
      </c>
      <c r="AN116" s="31">
        <f t="shared" si="126"/>
        <v>4.2383315157265882</v>
      </c>
      <c r="AO116" s="31">
        <f t="shared" si="127"/>
        <v>1.3326086051993049</v>
      </c>
      <c r="AP116" s="31" t="str">
        <f t="shared" si="107"/>
        <v>1+0.158410438162821i</v>
      </c>
      <c r="AQ116" s="31">
        <f t="shared" si="128"/>
        <v>1.0124691930715408</v>
      </c>
      <c r="AR116" s="31">
        <f t="shared" si="129"/>
        <v>0.15710499420350732</v>
      </c>
      <c r="AS116" s="58" t="str">
        <f t="shared" si="130"/>
        <v>-5.97157737447638+5.82355978521231i</v>
      </c>
      <c r="AT116" s="49">
        <f t="shared" si="131"/>
        <v>18.424443817834629</v>
      </c>
      <c r="AU116" s="61">
        <f t="shared" si="132"/>
        <v>135.71896900443508</v>
      </c>
      <c r="AV116" s="58" t="str">
        <f t="shared" si="108"/>
        <v>55.9303152123572+58.8348203461928i</v>
      </c>
      <c r="AW116" s="64">
        <f t="shared" si="133"/>
        <v>38.188680322469502</v>
      </c>
      <c r="AX116" s="61">
        <f t="shared" si="134"/>
        <v>46.449746635709985</v>
      </c>
    </row>
    <row r="117" spans="14:50" x14ac:dyDescent="0.25">
      <c r="N117" s="10">
        <v>99</v>
      </c>
      <c r="O117" s="50">
        <f t="shared" si="109"/>
        <v>97.723722095581124</v>
      </c>
      <c r="P117" s="48" t="str">
        <f t="shared" si="99"/>
        <v>304.285714285714</v>
      </c>
      <c r="Q117" s="17" t="str">
        <f t="shared" si="100"/>
        <v>1+31.9727035552773i</v>
      </c>
      <c r="R117" s="17">
        <f t="shared" si="110"/>
        <v>31.988338072391972</v>
      </c>
      <c r="S117" s="17">
        <f t="shared" si="111"/>
        <v>1.5395298399733244</v>
      </c>
      <c r="T117" s="17" t="str">
        <f t="shared" si="101"/>
        <v>1+0.000663137555220564i</v>
      </c>
      <c r="U117" s="17">
        <f t="shared" si="112"/>
        <v>1.0000002198756843</v>
      </c>
      <c r="V117" s="17">
        <f t="shared" si="113"/>
        <v>6.6313745801536311E-4</v>
      </c>
      <c r="W117" s="31" t="str">
        <f t="shared" si="102"/>
        <v>1-0.00207230486006427i</v>
      </c>
      <c r="X117" s="17">
        <f t="shared" si="114"/>
        <v>1.0000021472214111</v>
      </c>
      <c r="Y117" s="17">
        <f t="shared" si="115"/>
        <v>-2.072301893603818E-3</v>
      </c>
      <c r="Z117" s="31" t="str">
        <f t="shared" si="103"/>
        <v>0.999999400372848+0.018280731912338i</v>
      </c>
      <c r="AA117" s="17">
        <f t="shared" si="116"/>
        <v>1.0001664790950084</v>
      </c>
      <c r="AB117" s="17">
        <f t="shared" si="117"/>
        <v>1.8278706895423977E-2</v>
      </c>
      <c r="AC117" s="66" t="str">
        <f t="shared" si="118"/>
        <v>0.11011983377735-9.5101968603807i</v>
      </c>
      <c r="AD117" s="64">
        <f t="shared" si="119"/>
        <v>19.564372384916908</v>
      </c>
      <c r="AE117" s="61">
        <f t="shared" si="120"/>
        <v>-89.336594199786134</v>
      </c>
      <c r="AF117" s="31" t="str">
        <f t="shared" si="104"/>
        <v>-1512.12121212121</v>
      </c>
      <c r="AG117" s="31" t="str">
        <f t="shared" si="121"/>
        <v>614.016254833856i</v>
      </c>
      <c r="AH117" s="31">
        <f t="shared" si="122"/>
        <v>614.01625483385601</v>
      </c>
      <c r="AI117" s="31">
        <f t="shared" si="123"/>
        <v>1.5707963267948966</v>
      </c>
      <c r="AJ117" s="31" t="str">
        <f t="shared" si="105"/>
        <v>0.998361003036066+0.846278341501095i</v>
      </c>
      <c r="AK117" s="31">
        <f t="shared" si="124"/>
        <v>1.3087825349067825</v>
      </c>
      <c r="AL117" s="31">
        <f t="shared" si="125"/>
        <v>0.70313846494330845</v>
      </c>
      <c r="AM117" s="31" t="str">
        <f t="shared" si="106"/>
        <v>1+4.21460757317958i</v>
      </c>
      <c r="AN117" s="31">
        <f t="shared" si="126"/>
        <v>4.3316182883424377</v>
      </c>
      <c r="AO117" s="31">
        <f t="shared" si="127"/>
        <v>1.3378342429482479</v>
      </c>
      <c r="AP117" s="31" t="str">
        <f t="shared" si="107"/>
        <v>1+0.162100291276138i</v>
      </c>
      <c r="AQ117" s="31">
        <f t="shared" si="128"/>
        <v>1.0130530610149739</v>
      </c>
      <c r="AR117" s="31">
        <f t="shared" si="129"/>
        <v>0.16070245445436473</v>
      </c>
      <c r="AS117" s="58" t="str">
        <f t="shared" si="130"/>
        <v>-5.89666495173068+5.77989465681744i</v>
      </c>
      <c r="AT117" s="49">
        <f t="shared" si="131"/>
        <v>18.336432365649276</v>
      </c>
      <c r="AU117" s="61">
        <f t="shared" si="132"/>
        <v>135.57296175208373</v>
      </c>
      <c r="AV117" s="58" t="str">
        <f t="shared" si="108"/>
        <v>54.3185962542711+56.7149255495254i</v>
      </c>
      <c r="AW117" s="64">
        <f t="shared" si="133"/>
        <v>37.900804750566188</v>
      </c>
      <c r="AX117" s="61">
        <f t="shared" si="134"/>
        <v>46.236367552297615</v>
      </c>
    </row>
    <row r="118" spans="14:50" x14ac:dyDescent="0.25">
      <c r="N118" s="10">
        <v>100</v>
      </c>
      <c r="O118" s="50">
        <f t="shared" si="109"/>
        <v>100</v>
      </c>
      <c r="P118" s="48" t="str">
        <f t="shared" si="99"/>
        <v>304.285714285714</v>
      </c>
      <c r="Q118" s="17" t="str">
        <f t="shared" si="100"/>
        <v>1+32.7174434923852i</v>
      </c>
      <c r="R118" s="17">
        <f t="shared" si="110"/>
        <v>32.732722292492248</v>
      </c>
      <c r="S118" s="17">
        <f t="shared" si="111"/>
        <v>1.5402411040541981</v>
      </c>
      <c r="T118" s="17" t="str">
        <f t="shared" si="101"/>
        <v>1+0.000678584013175396i</v>
      </c>
      <c r="U118" s="17">
        <f t="shared" si="112"/>
        <v>1.000000230238105</v>
      </c>
      <c r="V118" s="17">
        <f t="shared" si="113"/>
        <v>6.7858390901814794E-4</v>
      </c>
      <c r="W118" s="31" t="str">
        <f t="shared" si="102"/>
        <v>1-0.00212057504117311i</v>
      </c>
      <c r="X118" s="17">
        <f t="shared" si="114"/>
        <v>1.000002248416725</v>
      </c>
      <c r="Y118" s="17">
        <f t="shared" si="115"/>
        <v>-2.1205718625538533E-3</v>
      </c>
      <c r="Z118" s="31" t="str">
        <f t="shared" si="103"/>
        <v>0.999999372113291+0.0187065448596587i</v>
      </c>
      <c r="AA118" s="17">
        <f t="shared" si="116"/>
        <v>1.0001743243292955</v>
      </c>
      <c r="AB118" s="17">
        <f t="shared" si="117"/>
        <v>1.8704375035366969E-2</v>
      </c>
      <c r="AC118" s="66" t="str">
        <f t="shared" si="118"/>
        <v>0.0967431284021893-9.29397040850469i</v>
      </c>
      <c r="AD118" s="64">
        <f t="shared" si="119"/>
        <v>19.364496249581322</v>
      </c>
      <c r="AE118" s="61">
        <f t="shared" si="120"/>
        <v>-89.403616266678512</v>
      </c>
      <c r="AF118" s="31" t="str">
        <f t="shared" si="104"/>
        <v>-1512.12121212121</v>
      </c>
      <c r="AG118" s="31" t="str">
        <f t="shared" si="121"/>
        <v>628.318530717959i</v>
      </c>
      <c r="AH118" s="31">
        <f t="shared" si="122"/>
        <v>628.31853071795899</v>
      </c>
      <c r="AI118" s="31">
        <f t="shared" si="123"/>
        <v>1.5707963267948966</v>
      </c>
      <c r="AJ118" s="31" t="str">
        <f t="shared" si="105"/>
        <v>0.998283759488896+0.865990696377049i</v>
      </c>
      <c r="AK118" s="31">
        <f t="shared" si="124"/>
        <v>1.3215560338747996</v>
      </c>
      <c r="AL118" s="31">
        <f t="shared" si="125"/>
        <v>0.71455469329730359</v>
      </c>
      <c r="AM118" s="31" t="str">
        <f t="shared" si="106"/>
        <v>1+4.31277839484806i</v>
      </c>
      <c r="AN118" s="31">
        <f t="shared" si="126"/>
        <v>4.4271952162817723</v>
      </c>
      <c r="AO118" s="31">
        <f t="shared" si="127"/>
        <v>1.3429534827250622</v>
      </c>
      <c r="AP118" s="31" t="str">
        <f t="shared" si="107"/>
        <v>1+0.165876092109541i</v>
      </c>
      <c r="AQ118" s="31">
        <f t="shared" si="128"/>
        <v>1.0136640853525063</v>
      </c>
      <c r="AR118" s="31">
        <f t="shared" si="129"/>
        <v>0.16437937126313773</v>
      </c>
      <c r="AS118" s="58" t="str">
        <f t="shared" si="130"/>
        <v>-5.82117216088665+5.7358796016848i</v>
      </c>
      <c r="AT118" s="49">
        <f t="shared" si="131"/>
        <v>18.246877749845638</v>
      </c>
      <c r="AU118" s="61">
        <f t="shared" si="132"/>
        <v>135.42284269773251</v>
      </c>
      <c r="AV118" s="58" t="str">
        <f t="shared" si="108"/>
        <v>52.7459368789923+54.6567087428971i</v>
      </c>
      <c r="AW118" s="64">
        <f t="shared" si="133"/>
        <v>37.611373999426959</v>
      </c>
      <c r="AX118" s="61">
        <f t="shared" si="134"/>
        <v>46.019226431053994</v>
      </c>
    </row>
    <row r="119" spans="14:50" x14ac:dyDescent="0.25">
      <c r="N119" s="10">
        <v>1</v>
      </c>
      <c r="O119" s="50">
        <f>10^(2+(N119/100))</f>
        <v>102.32929922807544</v>
      </c>
      <c r="P119" s="48" t="str">
        <f t="shared" si="99"/>
        <v>304.285714285714</v>
      </c>
      <c r="Q119" s="17" t="str">
        <f t="shared" si="100"/>
        <v>1+33.4795306510994i</v>
      </c>
      <c r="R119" s="17">
        <f t="shared" si="110"/>
        <v>33.494461820096532</v>
      </c>
      <c r="S119" s="17">
        <f t="shared" si="111"/>
        <v>1.5409362076718001</v>
      </c>
      <c r="T119" s="17" t="str">
        <f t="shared" si="101"/>
        <v>1+0.000694390265356133i</v>
      </c>
      <c r="U119" s="17">
        <f t="shared" si="112"/>
        <v>1.0000002410888913</v>
      </c>
      <c r="V119" s="17">
        <f t="shared" si="113"/>
        <v>6.9439015374963241E-4</v>
      </c>
      <c r="W119" s="31" t="str">
        <f t="shared" si="102"/>
        <v>1-0.00216996957923792i</v>
      </c>
      <c r="X119" s="17">
        <f t="shared" si="114"/>
        <v>1.000002354381216</v>
      </c>
      <c r="Y119" s="17">
        <f t="shared" si="115"/>
        <v>-2.1699661732864557E-3</v>
      </c>
      <c r="Z119" s="31" t="str">
        <f t="shared" si="103"/>
        <v>0.999999342521902+0.0191422762646743i</v>
      </c>
      <c r="AA119" s="17">
        <f t="shared" si="116"/>
        <v>1.0001825392321291</v>
      </c>
      <c r="AB119" s="17">
        <f t="shared" si="117"/>
        <v>1.9139951278973527E-2</v>
      </c>
      <c r="AC119" s="66" t="str">
        <f t="shared" si="118"/>
        <v>0.0839676449369507-9.08263495986321i</v>
      </c>
      <c r="AD119" s="64">
        <f t="shared" si="119"/>
        <v>19.164608360348037</v>
      </c>
      <c r="AE119" s="61">
        <f t="shared" si="120"/>
        <v>-89.470323905130059</v>
      </c>
      <c r="AF119" s="31" t="str">
        <f t="shared" si="104"/>
        <v>-1512.12121212121</v>
      </c>
      <c r="AG119" s="31" t="str">
        <f t="shared" si="121"/>
        <v>642.953949403827i</v>
      </c>
      <c r="AH119" s="31">
        <f t="shared" si="122"/>
        <v>642.95394940382698</v>
      </c>
      <c r="AI119" s="31">
        <f t="shared" si="123"/>
        <v>1.5707963267948966</v>
      </c>
      <c r="AJ119" s="31" t="str">
        <f t="shared" si="105"/>
        <v>0.998202875565501+0.886162210982965i</v>
      </c>
      <c r="AK119" s="31">
        <f t="shared" si="124"/>
        <v>1.334800526281531</v>
      </c>
      <c r="AL119" s="31">
        <f t="shared" si="125"/>
        <v>0.7260100364329638</v>
      </c>
      <c r="AM119" s="31" t="str">
        <f t="shared" si="106"/>
        <v>1+4.41323590870786i</v>
      </c>
      <c r="AN119" s="31">
        <f t="shared" si="126"/>
        <v>4.5251133892874442</v>
      </c>
      <c r="AO119" s="31">
        <f t="shared" si="127"/>
        <v>1.3479679650789866</v>
      </c>
      <c r="AP119" s="31" t="str">
        <f t="shared" si="107"/>
        <v>1+0.16973984264261i</v>
      </c>
      <c r="AQ119" s="31">
        <f t="shared" si="128"/>
        <v>1.0143035118643424</v>
      </c>
      <c r="AR119" s="31">
        <f t="shared" si="129"/>
        <v>0.16813729629121793</v>
      </c>
      <c r="AS119" s="58" t="str">
        <f t="shared" si="130"/>
        <v>-5.74517314598457+5.6914542084366i</v>
      </c>
      <c r="AT119" s="49">
        <f t="shared" si="131"/>
        <v>18.155755269359986</v>
      </c>
      <c r="AU119" s="61">
        <f t="shared" si="132"/>
        <v>135.26912180234334</v>
      </c>
      <c r="AV119" s="58" t="str">
        <f t="shared" si="108"/>
        <v>51.2109923071835+52.6592084723357i</v>
      </c>
      <c r="AW119" s="64">
        <f t="shared" si="133"/>
        <v>37.320363629708027</v>
      </c>
      <c r="AX119" s="61">
        <f t="shared" si="134"/>
        <v>45.798797897213291</v>
      </c>
    </row>
    <row r="120" spans="14:50" x14ac:dyDescent="0.25">
      <c r="N120" s="10">
        <v>2</v>
      </c>
      <c r="O120" s="50">
        <f t="shared" ref="O120:O183" si="135">10^(2+(N120/100))</f>
        <v>104.71285480508998</v>
      </c>
      <c r="P120" s="48" t="str">
        <f t="shared" si="99"/>
        <v>304.285714285714</v>
      </c>
      <c r="Q120" s="17" t="str">
        <f t="shared" si="100"/>
        <v>1+34.2593691001187i</v>
      </c>
      <c r="R120" s="17">
        <f t="shared" si="110"/>
        <v>34.273960540593613</v>
      </c>
      <c r="S120" s="17">
        <f t="shared" si="111"/>
        <v>1.5416155166909113</v>
      </c>
      <c r="T120" s="17" t="str">
        <f t="shared" si="101"/>
        <v>1+0.000710564692446905i</v>
      </c>
      <c r="U120" s="17">
        <f t="shared" si="112"/>
        <v>1.0000002524510592</v>
      </c>
      <c r="V120" s="17">
        <f t="shared" si="113"/>
        <v>7.1056457285838671E-4</v>
      </c>
      <c r="W120" s="31" t="str">
        <f t="shared" si="102"/>
        <v>1-0.00222051466389658i</v>
      </c>
      <c r="X120" s="17">
        <f t="shared" si="114"/>
        <v>1.0000024653396473</v>
      </c>
      <c r="Y120" s="17">
        <f t="shared" si="115"/>
        <v>-2.220511014354319E-3</v>
      </c>
      <c r="Z120" s="31" t="str">
        <f t="shared" si="103"/>
        <v>0.999999311535914+0.0195881571579434i</v>
      </c>
      <c r="AA120" s="17">
        <f t="shared" si="116"/>
        <v>1.0001911412190905</v>
      </c>
      <c r="AB120" s="17">
        <f t="shared" si="117"/>
        <v>1.958566591659306E-2</v>
      </c>
      <c r="AC120" s="66" t="str">
        <f t="shared" si="118"/>
        <v>0.0717664331983847-8.87608091308672i</v>
      </c>
      <c r="AD120" s="64">
        <f t="shared" si="119"/>
        <v>18.964708954121786</v>
      </c>
      <c r="AE120" s="61">
        <f t="shared" si="120"/>
        <v>-89.536752292631462</v>
      </c>
      <c r="AF120" s="31" t="str">
        <f t="shared" si="104"/>
        <v>-1512.12121212121</v>
      </c>
      <c r="AG120" s="31" t="str">
        <f t="shared" si="121"/>
        <v>657.930270784171i</v>
      </c>
      <c r="AH120" s="31">
        <f t="shared" si="122"/>
        <v>657.93027078417094</v>
      </c>
      <c r="AI120" s="31">
        <f t="shared" si="123"/>
        <v>1.5707963267948966</v>
      </c>
      <c r="AJ120" s="31" t="str">
        <f t="shared" si="105"/>
        <v>0.998118179700237+0.906803580522887i</v>
      </c>
      <c r="AK120" s="31">
        <f t="shared" si="124"/>
        <v>1.348529804749321</v>
      </c>
      <c r="AL120" s="31">
        <f t="shared" si="125"/>
        <v>0.73749868835376242</v>
      </c>
      <c r="AM120" s="31" t="str">
        <f t="shared" si="106"/>
        <v>1+4.51603337866254i</v>
      </c>
      <c r="AN120" s="31">
        <f t="shared" si="126"/>
        <v>4.6254251131322182</v>
      </c>
      <c r="AO120" s="31">
        <f t="shared" si="127"/>
        <v>1.3528793395877483</v>
      </c>
      <c r="AP120" s="31" t="str">
        <f t="shared" si="107"/>
        <v>1+0.173693591487021i</v>
      </c>
      <c r="AQ120" s="31">
        <f t="shared" si="128"/>
        <v>1.0149726418597005</v>
      </c>
      <c r="AR120" s="31">
        <f t="shared" si="129"/>
        <v>0.17197779727093992</v>
      </c>
      <c r="AS120" s="58" t="str">
        <f t="shared" si="130"/>
        <v>-5.66874412799354+5.64656287178323i</v>
      </c>
      <c r="AT120" s="49">
        <f t="shared" si="131"/>
        <v>18.063043561176109</v>
      </c>
      <c r="AU120" s="61">
        <f t="shared" si="132"/>
        <v>135.11231606330082</v>
      </c>
      <c r="AV120" s="58" t="str">
        <f t="shared" si="108"/>
        <v>49.7125233839989+50.7214652327942i</v>
      </c>
      <c r="AW120" s="64">
        <f t="shared" si="133"/>
        <v>37.027752515297891</v>
      </c>
      <c r="AX120" s="61">
        <f t="shared" si="134"/>
        <v>45.575563770669355</v>
      </c>
    </row>
    <row r="121" spans="14:50" x14ac:dyDescent="0.25">
      <c r="N121" s="10">
        <v>3</v>
      </c>
      <c r="O121" s="50">
        <f t="shared" si="135"/>
        <v>107.15193052376065</v>
      </c>
      <c r="P121" s="48" t="str">
        <f t="shared" si="99"/>
        <v>304.285714285714</v>
      </c>
      <c r="Q121" s="17" t="str">
        <f t="shared" si="100"/>
        <v>1+35.0573723201113i</v>
      </c>
      <c r="R121" s="17">
        <f t="shared" si="110"/>
        <v>35.071631755464495</v>
      </c>
      <c r="S121" s="17">
        <f t="shared" si="111"/>
        <v>1.5422793887809356</v>
      </c>
      <c r="T121" s="17" t="str">
        <f t="shared" si="101"/>
        <v>1+0.000727115870343047i</v>
      </c>
      <c r="U121" s="17">
        <f t="shared" si="112"/>
        <v>1.0000002643487096</v>
      </c>
      <c r="V121" s="17">
        <f t="shared" si="113"/>
        <v>7.2711574220164267E-4</v>
      </c>
      <c r="W121" s="31" t="str">
        <f t="shared" si="102"/>
        <v>1-0.00227223709482202i</v>
      </c>
      <c r="X121" s="17">
        <f t="shared" si="114"/>
        <v>1.0000025815273754</v>
      </c>
      <c r="Y121" s="17">
        <f t="shared" si="115"/>
        <v>-2.2722331842675776E-3</v>
      </c>
      <c r="Z121" s="31" t="str">
        <f t="shared" si="103"/>
        <v>0.999999279089601+0.0200444239514176i</v>
      </c>
      <c r="AA121" s="17">
        <f t="shared" si="116"/>
        <v>1.0002001485259167</v>
      </c>
      <c r="AB121" s="17">
        <f t="shared" si="117"/>
        <v>2.0041754567065823E-2</v>
      </c>
      <c r="AC121" s="66" t="str">
        <f t="shared" si="118"/>
        <v>0.0601137480788086-8.67420103886347i</v>
      </c>
      <c r="AD121" s="64">
        <f t="shared" si="119"/>
        <v>18.764798243486915</v>
      </c>
      <c r="AE121" s="61">
        <f t="shared" si="120"/>
        <v>-89.602936466176189</v>
      </c>
      <c r="AF121" s="31" t="str">
        <f t="shared" si="104"/>
        <v>-1512.12121212121</v>
      </c>
      <c r="AG121" s="31" t="str">
        <f t="shared" si="121"/>
        <v>673.255435502821i</v>
      </c>
      <c r="AH121" s="31">
        <f t="shared" si="122"/>
        <v>673.255435502821</v>
      </c>
      <c r="AI121" s="31">
        <f t="shared" si="123"/>
        <v>1.5707963267948966</v>
      </c>
      <c r="AJ121" s="31" t="str">
        <f t="shared" si="105"/>
        <v>0.998029492241816+0.927925749324166i</v>
      </c>
      <c r="AK121" s="31">
        <f t="shared" si="124"/>
        <v>1.3627578888574714</v>
      </c>
      <c r="AL121" s="31">
        <f t="shared" si="125"/>
        <v>0.74901475980089149</v>
      </c>
      <c r="AM121" s="31" t="str">
        <f t="shared" si="106"/>
        <v>1+4.62122530929135i</v>
      </c>
      <c r="AN121" s="31">
        <f t="shared" si="126"/>
        <v>4.7281839388114895</v>
      </c>
      <c r="AO121" s="31">
        <f t="shared" si="127"/>
        <v>1.3576892621353556</v>
      </c>
      <c r="AP121" s="31" t="str">
        <f t="shared" si="107"/>
        <v>1+0.177739434972745i</v>
      </c>
      <c r="AQ121" s="31">
        <f t="shared" si="128"/>
        <v>1.0156728345015587</v>
      </c>
      <c r="AR121" s="31">
        <f t="shared" si="129"/>
        <v>0.17590245709771421</v>
      </c>
      <c r="AS121" s="58" t="str">
        <f t="shared" si="130"/>
        <v>-5.59196310858615+5.60115494358057i</v>
      </c>
      <c r="AT121" s="49">
        <f t="shared" si="131"/>
        <v>17.968724656629085</v>
      </c>
      <c r="AU121" s="61">
        <f t="shared" si="132"/>
        <v>134.95294847867063</v>
      </c>
      <c r="AV121" s="58" t="str">
        <f t="shared" si="108"/>
        <v>48.2493901688663+48.842518623013i</v>
      </c>
      <c r="AW121" s="64">
        <f t="shared" si="133"/>
        <v>36.733522900116</v>
      </c>
      <c r="AX121" s="61">
        <f t="shared" si="134"/>
        <v>45.350012012494481</v>
      </c>
    </row>
    <row r="122" spans="14:50" x14ac:dyDescent="0.25">
      <c r="N122" s="10">
        <v>4</v>
      </c>
      <c r="O122" s="50">
        <f t="shared" si="135"/>
        <v>109.64781961431861</v>
      </c>
      <c r="P122" s="48" t="str">
        <f t="shared" si="99"/>
        <v>304.285714285714</v>
      </c>
      <c r="Q122" s="17" t="str">
        <f t="shared" si="100"/>
        <v>1+35.8739634229471i</v>
      </c>
      <c r="R122" s="17">
        <f t="shared" si="110"/>
        <v>35.887898401424209</v>
      </c>
      <c r="S122" s="17">
        <f t="shared" si="111"/>
        <v>1.542928173593616</v>
      </c>
      <c r="T122" s="17" t="str">
        <f t="shared" si="101"/>
        <v>1+0.000744052574698161i</v>
      </c>
      <c r="U122" s="17">
        <f t="shared" si="112"/>
        <v>1.0000002768070786</v>
      </c>
      <c r="V122" s="17">
        <f t="shared" si="113"/>
        <v>7.4405243739217449E-4</v>
      </c>
      <c r="W122" s="31" t="str">
        <f t="shared" si="102"/>
        <v>1-0.00232516429593176i</v>
      </c>
      <c r="X122" s="17">
        <f t="shared" si="114"/>
        <v>1.0000027031908481</v>
      </c>
      <c r="Y122" s="17">
        <f t="shared" si="115"/>
        <v>-2.3251601056977923E-3</v>
      </c>
      <c r="Z122" s="31" t="str">
        <f t="shared" si="103"/>
        <v>0.999999245114141+0.0205113185637901i</v>
      </c>
      <c r="AA122" s="17">
        <f t="shared" si="116"/>
        <v>1.0002095802470985</v>
      </c>
      <c r="AB122" s="17">
        <f t="shared" si="117"/>
        <v>2.0508458299292442E-2</v>
      </c>
      <c r="AC122" s="66" t="str">
        <f t="shared" si="118"/>
        <v>0.0489849960808276-8.47689043392424i</v>
      </c>
      <c r="AD122" s="64">
        <f t="shared" si="119"/>
        <v>18.564876417151662</v>
      </c>
      <c r="AE122" s="61">
        <f t="shared" si="120"/>
        <v>-89.668911339961809</v>
      </c>
      <c r="AF122" s="31" t="str">
        <f t="shared" si="104"/>
        <v>-1512.12121212121</v>
      </c>
      <c r="AG122" s="31" t="str">
        <f t="shared" si="121"/>
        <v>688.937569164964i</v>
      </c>
      <c r="AH122" s="31">
        <f t="shared" si="122"/>
        <v>688.93756916496397</v>
      </c>
      <c r="AI122" s="31">
        <f t="shared" si="123"/>
        <v>1.5707963267948966</v>
      </c>
      <c r="AJ122" s="31" t="str">
        <f t="shared" si="105"/>
        <v>0.99793662507225+0.949539916640288i</v>
      </c>
      <c r="AK122" s="31">
        <f t="shared" si="124"/>
        <v>1.377499023939341</v>
      </c>
      <c r="AL122" s="31">
        <f t="shared" si="125"/>
        <v>0.76055229322760465</v>
      </c>
      <c r="AM122" s="31" t="str">
        <f t="shared" si="106"/>
        <v>1+4.7288674747483i</v>
      </c>
      <c r="AN122" s="31">
        <f t="shared" si="126"/>
        <v>4.8334446923216543</v>
      </c>
      <c r="AO122" s="31">
        <f t="shared" si="127"/>
        <v>1.3623993923639106</v>
      </c>
      <c r="AP122" s="31" t="str">
        <f t="shared" si="107"/>
        <v>1+0.18187951825955i</v>
      </c>
      <c r="AQ122" s="31">
        <f t="shared" si="128"/>
        <v>1.0164055092148636</v>
      </c>
      <c r="AR122" s="31">
        <f t="shared" si="129"/>
        <v>0.17991287282670831</v>
      </c>
      <c r="AS122" s="58" t="str">
        <f t="shared" si="130"/>
        <v>-5.51490955838821+5.55518485877577i</v>
      </c>
      <c r="AT122" s="49">
        <f t="shared" si="131"/>
        <v>17.87278402870313</v>
      </c>
      <c r="AU122" s="61">
        <f t="shared" si="132"/>
        <v>134.79154698574624</v>
      </c>
      <c r="AV122" s="58" t="str">
        <f t="shared" si="108"/>
        <v>46.8205455649333+47.0214047879938i</v>
      </c>
      <c r="AW122" s="64">
        <f t="shared" si="133"/>
        <v>36.437660445854789</v>
      </c>
      <c r="AX122" s="61">
        <f t="shared" si="134"/>
        <v>45.122635645784463</v>
      </c>
    </row>
    <row r="123" spans="14:50" x14ac:dyDescent="0.25">
      <c r="N123" s="10">
        <v>5</v>
      </c>
      <c r="O123" s="50">
        <f t="shared" si="135"/>
        <v>112.20184543019634</v>
      </c>
      <c r="P123" s="48" t="str">
        <f t="shared" si="99"/>
        <v>304.285714285714</v>
      </c>
      <c r="Q123" s="17" t="str">
        <f t="shared" si="100"/>
        <v>1+36.7095753760379i</v>
      </c>
      <c r="R123" s="17">
        <f t="shared" si="110"/>
        <v>36.723193274673271</v>
      </c>
      <c r="S123" s="17">
        <f t="shared" si="111"/>
        <v>1.5435622129372966</v>
      </c>
      <c r="T123" s="17" t="str">
        <f t="shared" si="101"/>
        <v>1+0.000761383785577081i</v>
      </c>
      <c r="U123" s="17">
        <f t="shared" si="112"/>
        <v>1.0000002898525924</v>
      </c>
      <c r="V123" s="17">
        <f t="shared" si="113"/>
        <v>7.6138363845106808E-4</v>
      </c>
      <c r="W123" s="31" t="str">
        <f t="shared" si="102"/>
        <v>1-0.00237932432992838i</v>
      </c>
      <c r="X123" s="17">
        <f t="shared" si="114"/>
        <v>1.0000028305881274</v>
      </c>
      <c r="Y123" s="17">
        <f t="shared" si="115"/>
        <v>-2.3793198400124766E-3</v>
      </c>
      <c r="Z123" s="31" t="str">
        <f t="shared" si="103"/>
        <v>0.999999209537466+0.0209890885487645i</v>
      </c>
      <c r="AA123" s="17">
        <f t="shared" si="116"/>
        <v>1.0002194563762818</v>
      </c>
      <c r="AB123" s="17">
        <f t="shared" si="117"/>
        <v>2.0986023756454104E-2</v>
      </c>
      <c r="AC123" s="66" t="str">
        <f t="shared" si="118"/>
        <v>0.0383566841944879-8.28404647554264i</v>
      </c>
      <c r="AD123" s="64">
        <f t="shared" si="119"/>
        <v>18.364943640342567</v>
      </c>
      <c r="AE123" s="61">
        <f t="shared" si="120"/>
        <v>-89.734711723057771</v>
      </c>
      <c r="AF123" s="31" t="str">
        <f t="shared" si="104"/>
        <v>-1512.12121212121</v>
      </c>
      <c r="AG123" s="31" t="str">
        <f t="shared" si="121"/>
        <v>704.984986645445i</v>
      </c>
      <c r="AH123" s="31">
        <f t="shared" si="122"/>
        <v>704.98498664544502</v>
      </c>
      <c r="AI123" s="31">
        <f t="shared" si="123"/>
        <v>1.5707963267948966</v>
      </c>
      <c r="AJ123" s="31" t="str">
        <f t="shared" si="105"/>
        <v>0.99783938120782+0.971657542588857i</v>
      </c>
      <c r="AK123" s="31">
        <f t="shared" si="124"/>
        <v>1.3927676801100108</v>
      </c>
      <c r="AL123" s="31">
        <f t="shared" si="125"/>
        <v>0.77210527821076769</v>
      </c>
      <c r="AM123" s="31" t="str">
        <f t="shared" si="106"/>
        <v>1+4.83901694833432i</v>
      </c>
      <c r="AN123" s="31">
        <f t="shared" si="126"/>
        <v>4.9412635050426923</v>
      </c>
      <c r="AO123" s="31">
        <f t="shared" si="127"/>
        <v>1.3670113912931217</v>
      </c>
      <c r="AP123" s="31" t="str">
        <f t="shared" si="107"/>
        <v>1+0.186116036474397i</v>
      </c>
      <c r="AQ123" s="31">
        <f t="shared" si="128"/>
        <v>1.017172148179913</v>
      </c>
      <c r="AR123" s="31">
        <f t="shared" si="129"/>
        <v>0.18401065456844631</v>
      </c>
      <c r="AS123" s="58" t="str">
        <f t="shared" si="130"/>
        <v>-5.43766409228623+5.50861223459046i</v>
      </c>
      <c r="AT123" s="49">
        <f t="shared" si="131"/>
        <v>17.77521062995816</v>
      </c>
      <c r="AU123" s="61">
        <f t="shared" si="132"/>
        <v>134.62864337836302</v>
      </c>
      <c r="AV123" s="58" t="str">
        <f t="shared" si="108"/>
        <v>45.4250290027466+45.2571541587206i</v>
      </c>
      <c r="AW123" s="64">
        <f t="shared" si="133"/>
        <v>36.140154270300727</v>
      </c>
      <c r="AX123" s="61">
        <f t="shared" si="134"/>
        <v>44.893931655305295</v>
      </c>
    </row>
    <row r="124" spans="14:50" x14ac:dyDescent="0.25">
      <c r="N124" s="10">
        <v>6</v>
      </c>
      <c r="O124" s="50">
        <f t="shared" si="135"/>
        <v>114.81536214968835</v>
      </c>
      <c r="P124" s="48" t="str">
        <f t="shared" si="99"/>
        <v>304.285714285714</v>
      </c>
      <c r="Q124" s="17" t="str">
        <f t="shared" si="100"/>
        <v>1+37.5646512319017i</v>
      </c>
      <c r="R124" s="17">
        <f t="shared" si="110"/>
        <v>37.577959260375145</v>
      </c>
      <c r="S124" s="17">
        <f t="shared" si="111"/>
        <v>1.5441818409477619</v>
      </c>
      <c r="T124" s="17" t="str">
        <f t="shared" si="101"/>
        <v>1+0.000779118692217219i</v>
      </c>
      <c r="U124" s="17">
        <f t="shared" si="112"/>
        <v>1.0000003035129224</v>
      </c>
      <c r="V124" s="17">
        <f t="shared" si="113"/>
        <v>7.7911853456885845E-4</v>
      </c>
      <c r="W124" s="31" t="str">
        <f t="shared" si="102"/>
        <v>1-0.00243474591317881i</v>
      </c>
      <c r="X124" s="17">
        <f t="shared" si="114"/>
        <v>1.0000029639894381</v>
      </c>
      <c r="Y124" s="17">
        <f t="shared" si="115"/>
        <v>-2.4347411021480108E-3</v>
      </c>
      <c r="Z124" s="31" t="str">
        <f t="shared" si="103"/>
        <v>0.999999172284115+0.021477987226311i</v>
      </c>
      <c r="AA124" s="17">
        <f t="shared" si="116"/>
        <v>1.0002297978485788</v>
      </c>
      <c r="AB124" s="17">
        <f t="shared" si="117"/>
        <v>2.1474703282930937E-2</v>
      </c>
      <c r="AC124" s="66" t="str">
        <f t="shared" si="118"/>
        <v>0.0282063710172226-8.09556877657447i</v>
      </c>
      <c r="AD124" s="64">
        <f t="shared" si="119"/>
        <v>18.165000055150099</v>
      </c>
      <c r="AE124" s="61">
        <f t="shared" si="120"/>
        <v>-89.800372337045104</v>
      </c>
      <c r="AF124" s="31" t="str">
        <f t="shared" si="104"/>
        <v>-1512.12121212121</v>
      </c>
      <c r="AG124" s="31" t="str">
        <f t="shared" si="121"/>
        <v>721.406196497425i</v>
      </c>
      <c r="AH124" s="31">
        <f t="shared" si="122"/>
        <v>721.40619649742496</v>
      </c>
      <c r="AI124" s="31">
        <f t="shared" si="123"/>
        <v>1.5707963267948966</v>
      </c>
      <c r="AJ124" s="31" t="str">
        <f t="shared" si="105"/>
        <v>0.997737554381254+0.994290354227917i</v>
      </c>
      <c r="AK124" s="31">
        <f t="shared" si="124"/>
        <v>1.408578551566565</v>
      </c>
      <c r="AL124" s="31">
        <f t="shared" si="125"/>
        <v>0.7836676672043863</v>
      </c>
      <c r="AM124" s="31" t="str">
        <f t="shared" si="106"/>
        <v>1+4.95173213275831i</v>
      </c>
      <c r="AN124" s="31">
        <f t="shared" si="126"/>
        <v>5.0516978447439982</v>
      </c>
      <c r="AO124" s="31">
        <f t="shared" si="127"/>
        <v>1.3715269191010899</v>
      </c>
      <c r="AP124" s="31" t="str">
        <f t="shared" si="107"/>
        <v>1+0.19045123587532i</v>
      </c>
      <c r="AQ124" s="31">
        <f t="shared" si="128"/>
        <v>1.01797429891252</v>
      </c>
      <c r="AR124" s="31">
        <f t="shared" si="129"/>
        <v>0.18819742427750583</v>
      </c>
      <c r="AS124" s="58" t="str">
        <f t="shared" si="130"/>
        <v>-5.36030813456828+5.46140194159131i</v>
      </c>
      <c r="AT124" s="49">
        <f t="shared" si="131"/>
        <v>17.675996920787647</v>
      </c>
      <c r="AU124" s="61">
        <f t="shared" si="132"/>
        <v>134.46477220773303</v>
      </c>
      <c r="AV124" s="58" t="str">
        <f t="shared" si="108"/>
        <v>44.0619601946595+43.5487894964678i</v>
      </c>
      <c r="AW124" s="64">
        <f t="shared" si="133"/>
        <v>35.840996975937742</v>
      </c>
      <c r="AX124" s="61">
        <f t="shared" si="134"/>
        <v>44.664399870687951</v>
      </c>
    </row>
    <row r="125" spans="14:50" x14ac:dyDescent="0.25">
      <c r="N125" s="10">
        <v>7</v>
      </c>
      <c r="O125" s="50">
        <f t="shared" si="135"/>
        <v>117.48975549395293</v>
      </c>
      <c r="P125" s="48" t="str">
        <f t="shared" si="99"/>
        <v>304.285714285714</v>
      </c>
      <c r="Q125" s="17" t="str">
        <f t="shared" si="100"/>
        <v>1+38.4396443630756i</v>
      </c>
      <c r="R125" s="17">
        <f t="shared" si="110"/>
        <v>38.452649567484031</v>
      </c>
      <c r="S125" s="17">
        <f t="shared" si="111"/>
        <v>1.5447873842557012</v>
      </c>
      <c r="T125" s="17" t="str">
        <f t="shared" si="101"/>
        <v>1+0.000797266697900825i</v>
      </c>
      <c r="U125" s="17">
        <f t="shared" si="112"/>
        <v>1.0000003178170433</v>
      </c>
      <c r="V125" s="17">
        <f t="shared" si="113"/>
        <v>7.972665289775661E-4</v>
      </c>
      <c r="W125" s="31" t="str">
        <f t="shared" si="102"/>
        <v>1-0.00249145843094008i</v>
      </c>
      <c r="X125" s="17">
        <f t="shared" si="114"/>
        <v>1.0000031036777401</v>
      </c>
      <c r="Y125" s="17">
        <f t="shared" si="115"/>
        <v>-2.4914532758285647E-3</v>
      </c>
      <c r="Z125" s="31" t="str">
        <f t="shared" si="103"/>
        <v>0.999999133275067+0.0219782738169796i</v>
      </c>
      <c r="AA125" s="17">
        <f t="shared" si="116"/>
        <v>1.0002406265848529</v>
      </c>
      <c r="AB125" s="17">
        <f t="shared" si="117"/>
        <v>2.1974755053968148E-2</v>
      </c>
      <c r="AC125" s="66" t="str">
        <f t="shared" si="118"/>
        <v>0.0185126200208988-7.91135914105591i</v>
      </c>
      <c r="AD125" s="64">
        <f t="shared" si="119"/>
        <v>17.965045780825633</v>
      </c>
      <c r="AE125" s="61">
        <f t="shared" si="120"/>
        <v>-89.865927833633549</v>
      </c>
      <c r="AF125" s="31" t="str">
        <f t="shared" si="104"/>
        <v>-1512.12121212121</v>
      </c>
      <c r="AG125" s="31" t="str">
        <f t="shared" si="121"/>
        <v>738.209905463727i</v>
      </c>
      <c r="AH125" s="31">
        <f t="shared" si="122"/>
        <v>738.20990546372695</v>
      </c>
      <c r="AI125" s="31">
        <f t="shared" si="123"/>
        <v>1.5707963267948966</v>
      </c>
      <c r="AJ125" s="31" t="str">
        <f t="shared" si="105"/>
        <v>0.997630928604198+1.01745035177377i</v>
      </c>
      <c r="AK125" s="31">
        <f t="shared" si="124"/>
        <v>1.4249465562021064</v>
      </c>
      <c r="AL125" s="31">
        <f t="shared" si="125"/>
        <v>0.79523339153581496</v>
      </c>
      <c r="AM125" s="31" t="str">
        <f t="shared" si="106"/>
        <v>1+5.06707279110301i</v>
      </c>
      <c r="AN125" s="31">
        <f t="shared" si="126"/>
        <v>5.1648065472325726</v>
      </c>
      <c r="AO125" s="31">
        <f t="shared" si="127"/>
        <v>1.3759476330598372</v>
      </c>
      <c r="AP125" s="31" t="str">
        <f t="shared" si="107"/>
        <v>1+0.194887415042424i</v>
      </c>
      <c r="AQ125" s="31">
        <f t="shared" si="128"/>
        <v>1.0188135769324622</v>
      </c>
      <c r="AR125" s="31">
        <f t="shared" si="129"/>
        <v>0.1924748144283546</v>
      </c>
      <c r="AS125" s="58" t="str">
        <f t="shared" si="130"/>
        <v>-5.28292357682964+5.41352414562543i</v>
      </c>
      <c r="AT125" s="49">
        <f t="shared" si="131"/>
        <v>17.575138887786814</v>
      </c>
      <c r="AU125" s="61">
        <f t="shared" si="132"/>
        <v>134.30046967177563</v>
      </c>
      <c r="AV125" s="58" t="str">
        <f t="shared" si="108"/>
        <v>42.7305329780433+41.8953242465329i</v>
      </c>
      <c r="AW125" s="64">
        <f t="shared" si="133"/>
        <v>35.540184668612447</v>
      </c>
      <c r="AX125" s="61">
        <f t="shared" si="134"/>
        <v>44.434541838142138</v>
      </c>
    </row>
    <row r="126" spans="14:50" x14ac:dyDescent="0.25">
      <c r="N126" s="10">
        <v>8</v>
      </c>
      <c r="O126" s="50">
        <f t="shared" si="135"/>
        <v>120.22644346174135</v>
      </c>
      <c r="P126" s="48" t="str">
        <f t="shared" si="99"/>
        <v>304.285714285714</v>
      </c>
      <c r="Q126" s="17" t="str">
        <f t="shared" si="100"/>
        <v>1+39.3350187024997i</v>
      </c>
      <c r="R126" s="17">
        <f t="shared" si="110"/>
        <v>39.347727969045451</v>
      </c>
      <c r="S126" s="17">
        <f t="shared" si="111"/>
        <v>1.5453791621508361</v>
      </c>
      <c r="T126" s="17" t="str">
        <f t="shared" si="101"/>
        <v>1+0.000815837424940733i</v>
      </c>
      <c r="U126" s="17">
        <f t="shared" si="112"/>
        <v>1.0000003327952967</v>
      </c>
      <c r="V126" s="17">
        <f t="shared" si="113"/>
        <v>8.158372439362033E-4</v>
      </c>
      <c r="W126" s="31" t="str">
        <f t="shared" si="102"/>
        <v>1-0.00254949195293979i</v>
      </c>
      <c r="X126" s="17">
        <f t="shared" si="114"/>
        <v>1.0000032499493281</v>
      </c>
      <c r="Y126" s="17">
        <f t="shared" si="115"/>
        <v>-2.5494864291392503E-3</v>
      </c>
      <c r="Z126" s="31" t="str">
        <f t="shared" si="103"/>
        <v>0.999999092427579+0.0224902135793428i</v>
      </c>
      <c r="AA126" s="17">
        <f t="shared" si="116"/>
        <v>1.0002519655380968</v>
      </c>
      <c r="AB126" s="17">
        <f t="shared" si="117"/>
        <v>2.2486443208139834E-2</v>
      </c>
      <c r="AC126" s="66" t="str">
        <f t="shared" si="118"/>
        <v>0.00925495487414967-7.73132152037896i</v>
      </c>
      <c r="AD126" s="64">
        <f t="shared" si="119"/>
        <v>17.765080914030943</v>
      </c>
      <c r="AE126" s="61">
        <f t="shared" si="120"/>
        <v>-89.931412812261655</v>
      </c>
      <c r="AF126" s="31" t="str">
        <f t="shared" si="104"/>
        <v>-1512.12121212121</v>
      </c>
      <c r="AG126" s="31" t="str">
        <f t="shared" si="121"/>
        <v>755.405023093271i</v>
      </c>
      <c r="AH126" s="31">
        <f t="shared" si="122"/>
        <v>755.40502309327098</v>
      </c>
      <c r="AI126" s="31">
        <f t="shared" si="123"/>
        <v>1.5707963267948966</v>
      </c>
      <c r="AJ126" s="31" t="str">
        <f t="shared" si="105"/>
        <v>0.997519277709085+1.04114981496369i</v>
      </c>
      <c r="AK126" s="31">
        <f t="shared" si="124"/>
        <v>1.4418868355735066</v>
      </c>
      <c r="AL126" s="31">
        <f t="shared" si="125"/>
        <v>0.80679637754252109</v>
      </c>
      <c r="AM126" s="31" t="str">
        <f t="shared" si="106"/>
        <v>1+5.1851000785122i</v>
      </c>
      <c r="AN126" s="31">
        <f t="shared" si="126"/>
        <v>5.2806498486632512</v>
      </c>
      <c r="AO126" s="31">
        <f t="shared" si="127"/>
        <v>1.380275185619033</v>
      </c>
      <c r="AP126" s="31" t="str">
        <f t="shared" si="107"/>
        <v>1+0.199426926096623i</v>
      </c>
      <c r="AQ126" s="31">
        <f t="shared" si="128"/>
        <v>1.0196916685215918</v>
      </c>
      <c r="AR126" s="31">
        <f t="shared" si="129"/>
        <v>0.1968444665721911</v>
      </c>
      <c r="AS126" s="58" t="str">
        <f t="shared" si="130"/>
        <v>-5.20559243168376+5.36495431994453i</v>
      </c>
      <c r="AT126" s="49">
        <f t="shared" si="131"/>
        <v>17.472636052087939</v>
      </c>
      <c r="AU126" s="61">
        <f t="shared" si="132"/>
        <v>134.1362724980676</v>
      </c>
      <c r="AV126" s="58" t="str">
        <f t="shared" si="108"/>
        <v>41.4300092665888+40.2957612035315i</v>
      </c>
      <c r="AW126" s="64">
        <f t="shared" si="133"/>
        <v>35.237716966118889</v>
      </c>
      <c r="AX126" s="61">
        <f t="shared" si="134"/>
        <v>44.204859685805957</v>
      </c>
    </row>
    <row r="127" spans="14:50" x14ac:dyDescent="0.25">
      <c r="N127" s="10">
        <v>9</v>
      </c>
      <c r="O127" s="50">
        <f t="shared" si="135"/>
        <v>123.02687708123821</v>
      </c>
      <c r="P127" s="48" t="str">
        <f t="shared" si="99"/>
        <v>304.285714285714</v>
      </c>
      <c r="Q127" s="17" t="str">
        <f t="shared" si="100"/>
        <v>1+40.2512489895003i</v>
      </c>
      <c r="R127" s="17">
        <f t="shared" si="110"/>
        <v>40.263669048097803</v>
      </c>
      <c r="S127" s="17">
        <f t="shared" si="111"/>
        <v>1.5459574867427603</v>
      </c>
      <c r="T127" s="17" t="str">
        <f t="shared" si="101"/>
        <v>1+0.000834840719782227i</v>
      </c>
      <c r="U127" s="17">
        <f t="shared" si="112"/>
        <v>1.0000003484794531</v>
      </c>
      <c r="V127" s="17">
        <f t="shared" si="113"/>
        <v>8.3484052583238273E-4</v>
      </c>
      <c r="W127" s="31" t="str">
        <f t="shared" si="102"/>
        <v>1-0.00260887724931946i</v>
      </c>
      <c r="X127" s="17">
        <f t="shared" si="114"/>
        <v>1.0000034031144605</v>
      </c>
      <c r="Y127" s="17">
        <f t="shared" si="115"/>
        <v>-2.6088713304616312E-3</v>
      </c>
      <c r="Z127" s="31" t="str">
        <f t="shared" si="103"/>
        <v>0.999999049655009+0.0230140779506389i</v>
      </c>
      <c r="AA127" s="17">
        <f t="shared" si="116"/>
        <v>1.0002638387419787</v>
      </c>
      <c r="AB127" s="17">
        <f t="shared" si="117"/>
        <v>2.3010037982658302E-2</v>
      </c>
      <c r="AC127" s="66" t="str">
        <f t="shared" si="118"/>
        <v>0.000413816731904649-7.55536197005946i</v>
      </c>
      <c r="AD127" s="64">
        <f t="shared" si="119"/>
        <v>17.565105529040668</v>
      </c>
      <c r="AE127" s="61">
        <f t="shared" si="120"/>
        <v>-89.996861837685572</v>
      </c>
      <c r="AF127" s="31" t="str">
        <f t="shared" si="104"/>
        <v>-1512.12121212121</v>
      </c>
      <c r="AG127" s="31" t="str">
        <f t="shared" si="121"/>
        <v>773.000666465025i</v>
      </c>
      <c r="AH127" s="31">
        <f t="shared" si="122"/>
        <v>773.00066646502501</v>
      </c>
      <c r="AI127" s="31">
        <f t="shared" si="123"/>
        <v>1.5707963267948966</v>
      </c>
      <c r="AJ127" s="31" t="str">
        <f t="shared" si="105"/>
        <v>0.997402364869396+1.06540130956675i</v>
      </c>
      <c r="AK127" s="31">
        <f t="shared" si="124"/>
        <v>1.459414755261029</v>
      </c>
      <c r="AL127" s="31">
        <f t="shared" si="125"/>
        <v>0.81835056274549778</v>
      </c>
      <c r="AM127" s="31" t="str">
        <f t="shared" si="106"/>
        <v>1+5.30587657461592i</v>
      </c>
      <c r="AN127" s="31">
        <f t="shared" si="126"/>
        <v>5.399289418530735</v>
      </c>
      <c r="AO127" s="31">
        <f t="shared" si="127"/>
        <v>1.3845112226313678</v>
      </c>
      <c r="AP127" s="31" t="str">
        <f t="shared" si="107"/>
        <v>1+0.204072175946766i</v>
      </c>
      <c r="AQ127" s="31">
        <f t="shared" si="128"/>
        <v>1.0206103335728323</v>
      </c>
      <c r="AR127" s="31">
        <f t="shared" si="129"/>
        <v>0.20130802976853018</v>
      </c>
      <c r="AS127" s="58" t="str">
        <f t="shared" si="130"/>
        <v>-5.12839648538513+5.31567322720107i</v>
      </c>
      <c r="AT127" s="49">
        <f t="shared" si="131"/>
        <v>17.3684914676024</v>
      </c>
      <c r="AU127" s="61">
        <f t="shared" si="132"/>
        <v>133.97271682563277</v>
      </c>
      <c r="AV127" s="58" t="str">
        <f t="shared" si="108"/>
        <v>40.1597131297847+38.7490914875882i</v>
      </c>
      <c r="AW127" s="64">
        <f t="shared" si="133"/>
        <v>34.933596996643075</v>
      </c>
      <c r="AX127" s="61">
        <f t="shared" si="134"/>
        <v>43.975854987947244</v>
      </c>
    </row>
    <row r="128" spans="14:50" x14ac:dyDescent="0.25">
      <c r="N128" s="10">
        <v>10</v>
      </c>
      <c r="O128" s="50">
        <f t="shared" si="135"/>
        <v>125.89254117941677</v>
      </c>
      <c r="P128" s="48" t="str">
        <f t="shared" si="99"/>
        <v>304.285714285714</v>
      </c>
      <c r="Q128" s="17" t="str">
        <f t="shared" si="100"/>
        <v>1+41.1888210215034i</v>
      </c>
      <c r="R128" s="17">
        <f t="shared" si="110"/>
        <v>41.200958449306007</v>
      </c>
      <c r="S128" s="17">
        <f t="shared" si="111"/>
        <v>1.5465226631185323</v>
      </c>
      <c r="T128" s="17" t="str">
        <f t="shared" si="101"/>
        <v>1+0.000854286658223773i</v>
      </c>
      <c r="U128" s="17">
        <f t="shared" si="112"/>
        <v>1.0000003649027807</v>
      </c>
      <c r="V128" s="17">
        <f t="shared" si="113"/>
        <v>8.5428645040277475E-4</v>
      </c>
      <c r="W128" s="31" t="str">
        <f t="shared" si="102"/>
        <v>1-0.00266964580694929i</v>
      </c>
      <c r="X128" s="17">
        <f t="shared" si="114"/>
        <v>1.000003563498018</v>
      </c>
      <c r="Y128" s="17">
        <f t="shared" si="115"/>
        <v>-2.6696394647800822E-3</v>
      </c>
      <c r="Z128" s="31" t="str">
        <f t="shared" si="103"/>
        <v>0.999999004866629+0.0235501446906918i</v>
      </c>
      <c r="AA128" s="17">
        <f t="shared" si="116"/>
        <v>1.0002762713616675</v>
      </c>
      <c r="AB128" s="17">
        <f t="shared" si="117"/>
        <v>2.3545815851579447E-2</v>
      </c>
      <c r="AC128" s="66" t="str">
        <f t="shared" si="118"/>
        <v>-0.00802947659241107-7.38338860711016i</v>
      </c>
      <c r="AD128" s="64">
        <f t="shared" si="119"/>
        <v>17.365119677897464</v>
      </c>
      <c r="AE128" s="61">
        <f t="shared" si="120"/>
        <v>-90.062309457562222</v>
      </c>
      <c r="AF128" s="31" t="str">
        <f t="shared" si="104"/>
        <v>-1512.12121212121</v>
      </c>
      <c r="AG128" s="31" t="str">
        <f t="shared" si="121"/>
        <v>791.006165022012i</v>
      </c>
      <c r="AH128" s="31">
        <f t="shared" si="122"/>
        <v>791.00616502201206</v>
      </c>
      <c r="AI128" s="31">
        <f t="shared" si="123"/>
        <v>1.5707963267948966</v>
      </c>
      <c r="AJ128" s="31" t="str">
        <f t="shared" si="105"/>
        <v>0.997279942097325+1.09021769404639i</v>
      </c>
      <c r="AK128" s="31">
        <f t="shared" si="124"/>
        <v>1.4775459056562243</v>
      </c>
      <c r="AL128" s="31">
        <f t="shared" si="125"/>
        <v>0.82988991195512263</v>
      </c>
      <c r="AM128" s="31" t="str">
        <f t="shared" si="106"/>
        <v>1+5.42946631671108i</v>
      </c>
      <c r="AN128" s="31">
        <f t="shared" si="126"/>
        <v>5.5207883933637758</v>
      </c>
      <c r="AO128" s="31">
        <f t="shared" si="127"/>
        <v>1.3886573817130812</v>
      </c>
      <c r="AP128" s="31" t="str">
        <f t="shared" si="107"/>
        <v>1+0.208825627565811i</v>
      </c>
      <c r="AQ128" s="31">
        <f t="shared" si="128"/>
        <v>1.0215714085311192</v>
      </c>
      <c r="AR128" s="31">
        <f t="shared" si="129"/>
        <v>0.20586715888515841</v>
      </c>
      <c r="AS128" s="58" t="str">
        <f t="shared" si="130"/>
        <v>-5.05141695248565+5.26566687136465i</v>
      </c>
      <c r="AT128" s="49">
        <f t="shared" si="131"/>
        <v>17.262711709190494</v>
      </c>
      <c r="AU128" s="61">
        <f t="shared" si="132"/>
        <v>133.81033709080359</v>
      </c>
      <c r="AV128" s="58" t="str">
        <f t="shared" si="108"/>
        <v>38.9190250210497+37.2542938278586i</v>
      </c>
      <c r="AW128" s="64">
        <f t="shared" si="133"/>
        <v>34.627831387087966</v>
      </c>
      <c r="AX128" s="61">
        <f t="shared" si="134"/>
        <v>43.748027633241335</v>
      </c>
    </row>
    <row r="129" spans="14:50" x14ac:dyDescent="0.25">
      <c r="N129" s="10">
        <v>11</v>
      </c>
      <c r="O129" s="50">
        <f t="shared" si="135"/>
        <v>128.82495516931343</v>
      </c>
      <c r="P129" s="48" t="str">
        <f t="shared" si="99"/>
        <v>304.285714285714</v>
      </c>
      <c r="Q129" s="17" t="str">
        <f t="shared" si="100"/>
        <v>1+42.1482319116107i</v>
      </c>
      <c r="R129" s="17">
        <f t="shared" si="110"/>
        <v>42.160093136459245</v>
      </c>
      <c r="S129" s="17">
        <f t="shared" si="111"/>
        <v>1.5470749894970719</v>
      </c>
      <c r="T129" s="17" t="str">
        <f t="shared" si="101"/>
        <v>1+0.000874185550759331i</v>
      </c>
      <c r="U129" s="17">
        <f t="shared" si="112"/>
        <v>1.0000003821001155</v>
      </c>
      <c r="V129" s="17">
        <f t="shared" si="113"/>
        <v>8.741853280751239E-4</v>
      </c>
      <c r="W129" s="31" t="str">
        <f t="shared" si="102"/>
        <v>1-0.00273182984612291i</v>
      </c>
      <c r="X129" s="17">
        <f t="shared" si="114"/>
        <v>1.0000037314401922</v>
      </c>
      <c r="Y129" s="17">
        <f t="shared" si="115"/>
        <v>-2.7318230503675361E-3</v>
      </c>
      <c r="Z129" s="31" t="str">
        <f t="shared" si="103"/>
        <v>0.999998957967438+0.0240986980291828i</v>
      </c>
      <c r="AA129" s="17">
        <f t="shared" si="116"/>
        <v>1.0002892897470528</v>
      </c>
      <c r="AB129" s="17">
        <f t="shared" si="117"/>
        <v>2.4094059666952296E-2</v>
      </c>
      <c r="AC129" s="66" t="str">
        <f t="shared" si="118"/>
        <v>-0.0160927696530327-7.21531156803098i</v>
      </c>
      <c r="AD129" s="64">
        <f t="shared" si="119"/>
        <v>17.165123390521121</v>
      </c>
      <c r="AE129" s="61">
        <f t="shared" si="120"/>
        <v>-90.127790220032765</v>
      </c>
      <c r="AF129" s="31" t="str">
        <f t="shared" si="104"/>
        <v>-1512.12121212121</v>
      </c>
      <c r="AG129" s="31" t="str">
        <f t="shared" si="121"/>
        <v>809.431065517899i</v>
      </c>
      <c r="AH129" s="31">
        <f t="shared" si="122"/>
        <v>809.43106551789901</v>
      </c>
      <c r="AI129" s="31">
        <f t="shared" si="123"/>
        <v>1.5707963267948966</v>
      </c>
      <c r="AJ129" s="31" t="str">
        <f t="shared" si="105"/>
        <v>0.997151749717758+1.11561212637816i</v>
      </c>
      <c r="AK129" s="31">
        <f t="shared" si="124"/>
        <v>1.4962961032119229</v>
      </c>
      <c r="AL129" s="31">
        <f t="shared" si="125"/>
        <v>0.84140843320595937</v>
      </c>
      <c r="AM129" s="31" t="str">
        <f t="shared" si="106"/>
        <v>1+5.55593483371485i</v>
      </c>
      <c r="AN129" s="31">
        <f t="shared" si="126"/>
        <v>5.6452114111418412</v>
      </c>
      <c r="AO129" s="31">
        <f t="shared" si="127"/>
        <v>1.3927152907332057</v>
      </c>
      <c r="AP129" s="31" t="str">
        <f t="shared" si="107"/>
        <v>1+0.213689801296725i</v>
      </c>
      <c r="AQ129" s="31">
        <f t="shared" si="128"/>
        <v>1.0225768094271617</v>
      </c>
      <c r="AR129" s="31">
        <f t="shared" si="129"/>
        <v>0.21052351275999542</v>
      </c>
      <c r="AS129" s="58" t="str">
        <f t="shared" si="130"/>
        <v>-4.97473413561628+5.21492641997104i</v>
      </c>
      <c r="AT129" s="49">
        <f t="shared" si="131"/>
        <v>17.155306850863749</v>
      </c>
      <c r="AU129" s="61">
        <f t="shared" si="132"/>
        <v>133.64966492234765</v>
      </c>
      <c r="AV129" s="58" t="str">
        <f t="shared" si="108"/>
        <v>37.707376174977+35.8103341469566i</v>
      </c>
      <c r="AW129" s="64">
        <f t="shared" si="133"/>
        <v>34.320430241384862</v>
      </c>
      <c r="AX129" s="61">
        <f t="shared" si="134"/>
        <v>43.521874702314861</v>
      </c>
    </row>
    <row r="130" spans="14:50" x14ac:dyDescent="0.25">
      <c r="N130" s="10">
        <v>12</v>
      </c>
      <c r="O130" s="50">
        <f t="shared" si="135"/>
        <v>131.82567385564084</v>
      </c>
      <c r="P130" s="48" t="str">
        <f t="shared" si="99"/>
        <v>304.285714285714</v>
      </c>
      <c r="Q130" s="17" t="str">
        <f t="shared" si="100"/>
        <v>1+43.1299903521753i</v>
      </c>
      <c r="R130" s="17">
        <f t="shared" si="110"/>
        <v>43.141581655970079</v>
      </c>
      <c r="S130" s="17">
        <f t="shared" si="111"/>
        <v>1.547614757380402</v>
      </c>
      <c r="T130" s="17" t="str">
        <f t="shared" si="101"/>
        <v>1+0.000894547948045116i</v>
      </c>
      <c r="U130" s="17">
        <f t="shared" si="112"/>
        <v>1.0000004001079357</v>
      </c>
      <c r="V130" s="17">
        <f t="shared" si="113"/>
        <v>8.9454770943469435E-4</v>
      </c>
      <c r="W130" s="31" t="str">
        <f t="shared" si="102"/>
        <v>1-0.00279546233764099i</v>
      </c>
      <c r="X130" s="17">
        <f t="shared" si="114"/>
        <v>1.0000039072972071</v>
      </c>
      <c r="Y130" s="17">
        <f t="shared" si="115"/>
        <v>-2.7954550558594504E-3</v>
      </c>
      <c r="Z130" s="31" t="str">
        <f t="shared" si="103"/>
        <v>0.999998908857957+0.0246600288163528i</v>
      </c>
      <c r="AA130" s="17">
        <f t="shared" si="116"/>
        <v>1.0003029214884498</v>
      </c>
      <c r="AB130" s="17">
        <f t="shared" si="117"/>
        <v>2.4655058802962624E-2</v>
      </c>
      <c r="AC130" s="66" t="str">
        <f t="shared" si="118"/>
        <v>-0.0237931066740953-7.05104296742505i</v>
      </c>
      <c r="AD130" s="64">
        <f t="shared" si="119"/>
        <v>16.965116674771281</v>
      </c>
      <c r="AE130" s="61">
        <f t="shared" si="120"/>
        <v>-90.193338691312078</v>
      </c>
      <c r="AF130" s="31" t="str">
        <f t="shared" si="104"/>
        <v>-1512.12121212121</v>
      </c>
      <c r="AG130" s="31" t="str">
        <f t="shared" si="121"/>
        <v>828.285137078811i</v>
      </c>
      <c r="AH130" s="31">
        <f t="shared" si="122"/>
        <v>828.28513707881098</v>
      </c>
      <c r="AI130" s="31">
        <f t="shared" si="123"/>
        <v>1.5707963267948966</v>
      </c>
      <c r="AJ130" s="31" t="str">
        <f t="shared" si="105"/>
        <v>0.99701751581747+1.1415980710262i</v>
      </c>
      <c r="AK130" s="31">
        <f t="shared" si="124"/>
        <v>1.5156813921855674</v>
      </c>
      <c r="AL130" s="31">
        <f t="shared" si="125"/>
        <v>0.85290019341905732</v>
      </c>
      <c r="AM130" s="31" t="str">
        <f t="shared" si="106"/>
        <v>1+5.68534918090895i</v>
      </c>
      <c r="AN130" s="31">
        <f t="shared" si="126"/>
        <v>5.7726246464552045</v>
      </c>
      <c r="AO130" s="31">
        <f t="shared" si="127"/>
        <v>1.3966865664252106</v>
      </c>
      <c r="AP130" s="31" t="str">
        <f t="shared" si="107"/>
        <v>1+0.218667276188806i</v>
      </c>
      <c r="AQ130" s="31">
        <f t="shared" si="128"/>
        <v>1.0236285350046821</v>
      </c>
      <c r="AR130" s="31">
        <f t="shared" si="129"/>
        <v>0.21527875221834009</v>
      </c>
      <c r="AS130" s="58" t="str">
        <f t="shared" si="130"/>
        <v>-4.89842709340663+5.16344809747267i</v>
      </c>
      <c r="AT130" s="49">
        <f t="shared" si="131"/>
        <v>17.046290434205439</v>
      </c>
      <c r="AU130" s="61">
        <f t="shared" si="132"/>
        <v>133.49122805093279</v>
      </c>
      <c r="AV130" s="58" t="str">
        <f t="shared" si="108"/>
        <v>36.5242431937176+34.4161654370198i</v>
      </c>
      <c r="AW130" s="64">
        <f t="shared" si="133"/>
        <v>34.011407108976719</v>
      </c>
      <c r="AX130" s="61">
        <f t="shared" si="134"/>
        <v>43.297889359620697</v>
      </c>
    </row>
    <row r="131" spans="14:50" x14ac:dyDescent="0.25">
      <c r="N131" s="10">
        <v>13</v>
      </c>
      <c r="O131" s="50">
        <f t="shared" si="135"/>
        <v>134.89628825916537</v>
      </c>
      <c r="P131" s="48" t="str">
        <f t="shared" si="99"/>
        <v>304.285714285714</v>
      </c>
      <c r="Q131" s="17" t="str">
        <f t="shared" si="100"/>
        <v>1+44.1346168845175i</v>
      </c>
      <c r="R131" s="17">
        <f t="shared" si="110"/>
        <v>44.145944406515277</v>
      </c>
      <c r="S131" s="17">
        <f t="shared" si="111"/>
        <v>1.54814225170179</v>
      </c>
      <c r="T131" s="17" t="str">
        <f t="shared" si="101"/>
        <v>1+0.000915384646493694i</v>
      </c>
      <c r="U131" s="17">
        <f t="shared" si="112"/>
        <v>1.0000004189644378</v>
      </c>
      <c r="V131" s="17">
        <f t="shared" si="113"/>
        <v>9.1538439081802648E-4</v>
      </c>
      <c r="W131" s="31" t="str">
        <f t="shared" si="102"/>
        <v>1-0.0028605770202928i</v>
      </c>
      <c r="X131" s="17">
        <f t="shared" si="114"/>
        <v>1.0000040914420747</v>
      </c>
      <c r="Y131" s="17">
        <f t="shared" si="115"/>
        <v>-2.8605692177250275E-3</v>
      </c>
      <c r="Z131" s="31" t="str">
        <f t="shared" si="103"/>
        <v>0.999998857434016+0.0252344346772152i</v>
      </c>
      <c r="AA131" s="17">
        <f t="shared" si="116"/>
        <v>1.0003171954749233</v>
      </c>
      <c r="AB131" s="17">
        <f t="shared" si="117"/>
        <v>2.5229109303119446E-2</v>
      </c>
      <c r="AC131" s="66" t="str">
        <f t="shared" si="118"/>
        <v>-0.0311467672024546-6.89049685724819i</v>
      </c>
      <c r="AD131" s="64">
        <f t="shared" si="119"/>
        <v>16.765099516463962</v>
      </c>
      <c r="AE131" s="61">
        <f t="shared" si="120"/>
        <v>-90.2589894732902</v>
      </c>
      <c r="AF131" s="31" t="str">
        <f t="shared" si="104"/>
        <v>-1512.12121212121</v>
      </c>
      <c r="AG131" s="31" t="str">
        <f t="shared" si="121"/>
        <v>847.57837638305i</v>
      </c>
      <c r="AH131" s="31">
        <f t="shared" si="122"/>
        <v>847.57837638305</v>
      </c>
      <c r="AI131" s="31">
        <f t="shared" si="123"/>
        <v>1.5707963267948966</v>
      </c>
      <c r="AJ131" s="31" t="str">
        <f t="shared" si="105"/>
        <v>0.996876955668363+1.16818930608234i</v>
      </c>
      <c r="AK131" s="31">
        <f t="shared" si="124"/>
        <v>1.5357180469043668</v>
      </c>
      <c r="AL131" s="31">
        <f t="shared" si="125"/>
        <v>0.86435933369366835</v>
      </c>
      <c r="AM131" s="31" t="str">
        <f t="shared" si="106"/>
        <v>1+5.81777797549324i</v>
      </c>
      <c r="AN131" s="31">
        <f t="shared" si="126"/>
        <v>5.9030958464295864</v>
      </c>
      <c r="AO131" s="31">
        <f t="shared" si="127"/>
        <v>1.4005728131148392</v>
      </c>
      <c r="AP131" s="31" t="str">
        <f t="shared" si="107"/>
        <v>1+0.223760691365125i</v>
      </c>
      <c r="AQ131" s="31">
        <f t="shared" si="128"/>
        <v>1.0247286699415601</v>
      </c>
      <c r="AR131" s="31">
        <f t="shared" si="129"/>
        <v>0.22013453793893828</v>
      </c>
      <c r="AS131" s="58" t="str">
        <f t="shared" si="130"/>
        <v>-4.82257331942996+5.11123305079998i</v>
      </c>
      <c r="AT131" s="49">
        <f t="shared" si="131"/>
        <v>16.935679427271634</v>
      </c>
      <c r="AU131" s="61">
        <f t="shared" si="132"/>
        <v>133.33554923782177</v>
      </c>
      <c r="AV131" s="58" t="str">
        <f t="shared" si="108"/>
        <v>35.3691428416974+33.0707279154304i</v>
      </c>
      <c r="AW131" s="64">
        <f t="shared" si="133"/>
        <v>33.7007789437356</v>
      </c>
      <c r="AX131" s="61">
        <f t="shared" si="134"/>
        <v>43.076559764531595</v>
      </c>
    </row>
    <row r="132" spans="14:50" x14ac:dyDescent="0.25">
      <c r="N132" s="10">
        <v>14</v>
      </c>
      <c r="O132" s="50">
        <f t="shared" si="135"/>
        <v>138.0384264602886</v>
      </c>
      <c r="P132" s="48" t="str">
        <f t="shared" si="99"/>
        <v>304.285714285714</v>
      </c>
      <c r="Q132" s="17" t="str">
        <f t="shared" si="100"/>
        <v>1+45.1626441749226i</v>
      </c>
      <c r="R132" s="17">
        <f t="shared" si="110"/>
        <v>45.173713914960217</v>
      </c>
      <c r="S132" s="17">
        <f t="shared" si="111"/>
        <v>1.548657750970831</v>
      </c>
      <c r="T132" s="17" t="str">
        <f t="shared" si="101"/>
        <v>1+0.000936706693998393i</v>
      </c>
      <c r="U132" s="17">
        <f t="shared" si="112"/>
        <v>1.0000004387096191</v>
      </c>
      <c r="V132" s="17">
        <f t="shared" si="113"/>
        <v>9.3670642003698581E-4</v>
      </c>
      <c r="W132" s="31" t="str">
        <f t="shared" si="102"/>
        <v>1-0.00292720841874498i</v>
      </c>
      <c r="X132" s="17">
        <f t="shared" si="114"/>
        <v>1.0000042842653858</v>
      </c>
      <c r="Y132" s="17">
        <f t="shared" si="115"/>
        <v>-2.927200058144916E-3</v>
      </c>
      <c r="Z132" s="31" t="str">
        <f t="shared" si="103"/>
        <v>0.99999880358654+0.0258222201693608i</v>
      </c>
      <c r="AA132" s="17">
        <f t="shared" si="116"/>
        <v>1.0003321419553539</v>
      </c>
      <c r="AB132" s="17">
        <f t="shared" si="117"/>
        <v>2.5816514030532371E-2</v>
      </c>
      <c r="AC132" s="66" t="str">
        <f t="shared" si="118"/>
        <v>-0.0381693001824859-6.73358918669762i</v>
      </c>
      <c r="AD132" s="64">
        <f t="shared" si="119"/>
        <v>16.565071879341804</v>
      </c>
      <c r="AE132" s="61">
        <f t="shared" si="120"/>
        <v>-90.324777221151678</v>
      </c>
      <c r="AF132" s="31" t="str">
        <f t="shared" si="104"/>
        <v>-1512.12121212121</v>
      </c>
      <c r="AG132" s="31" t="str">
        <f t="shared" si="121"/>
        <v>867.321012961475i</v>
      </c>
      <c r="AH132" s="31">
        <f t="shared" si="122"/>
        <v>867.32101296147505</v>
      </c>
      <c r="AI132" s="31">
        <f t="shared" si="123"/>
        <v>1.5707963267948966</v>
      </c>
      <c r="AJ132" s="31" t="str">
        <f t="shared" si="105"/>
        <v>0.996729771123514+1.19539993057137i</v>
      </c>
      <c r="AK132" s="31">
        <f t="shared" si="124"/>
        <v>1.5564225745773446</v>
      </c>
      <c r="AL132" s="31">
        <f t="shared" si="125"/>
        <v>0.87578008413449004</v>
      </c>
      <c r="AM132" s="31" t="str">
        <f t="shared" si="106"/>
        <v>1+5.95329143296755i</v>
      </c>
      <c r="AN132" s="31">
        <f t="shared" si="126"/>
        <v>6.0366943674369358</v>
      </c>
      <c r="AO132" s="31">
        <f t="shared" si="127"/>
        <v>1.4043756215580832</v>
      </c>
      <c r="AP132" s="31" t="str">
        <f t="shared" si="107"/>
        <v>1+0.228972747421829i</v>
      </c>
      <c r="AQ132" s="31">
        <f t="shared" si="128"/>
        <v>1.0258793881650516</v>
      </c>
      <c r="AR132" s="31">
        <f t="shared" si="129"/>
        <v>0.22509252816234496</v>
      </c>
      <c r="AS132" s="58" t="str">
        <f t="shared" si="130"/>
        <v>-4.74724843489629+5.05828718856388i</v>
      </c>
      <c r="AT132" s="49">
        <f t="shared" si="131"/>
        <v>16.823494174310834</v>
      </c>
      <c r="AU132" s="61">
        <f t="shared" si="132"/>
        <v>133.18314522745331</v>
      </c>
      <c r="AV132" s="58" t="str">
        <f t="shared" si="108"/>
        <v>34.2416270666772+31.7729494456753i</v>
      </c>
      <c r="AW132" s="64">
        <f t="shared" si="133"/>
        <v>33.388566053652625</v>
      </c>
      <c r="AX132" s="61">
        <f t="shared" si="134"/>
        <v>42.858368006301632</v>
      </c>
    </row>
    <row r="133" spans="14:50" x14ac:dyDescent="0.25">
      <c r="N133" s="10">
        <v>15</v>
      </c>
      <c r="O133" s="50">
        <f t="shared" si="135"/>
        <v>141.25375446227542</v>
      </c>
      <c r="P133" s="48" t="str">
        <f t="shared" si="99"/>
        <v>304.285714285714</v>
      </c>
      <c r="Q133" s="17" t="str">
        <f t="shared" si="100"/>
        <v>1+46.2146172970675i</v>
      </c>
      <c r="R133" s="17">
        <f t="shared" si="110"/>
        <v>46.225435118713705</v>
      </c>
      <c r="S133" s="17">
        <f t="shared" si="111"/>
        <v>1.5491615274155246</v>
      </c>
      <c r="T133" s="17" t="str">
        <f t="shared" si="101"/>
        <v>1+0.000958525395791028i</v>
      </c>
      <c r="U133" s="17">
        <f t="shared" si="112"/>
        <v>1.0000004593853618</v>
      </c>
      <c r="V133" s="17">
        <f t="shared" si="113"/>
        <v>9.585251022360986E-4</v>
      </c>
      <c r="W133" s="31" t="str">
        <f t="shared" si="102"/>
        <v>1-0.00299539186184696i</v>
      </c>
      <c r="X133" s="17">
        <f t="shared" si="114"/>
        <v>1.0000044861761401</v>
      </c>
      <c r="Y133" s="17">
        <f t="shared" si="115"/>
        <v>-2.9953829033047591E-3</v>
      </c>
      <c r="Z133" s="31" t="str">
        <f t="shared" si="103"/>
        <v>0.999998747201311+0.0264236969444376i</v>
      </c>
      <c r="AA133" s="17">
        <f t="shared" si="116"/>
        <v>1.0003477926023543</v>
      </c>
      <c r="AB133" s="17">
        <f t="shared" si="117"/>
        <v>2.6417582821327605E-2</v>
      </c>
      <c r="AC133" s="66" t="str">
        <f t="shared" si="118"/>
        <v>-0.0448755565212924-6.58023776274487i</v>
      </c>
      <c r="AD133" s="64">
        <f t="shared" si="119"/>
        <v>16.365033704998627</v>
      </c>
      <c r="AE133" s="61">
        <f t="shared" si="120"/>
        <v>-90.390736661018636</v>
      </c>
      <c r="AF133" s="31" t="str">
        <f t="shared" si="104"/>
        <v>-1512.12121212121</v>
      </c>
      <c r="AG133" s="31" t="str">
        <f t="shared" si="121"/>
        <v>887.523514621322i</v>
      </c>
      <c r="AH133" s="31">
        <f t="shared" si="122"/>
        <v>887.52351462132197</v>
      </c>
      <c r="AI133" s="31">
        <f t="shared" si="123"/>
        <v>1.5707963267948966</v>
      </c>
      <c r="AJ133" s="31" t="str">
        <f t="shared" si="105"/>
        <v>0.996575649984771+1.22324437192659i</v>
      </c>
      <c r="AK133" s="31">
        <f t="shared" si="124"/>
        <v>1.5778117186764224</v>
      </c>
      <c r="AL133" s="31">
        <f t="shared" si="125"/>
        <v>0.88715677812617189</v>
      </c>
      <c r="AM133" s="31" t="str">
        <f t="shared" si="106"/>
        <v>1+6.09196140436074i</v>
      </c>
      <c r="AN133" s="31">
        <f t="shared" si="126"/>
        <v>6.1734912126138868</v>
      </c>
      <c r="AO133" s="31">
        <f t="shared" si="127"/>
        <v>1.4080965678833877</v>
      </c>
      <c r="AP133" s="31" t="str">
        <f t="shared" si="107"/>
        <v>1+0.234306207860029i</v>
      </c>
      <c r="AQ133" s="31">
        <f t="shared" si="128"/>
        <v>1.0270829562609571</v>
      </c>
      <c r="AR133" s="31">
        <f t="shared" si="129"/>
        <v>0.23015437623507362</v>
      </c>
      <c r="AS133" s="58" t="str">
        <f t="shared" si="130"/>
        <v>-4.67252589760833+5.004620995622i</v>
      </c>
      <c r="AT133" s="49">
        <f t="shared" si="131"/>
        <v>16.709758336705839</v>
      </c>
      <c r="AU133" s="61">
        <f t="shared" si="132"/>
        <v>133.0345257282566</v>
      </c>
      <c r="AV133" s="58" t="str">
        <f t="shared" si="108"/>
        <v>33.141278263633+30.521746206489i</v>
      </c>
      <c r="AW133" s="64">
        <f t="shared" si="133"/>
        <v>33.074792041704463</v>
      </c>
      <c r="AX133" s="61">
        <f t="shared" si="134"/>
        <v>42.643789067237968</v>
      </c>
    </row>
    <row r="134" spans="14:50" x14ac:dyDescent="0.25">
      <c r="N134" s="10">
        <v>16</v>
      </c>
      <c r="O134" s="50">
        <f t="shared" si="135"/>
        <v>144.54397707459285</v>
      </c>
      <c r="P134" s="48" t="str">
        <f t="shared" si="99"/>
        <v>304.285714285714</v>
      </c>
      <c r="Q134" s="17" t="str">
        <f t="shared" si="100"/>
        <v>1+47.2910940210262i</v>
      </c>
      <c r="R134" s="17">
        <f t="shared" si="110"/>
        <v>47.301665654663154</v>
      </c>
      <c r="S134" s="17">
        <f t="shared" si="111"/>
        <v>1.5496538471213934</v>
      </c>
      <c r="T134" s="17" t="str">
        <f t="shared" si="101"/>
        <v>1+0.000980852320436096i</v>
      </c>
      <c r="U134" s="17">
        <f t="shared" si="112"/>
        <v>1.0000004810355214</v>
      </c>
      <c r="V134" s="17">
        <f t="shared" si="113"/>
        <v>9.8085200588633021E-4</v>
      </c>
      <c r="W134" s="31" t="str">
        <f t="shared" si="102"/>
        <v>1-0.0030651635013628i</v>
      </c>
      <c r="X134" s="17">
        <f t="shared" si="114"/>
        <v>1.0000046976026113</v>
      </c>
      <c r="Y134" s="17">
        <f t="shared" si="115"/>
        <v>-3.06515390211432E-3</v>
      </c>
      <c r="Z134" s="31" t="str">
        <f t="shared" si="103"/>
        <v>0.999998688158728+0.0270391839133934i</v>
      </c>
      <c r="AA134" s="17">
        <f t="shared" si="116"/>
        <v>1.0003641805791927</v>
      </c>
      <c r="AB134" s="17">
        <f t="shared" si="117"/>
        <v>2.7032632641251667E-2</v>
      </c>
      <c r="AC134" s="66" t="str">
        <f t="shared" si="118"/>
        <v>-0.051279720209893-6.43036221131512i</v>
      </c>
      <c r="AD134" s="64">
        <f t="shared" si="119"/>
        <v>16.164984912757106</v>
      </c>
      <c r="AE134" s="61">
        <f t="shared" si="120"/>
        <v>-90.456902607623419</v>
      </c>
      <c r="AF134" s="31" t="str">
        <f t="shared" si="104"/>
        <v>-1512.12121212121</v>
      </c>
      <c r="AG134" s="31" t="str">
        <f t="shared" si="121"/>
        <v>908.196592996385i</v>
      </c>
      <c r="AH134" s="31">
        <f t="shared" si="122"/>
        <v>908.19659299638499</v>
      </c>
      <c r="AI134" s="31">
        <f t="shared" si="123"/>
        <v>1.5707963267948966</v>
      </c>
      <c r="AJ134" s="31" t="str">
        <f t="shared" si="105"/>
        <v>0.996414265340535+1.25173739363935i</v>
      </c>
      <c r="AK134" s="31">
        <f t="shared" si="124"/>
        <v>1.5999024629048959</v>
      </c>
      <c r="AL134" s="31">
        <f t="shared" si="125"/>
        <v>0.89848386597300833</v>
      </c>
      <c r="AM134" s="31" t="str">
        <f t="shared" si="106"/>
        <v>1+6.23386141432717i</v>
      </c>
      <c r="AN134" s="31">
        <f t="shared" si="126"/>
        <v>6.3135590702104896</v>
      </c>
      <c r="AO134" s="31">
        <f t="shared" si="127"/>
        <v>1.4117372126323662</v>
      </c>
      <c r="AP134" s="31" t="str">
        <f t="shared" si="107"/>
        <v>1+0.239763900551046i</v>
      </c>
      <c r="AQ134" s="31">
        <f t="shared" si="128"/>
        <v>1.0283417369763088</v>
      </c>
      <c r="AR134" s="31">
        <f t="shared" si="129"/>
        <v>0.23532172798315998</v>
      </c>
      <c r="AS134" s="58" t="str">
        <f t="shared" si="130"/>
        <v>-4.59847672945749+4.95024932499328i</v>
      </c>
      <c r="AT134" s="49">
        <f t="shared" si="131"/>
        <v>16.594498825605193</v>
      </c>
      <c r="AU134" s="61">
        <f t="shared" si="132"/>
        <v>132.89019242570691</v>
      </c>
      <c r="AV134" s="58" t="str">
        <f t="shared" si="108"/>
        <v>32.0677047961032+29.3160235903605i</v>
      </c>
      <c r="AW134" s="64">
        <f t="shared" si="133"/>
        <v>32.759483738362292</v>
      </c>
      <c r="AX134" s="61">
        <f t="shared" si="134"/>
        <v>42.433289818083523</v>
      </c>
    </row>
    <row r="135" spans="14:50" x14ac:dyDescent="0.25">
      <c r="N135" s="10">
        <v>17</v>
      </c>
      <c r="O135" s="50">
        <f t="shared" si="135"/>
        <v>147.91083881682084</v>
      </c>
      <c r="P135" s="48" t="str">
        <f t="shared" si="99"/>
        <v>304.285714285714</v>
      </c>
      <c r="Q135" s="17" t="str">
        <f t="shared" si="100"/>
        <v>1+48.3926451090063i</v>
      </c>
      <c r="R135" s="17">
        <f t="shared" si="110"/>
        <v>48.402976154842293</v>
      </c>
      <c r="S135" s="17">
        <f t="shared" si="111"/>
        <v>1.5501349701676923</v>
      </c>
      <c r="T135" s="17" t="str">
        <f t="shared" si="101"/>
        <v>1+0.00100369930596457i</v>
      </c>
      <c r="U135" s="17">
        <f t="shared" si="112"/>
        <v>1.0000005037060216</v>
      </c>
      <c r="V135" s="17">
        <f t="shared" si="113"/>
        <v>1.0036989689184326E-3</v>
      </c>
      <c r="W135" s="31" t="str">
        <f t="shared" si="102"/>
        <v>1-0.0031365603311393i</v>
      </c>
      <c r="X135" s="17">
        <f t="shared" si="114"/>
        <v>1.0000049189932572</v>
      </c>
      <c r="Y135" s="17">
        <f t="shared" si="115"/>
        <v>-3.1365500453619708E-3</v>
      </c>
      <c r="Z135" s="31" t="str">
        <f t="shared" si="103"/>
        <v>0.999998626333554+0.027669007415566i</v>
      </c>
      <c r="AA135" s="17">
        <f t="shared" si="116"/>
        <v>1.0003813406098483</v>
      </c>
      <c r="AB135" s="17">
        <f t="shared" si="117"/>
        <v>2.7661987745507179E-2</v>
      </c>
      <c r="AC135" s="66" t="str">
        <f t="shared" si="118"/>
        <v>-0.0573953380631851-6.28388393911573i</v>
      </c>
      <c r="AD135" s="64">
        <f t="shared" si="119"/>
        <v>15.964925399500412</v>
      </c>
      <c r="AE135" s="61">
        <f t="shared" si="120"/>
        <v>-90.523309982016855</v>
      </c>
      <c r="AF135" s="31" t="str">
        <f t="shared" si="104"/>
        <v>-1512.12121212121</v>
      </c>
      <c r="AG135" s="31" t="str">
        <f t="shared" si="121"/>
        <v>929.351209226457i</v>
      </c>
      <c r="AH135" s="31">
        <f t="shared" si="122"/>
        <v>929.35120922645694</v>
      </c>
      <c r="AI135" s="31">
        <f t="shared" si="123"/>
        <v>1.5707963267948966</v>
      </c>
      <c r="AJ135" s="31" t="str">
        <f t="shared" si="105"/>
        <v>0.996245274872339+1.28089410308692i</v>
      </c>
      <c r="AK135" s="31">
        <f t="shared" si="124"/>
        <v>1.6227120357686102</v>
      </c>
      <c r="AL135" s="31">
        <f t="shared" si="125"/>
        <v>0.9097559278291677</v>
      </c>
      <c r="AM135" s="31" t="str">
        <f t="shared" si="106"/>
        <v>1+6.37906670013039i</v>
      </c>
      <c r="AN135" s="31">
        <f t="shared" si="126"/>
        <v>6.4569723527913938</v>
      </c>
      <c r="AO135" s="31">
        <f t="shared" si="127"/>
        <v>1.4152990998934696</v>
      </c>
      <c r="AP135" s="31" t="str">
        <f t="shared" si="107"/>
        <v>1+0.245348719235784i</v>
      </c>
      <c r="AQ135" s="31">
        <f t="shared" si="128"/>
        <v>1.0296581928147999</v>
      </c>
      <c r="AR135" s="31">
        <f t="shared" si="129"/>
        <v>0.24059621890890232</v>
      </c>
      <c r="AS135" s="58" t="str">
        <f t="shared" si="130"/>
        <v>-4.52516926446639+4.89519116932985i</v>
      </c>
      <c r="AT135" s="49">
        <f t="shared" si="131"/>
        <v>16.477745726762684</v>
      </c>
      <c r="AU135" s="61">
        <f t="shared" si="132"/>
        <v>132.75063803122617</v>
      </c>
      <c r="AV135" s="58" t="str">
        <f t="shared" si="108"/>
        <v>31.0205367875802+28.1546773107129i</v>
      </c>
      <c r="AW135" s="64">
        <f t="shared" si="133"/>
        <v>32.4426711262631</v>
      </c>
      <c r="AX135" s="61">
        <f t="shared" si="134"/>
        <v>42.227328049209305</v>
      </c>
    </row>
    <row r="136" spans="14:50" x14ac:dyDescent="0.25">
      <c r="N136" s="10">
        <v>18</v>
      </c>
      <c r="O136" s="50">
        <f t="shared" si="135"/>
        <v>151.3561248436209</v>
      </c>
      <c r="P136" s="48" t="str">
        <f t="shared" si="99"/>
        <v>304.285714285714</v>
      </c>
      <c r="Q136" s="17" t="str">
        <f t="shared" si="100"/>
        <v>1+49.5198546179757i</v>
      </c>
      <c r="R136" s="17">
        <f t="shared" si="110"/>
        <v>49.529950548990548</v>
      </c>
      <c r="S136" s="17">
        <f t="shared" si="111"/>
        <v>1.5506051507607577</v>
      </c>
      <c r="T136" s="17" t="str">
        <f t="shared" si="101"/>
        <v>1+0.0010270784661506i</v>
      </c>
      <c r="U136" s="17">
        <f t="shared" si="112"/>
        <v>1.0000005274449488</v>
      </c>
      <c r="V136" s="17">
        <f t="shared" si="113"/>
        <v>1.0270781049991674E-3</v>
      </c>
      <c r="W136" s="31" t="str">
        <f t="shared" si="102"/>
        <v>1-0.00320962020672064i</v>
      </c>
      <c r="X136" s="17">
        <f t="shared" si="114"/>
        <v>1.0000051508176702</v>
      </c>
      <c r="Y136" s="17">
        <f t="shared" si="115"/>
        <v>-3.209609185314728E-3</v>
      </c>
      <c r="Z136" s="31" t="str">
        <f t="shared" si="103"/>
        <v>0.999998561594648+0.0283135013917129i</v>
      </c>
      <c r="AA136" s="17">
        <f t="shared" si="116"/>
        <v>1.000399309052352</v>
      </c>
      <c r="AB136" s="17">
        <f t="shared" si="117"/>
        <v>2.8305979841868775E-2</v>
      </c>
      <c r="AC136" s="66" t="str">
        <f t="shared" si="118"/>
        <v>-0.0632353481388535-6.14072609611377i</v>
      </c>
      <c r="AD136" s="64">
        <f t="shared" si="119"/>
        <v>15.764855039456339</v>
      </c>
      <c r="AE136" s="61">
        <f t="shared" si="120"/>
        <v>-90.58999382931782</v>
      </c>
      <c r="AF136" s="31" t="str">
        <f t="shared" si="104"/>
        <v>-1512.12121212121</v>
      </c>
      <c r="AG136" s="31" t="str">
        <f t="shared" si="121"/>
        <v>950.998579769078i</v>
      </c>
      <c r="AH136" s="31">
        <f t="shared" si="122"/>
        <v>950.99857976907799</v>
      </c>
      <c r="AI136" s="31">
        <f t="shared" si="123"/>
        <v>1.5707963267948966</v>
      </c>
      <c r="AJ136" s="31" t="str">
        <f t="shared" si="105"/>
        <v>0.996068320128742+1.31072995954259i</v>
      </c>
      <c r="AK136" s="31">
        <f t="shared" si="124"/>
        <v>1.6462579157612618</v>
      </c>
      <c r="AL136" s="31">
        <f t="shared" si="125"/>
        <v>0.92096768585251354</v>
      </c>
      <c r="AM136" s="31" t="str">
        <f t="shared" si="106"/>
        <v>1+6.52765425153494i</v>
      </c>
      <c r="AN136" s="31">
        <f t="shared" si="126"/>
        <v>6.6038072373125924</v>
      </c>
      <c r="AO136" s="31">
        <f t="shared" si="127"/>
        <v>1.4187837565232568</v>
      </c>
      <c r="AP136" s="31" t="str">
        <f t="shared" si="107"/>
        <v>1+0.251063625059036i</v>
      </c>
      <c r="AQ136" s="31">
        <f t="shared" si="128"/>
        <v>1.0310348897238075</v>
      </c>
      <c r="AR136" s="31">
        <f t="shared" si="129"/>
        <v>0.24597947120477789</v>
      </c>
      <c r="AS136" s="58" t="str">
        <f t="shared" si="130"/>
        <v>-4.4526689190953+4.83946941434137i</v>
      </c>
      <c r="AT136" s="49">
        <f t="shared" si="131"/>
        <v>16.359532218151404</v>
      </c>
      <c r="AU136" s="61">
        <f t="shared" si="132"/>
        <v>132.61634537011355</v>
      </c>
      <c r="AV136" s="58" t="str">
        <f t="shared" si="108"/>
        <v>29.9994221932365+27.03659469562i</v>
      </c>
      <c r="AW136" s="64">
        <f t="shared" si="133"/>
        <v>32.124387257607744</v>
      </c>
      <c r="AX136" s="61">
        <f t="shared" si="134"/>
        <v>42.026351540795766</v>
      </c>
    </row>
    <row r="137" spans="14:50" x14ac:dyDescent="0.25">
      <c r="N137" s="10">
        <v>19</v>
      </c>
      <c r="O137" s="50">
        <f t="shared" si="135"/>
        <v>154.8816618912482</v>
      </c>
      <c r="P137" s="48" t="str">
        <f t="shared" si="99"/>
        <v>304.285714285714</v>
      </c>
      <c r="Q137" s="17" t="str">
        <f t="shared" si="100"/>
        <v>1+50.6733202093362i</v>
      </c>
      <c r="R137" s="17">
        <f t="shared" si="110"/>
        <v>50.683186374160812</v>
      </c>
      <c r="S137" s="17">
        <f t="shared" si="111"/>
        <v>1.5510646373645449</v>
      </c>
      <c r="T137" s="17" t="str">
        <f t="shared" si="101"/>
        <v>1+0.00105100219693438i</v>
      </c>
      <c r="U137" s="17">
        <f t="shared" si="112"/>
        <v>1.0000005523026565</v>
      </c>
      <c r="V137" s="17">
        <f t="shared" si="113"/>
        <v>1.0510018099536592E-3</v>
      </c>
      <c r="W137" s="31" t="str">
        <f t="shared" si="102"/>
        <v>1-0.00328438186541994i</v>
      </c>
      <c r="X137" s="17">
        <f t="shared" si="114"/>
        <v>1.0000053935675737</v>
      </c>
      <c r="Y137" s="17">
        <f t="shared" si="115"/>
        <v>-3.2843700557741748E-3</v>
      </c>
      <c r="Z137" s="31" t="str">
        <f t="shared" si="103"/>
        <v>0.999998493804693+0.0289730075610712i</v>
      </c>
      <c r="AA137" s="17">
        <f t="shared" si="116"/>
        <v>1.000418123975565</v>
      </c>
      <c r="AB137" s="17">
        <f t="shared" si="117"/>
        <v>2.8964948257122716E-2</v>
      </c>
      <c r="AC137" s="66" t="str">
        <f t="shared" si="118"/>
        <v>-0.0688121068928332-6.00081353866322i</v>
      </c>
      <c r="AD137" s="64">
        <f t="shared" si="119"/>
        <v>15.564773683934822</v>
      </c>
      <c r="AE137" s="61">
        <f t="shared" si="120"/>
        <v>-90.656989336509938</v>
      </c>
      <c r="AF137" s="31" t="str">
        <f t="shared" si="104"/>
        <v>-1512.12121212121</v>
      </c>
      <c r="AG137" s="31" t="str">
        <f t="shared" si="121"/>
        <v>973.150182346647i</v>
      </c>
      <c r="AH137" s="31">
        <f t="shared" si="122"/>
        <v>973.15018234664694</v>
      </c>
      <c r="AI137" s="31">
        <f t="shared" si="123"/>
        <v>1.5707963267948966</v>
      </c>
      <c r="AJ137" s="31" t="str">
        <f t="shared" si="105"/>
        <v>0.995883025765009+1.34126078237237i</v>
      </c>
      <c r="AK137" s="31">
        <f t="shared" si="124"/>
        <v>1.6705578371720662</v>
      </c>
      <c r="AL137" s="31">
        <f t="shared" si="125"/>
        <v>0.9321140155237031</v>
      </c>
      <c r="AM137" s="31" t="str">
        <f t="shared" si="106"/>
        <v>1+6.67970285162737i</v>
      </c>
      <c r="AN137" s="31">
        <f t="shared" si="126"/>
        <v>6.7541417060969948</v>
      </c>
      <c r="AO137" s="31">
        <f t="shared" si="127"/>
        <v>1.4221926914500989</v>
      </c>
      <c r="AP137" s="31" t="str">
        <f t="shared" si="107"/>
        <v>1+0.256911648139515i</v>
      </c>
      <c r="AQ137" s="31">
        <f t="shared" si="128"/>
        <v>1.032474500871456</v>
      </c>
      <c r="AR137" s="31">
        <f t="shared" si="129"/>
        <v>0.25147309057879097</v>
      </c>
      <c r="AS137" s="58" t="str">
        <f t="shared" si="130"/>
        <v>-4.38103798621888+4.78311057671095i</v>
      </c>
      <c r="AT137" s="49">
        <f t="shared" si="131"/>
        <v>16.23989448095238</v>
      </c>
      <c r="AU137" s="61">
        <f t="shared" si="132"/>
        <v>132.48778651121782</v>
      </c>
      <c r="AV137" s="58" t="str">
        <f t="shared" si="108"/>
        <v>29.0040231598596+25.9606561448152i</v>
      </c>
      <c r="AW137" s="64">
        <f t="shared" si="133"/>
        <v>31.804668164887204</v>
      </c>
      <c r="AX137" s="61">
        <f t="shared" si="134"/>
        <v>41.830797174707833</v>
      </c>
    </row>
    <row r="138" spans="14:50" x14ac:dyDescent="0.25">
      <c r="N138" s="10">
        <v>20</v>
      </c>
      <c r="O138" s="50">
        <f t="shared" si="135"/>
        <v>158.48931924611153</v>
      </c>
      <c r="P138" s="48" t="str">
        <f t="shared" si="99"/>
        <v>304.285714285714</v>
      </c>
      <c r="Q138" s="17" t="str">
        <f t="shared" si="100"/>
        <v>1+51.8536534658125i</v>
      </c>
      <c r="R138" s="17">
        <f t="shared" si="110"/>
        <v>51.863295091543968</v>
      </c>
      <c r="S138" s="17">
        <f t="shared" si="111"/>
        <v>1.5515136728284045</v>
      </c>
      <c r="T138" s="17" t="str">
        <f t="shared" si="101"/>
        <v>1+0.00107548318299463i</v>
      </c>
      <c r="U138" s="17">
        <f t="shared" si="112"/>
        <v>1.0000005783318713</v>
      </c>
      <c r="V138" s="17">
        <f t="shared" si="113"/>
        <v>1.0754827683373302E-3</v>
      </c>
      <c r="W138" s="31" t="str">
        <f t="shared" si="102"/>
        <v>1-0.00336088494685822i</v>
      </c>
      <c r="X138" s="17">
        <f t="shared" si="114"/>
        <v>1.0000056477578643</v>
      </c>
      <c r="Y138" s="17">
        <f t="shared" si="115"/>
        <v>-3.3608722925986545E-3</v>
      </c>
      <c r="Z138" s="31" t="str">
        <f t="shared" si="103"/>
        <v>0.999998422819895+0.0296478756025415i</v>
      </c>
      <c r="AA138" s="17">
        <f t="shared" si="116"/>
        <v>1.0004378252395405</v>
      </c>
      <c r="AB138" s="17">
        <f t="shared" si="117"/>
        <v>2.9639240106874489E-2</v>
      </c>
      <c r="AC138" s="66" t="str">
        <f t="shared" si="118"/>
        <v>-0.0741374151264978-5.86407279327964i</v>
      </c>
      <c r="AD138" s="64">
        <f t="shared" si="119"/>
        <v>15.364681161016945</v>
      </c>
      <c r="AE138" s="61">
        <f t="shared" si="120"/>
        <v>-90.724331850291179</v>
      </c>
      <c r="AF138" s="31" t="str">
        <f t="shared" si="104"/>
        <v>-1512.12121212121</v>
      </c>
      <c r="AG138" s="31" t="str">
        <f t="shared" si="121"/>
        <v>995.817762032063i</v>
      </c>
      <c r="AH138" s="31">
        <f t="shared" si="122"/>
        <v>995.817762032063</v>
      </c>
      <c r="AI138" s="31">
        <f t="shared" si="123"/>
        <v>1.5707963267948966</v>
      </c>
      <c r="AJ138" s="31" t="str">
        <f t="shared" si="105"/>
        <v>0.99568899874695+1.37250275942265i</v>
      </c>
      <c r="AK138" s="31">
        <f t="shared" si="124"/>
        <v>1.6956297965206002</v>
      </c>
      <c r="AL138" s="31">
        <f t="shared" si="125"/>
        <v>0.94318995608111511</v>
      </c>
      <c r="AM138" s="31" t="str">
        <f t="shared" si="106"/>
        <v>1+6.83529311858807i</v>
      </c>
      <c r="AN138" s="31">
        <f t="shared" si="126"/>
        <v>6.9080555887324353</v>
      </c>
      <c r="AO138" s="31">
        <f t="shared" si="127"/>
        <v>1.4255273950553509</v>
      </c>
      <c r="AP138" s="31" t="str">
        <f t="shared" si="107"/>
        <v>1+0.262895889176465i</v>
      </c>
      <c r="AQ138" s="31">
        <f t="shared" si="128"/>
        <v>1.0339798105117355</v>
      </c>
      <c r="AR138" s="31">
        <f t="shared" si="129"/>
        <v>0.25707866288591064</v>
      </c>
      <c r="AS138" s="58" t="str">
        <f t="shared" si="130"/>
        <v>-4.31033545386363+4.72614452914303i</v>
      </c>
      <c r="AT138" s="49">
        <f t="shared" si="131"/>
        <v>16.118871604547252</v>
      </c>
      <c r="AU138" s="61">
        <f t="shared" si="132"/>
        <v>132.36542194060181</v>
      </c>
      <c r="AV138" s="58" t="str">
        <f t="shared" si="108"/>
        <v>28.0340126793326+24.9257367260055i</v>
      </c>
      <c r="AW138" s="64">
        <f t="shared" si="133"/>
        <v>31.483552765564198</v>
      </c>
      <c r="AX138" s="61">
        <f t="shared" si="134"/>
        <v>41.641090090310691</v>
      </c>
    </row>
    <row r="139" spans="14:50" x14ac:dyDescent="0.25">
      <c r="N139" s="10">
        <v>21</v>
      </c>
      <c r="O139" s="50">
        <f t="shared" si="135"/>
        <v>162.18100973589304</v>
      </c>
      <c r="P139" s="48" t="str">
        <f t="shared" si="99"/>
        <v>304.285714285714</v>
      </c>
      <c r="Q139" s="17" t="str">
        <f t="shared" si="100"/>
        <v>1+53.0614802157204i</v>
      </c>
      <c r="R139" s="17">
        <f t="shared" si="110"/>
        <v>53.070902410674044</v>
      </c>
      <c r="S139" s="17">
        <f t="shared" si="111"/>
        <v>1.5519524945121452</v>
      </c>
      <c r="T139" s="17" t="str">
        <f t="shared" si="101"/>
        <v>1+0.0011005344044742i</v>
      </c>
      <c r="U139" s="17">
        <f t="shared" si="112"/>
        <v>1.0000006055878043</v>
      </c>
      <c r="V139" s="17">
        <f t="shared" si="113"/>
        <v>1.1005339601609127E-3</v>
      </c>
      <c r="W139" s="31" t="str">
        <f t="shared" si="102"/>
        <v>1-0.00343917001398187i</v>
      </c>
      <c r="X139" s="17">
        <f t="shared" si="114"/>
        <v>1.0000059139277053</v>
      </c>
      <c r="Y139" s="17">
        <f t="shared" si="115"/>
        <v>-3.4391564547027829E-3</v>
      </c>
      <c r="Z139" s="31" t="str">
        <f t="shared" si="103"/>
        <v>0.999998348489686+0.0303384633400921i</v>
      </c>
      <c r="AA139" s="17">
        <f t="shared" si="116"/>
        <v>1.0004584545796682</v>
      </c>
      <c r="AB139" s="17">
        <f t="shared" si="117"/>
        <v>3.0329210468766032E-2</v>
      </c>
      <c r="AC139" s="66" t="str">
        <f t="shared" si="118"/>
        <v>-0.079222542778385-5.73043202106089i</v>
      </c>
      <c r="AD139" s="64">
        <f t="shared" si="119"/>
        <v>15.164577275195905</v>
      </c>
      <c r="AE139" s="61">
        <f t="shared" si="120"/>
        <v>-90.792056894981869</v>
      </c>
      <c r="AF139" s="31" t="str">
        <f t="shared" si="104"/>
        <v>-1512.12121212121</v>
      </c>
      <c r="AG139" s="31" t="str">
        <f t="shared" si="121"/>
        <v>1019.01333747611i</v>
      </c>
      <c r="AH139" s="31">
        <f t="shared" si="122"/>
        <v>1019.01333747611</v>
      </c>
      <c r="AI139" s="31">
        <f t="shared" si="123"/>
        <v>1.5707963267948966</v>
      </c>
      <c r="AJ139" s="31" t="str">
        <f t="shared" si="105"/>
        <v>0.995485827517249+1.40447245560319i</v>
      </c>
      <c r="AK139" s="31">
        <f t="shared" si="124"/>
        <v>1.721492059620304</v>
      </c>
      <c r="AL139" s="31">
        <f t="shared" si="125"/>
        <v>0.95419072003128769</v>
      </c>
      <c r="AM139" s="31" t="str">
        <f t="shared" si="106"/>
        <v>1+6.994507548436i</v>
      </c>
      <c r="AN139" s="31">
        <f t="shared" si="126"/>
        <v>7.065630604916179</v>
      </c>
      <c r="AO139" s="31">
        <f t="shared" si="127"/>
        <v>1.428789338627227</v>
      </c>
      <c r="AP139" s="31" t="str">
        <f t="shared" si="107"/>
        <v>1+0.269019521093693i</v>
      </c>
      <c r="AQ139" s="31">
        <f t="shared" si="128"/>
        <v>1.035553717935231</v>
      </c>
      <c r="AR139" s="31">
        <f t="shared" si="129"/>
        <v>0.26279775056066934</v>
      </c>
      <c r="AS139" s="58" t="str">
        <f t="shared" si="130"/>
        <v>-4.24061684947109+4.66860421524225i</v>
      </c>
      <c r="AT139" s="49">
        <f t="shared" si="131"/>
        <v>15.996505486159624</v>
      </c>
      <c r="AU139" s="61">
        <f t="shared" si="132"/>
        <v>132.24969978094455</v>
      </c>
      <c r="AV139" s="58" t="str">
        <f t="shared" si="108"/>
        <v>27.089071538448+23.9307078861021i</v>
      </c>
      <c r="AW139" s="64">
        <f t="shared" si="133"/>
        <v>31.161082761355527</v>
      </c>
      <c r="AX139" s="61">
        <f t="shared" si="134"/>
        <v>41.457642885962692</v>
      </c>
    </row>
    <row r="140" spans="14:50" x14ac:dyDescent="0.25">
      <c r="N140" s="10">
        <v>22</v>
      </c>
      <c r="O140" s="50">
        <f t="shared" si="135"/>
        <v>165.95869074375622</v>
      </c>
      <c r="P140" s="48" t="str">
        <f t="shared" si="99"/>
        <v>304.285714285714</v>
      </c>
      <c r="Q140" s="17" t="str">
        <f t="shared" si="100"/>
        <v>1+54.2974408647908i</v>
      </c>
      <c r="R140" s="17">
        <f t="shared" si="110"/>
        <v>54.306648621190512</v>
      </c>
      <c r="S140" s="17">
        <f t="shared" si="111"/>
        <v>1.5523813344084332</v>
      </c>
      <c r="T140" s="17" t="str">
        <f t="shared" si="101"/>
        <v>1+0.00112616914386232i</v>
      </c>
      <c r="U140" s="17">
        <f t="shared" si="112"/>
        <v>1.0000006341282692</v>
      </c>
      <c r="V140" s="17">
        <f t="shared" si="113"/>
        <v>1.1261686677720715E-3</v>
      </c>
      <c r="W140" s="31" t="str">
        <f t="shared" si="102"/>
        <v>1-0.00351927857456977i</v>
      </c>
      <c r="X140" s="17">
        <f t="shared" si="114"/>
        <v>1.0000061926416683</v>
      </c>
      <c r="Y140" s="17">
        <f t="shared" si="115"/>
        <v>-3.5192640455453225E-3</v>
      </c>
      <c r="Z140" s="31" t="str">
        <f t="shared" si="103"/>
        <v>0.999998270656403+0.0310451369324829i</v>
      </c>
      <c r="AA140" s="17">
        <f t="shared" si="116"/>
        <v>1.0004800556947417</v>
      </c>
      <c r="AB140" s="17">
        <f t="shared" si="117"/>
        <v>3.1035222559145231E-2</v>
      </c>
      <c r="AC140" s="66" t="str">
        <f t="shared" si="118"/>
        <v>-0.0840782526110423-5.59982098275052i</v>
      </c>
      <c r="AD140" s="64">
        <f t="shared" si="119"/>
        <v>14.964461806968457</v>
      </c>
      <c r="AE140" s="61">
        <f t="shared" si="120"/>
        <v>-90.860200190496997</v>
      </c>
      <c r="AF140" s="31" t="str">
        <f t="shared" si="104"/>
        <v>-1512.12121212121</v>
      </c>
      <c r="AG140" s="31" t="str">
        <f t="shared" si="121"/>
        <v>1042.74920727993i</v>
      </c>
      <c r="AH140" s="31">
        <f t="shared" si="122"/>
        <v>1042.74920727993</v>
      </c>
      <c r="AI140" s="31">
        <f t="shared" si="123"/>
        <v>1.5707963267948966</v>
      </c>
      <c r="AJ140" s="31" t="str">
        <f t="shared" si="105"/>
        <v>0.995273081122485+1.43718682167009i</v>
      </c>
      <c r="AK140" s="31">
        <f t="shared" si="124"/>
        <v>1.7481631692691675</v>
      </c>
      <c r="AL140" s="31">
        <f t="shared" si="125"/>
        <v>0.96511170170393823</v>
      </c>
      <c r="AM140" s="31" t="str">
        <f t="shared" si="106"/>
        <v>1+7.15743055876942i</v>
      </c>
      <c r="AN140" s="31">
        <f t="shared" si="126"/>
        <v>7.2269504082708576</v>
      </c>
      <c r="AO140" s="31">
        <f t="shared" si="127"/>
        <v>1.4319799738828192</v>
      </c>
      <c r="AP140" s="31" t="str">
        <f t="shared" si="107"/>
        <v>1+0.275285790721901i</v>
      </c>
      <c r="AQ140" s="31">
        <f t="shared" si="128"/>
        <v>1.0371992415025102</v>
      </c>
      <c r="AR140" s="31">
        <f t="shared" si="129"/>
        <v>0.26863188884654321</v>
      </c>
      <c r="AS140" s="58" t="str">
        <f t="shared" si="130"/>
        <v>-4.17193411013307+4.61052535693856i</v>
      </c>
      <c r="AT140" s="49">
        <f t="shared" si="131"/>
        <v>15.872840725799422</v>
      </c>
      <c r="AU140" s="61">
        <f t="shared" si="132"/>
        <v>132.14105505794907</v>
      </c>
      <c r="AV140" s="58" t="str">
        <f t="shared" si="108"/>
        <v>26.1688855652763+22.9744392529455i</v>
      </c>
      <c r="AW140" s="64">
        <f t="shared" si="133"/>
        <v>30.837302532767886</v>
      </c>
      <c r="AX140" s="61">
        <f t="shared" si="134"/>
        <v>41.280854867452049</v>
      </c>
    </row>
    <row r="141" spans="14:50" x14ac:dyDescent="0.25">
      <c r="N141" s="10">
        <v>23</v>
      </c>
      <c r="O141" s="50">
        <f t="shared" si="135"/>
        <v>169.82436524617444</v>
      </c>
      <c r="P141" s="48" t="str">
        <f t="shared" si="99"/>
        <v>304.285714285714</v>
      </c>
      <c r="Q141" s="17" t="str">
        <f t="shared" si="100"/>
        <v>1+55.5621907357188i</v>
      </c>
      <c r="R141" s="17">
        <f t="shared" si="110"/>
        <v>55.571188932327125</v>
      </c>
      <c r="S141" s="17">
        <f t="shared" si="111"/>
        <v>1.5528004192625737</v>
      </c>
      <c r="T141" s="17" t="str">
        <f t="shared" si="101"/>
        <v>1+0.00115240099303713i</v>
      </c>
      <c r="U141" s="17">
        <f t="shared" si="112"/>
        <v>1.0000006640138039</v>
      </c>
      <c r="V141" s="17">
        <f t="shared" si="113"/>
        <v>1.1524004828972559E-3</v>
      </c>
      <c r="W141" s="31" t="str">
        <f t="shared" si="102"/>
        <v>1-0.00360125310324103i</v>
      </c>
      <c r="X141" s="17">
        <f t="shared" si="114"/>
        <v>1.0000064844909324</v>
      </c>
      <c r="Y141" s="17">
        <f t="shared" si="115"/>
        <v>-3.6012375351163E-3</v>
      </c>
      <c r="Z141" s="31" t="str">
        <f t="shared" si="103"/>
        <v>0.99999818915495+0.0317682710674061i</v>
      </c>
      <c r="AA141" s="17">
        <f t="shared" si="116"/>
        <v>1.0005026743391499</v>
      </c>
      <c r="AB141" s="17">
        <f t="shared" si="117"/>
        <v>3.1757647913222976E-2</v>
      </c>
      <c r="AC141" s="66" t="str">
        <f t="shared" si="118"/>
        <v>-0.0887148228413606-5.47217100444083i</v>
      </c>
      <c r="AD141" s="64">
        <f t="shared" si="119"/>
        <v>14.764334512376973</v>
      </c>
      <c r="AE141" s="61">
        <f t="shared" si="120"/>
        <v>-90.928797670387738</v>
      </c>
      <c r="AF141" s="31" t="str">
        <f t="shared" si="104"/>
        <v>-1512.12121212121</v>
      </c>
      <c r="AG141" s="31" t="str">
        <f t="shared" si="121"/>
        <v>1067.03795651586i</v>
      </c>
      <c r="AH141" s="31">
        <f t="shared" si="122"/>
        <v>1067.0379565158601</v>
      </c>
      <c r="AI141" s="31">
        <f t="shared" si="123"/>
        <v>1.5707963267948966</v>
      </c>
      <c r="AJ141" s="31" t="str">
        <f t="shared" si="105"/>
        <v>0.995050308299034+1.47066320321325i</v>
      </c>
      <c r="AK141" s="31">
        <f t="shared" si="124"/>
        <v>1.7756619535630818</v>
      </c>
      <c r="AL141" s="31">
        <f t="shared" si="125"/>
        <v>0.97594848482980667</v>
      </c>
      <c r="AM141" s="31" t="str">
        <f t="shared" si="106"/>
        <v>1+7.32414853352485i</v>
      </c>
      <c r="AN141" s="31">
        <f t="shared" si="126"/>
        <v>7.3921006311558157</v>
      </c>
      <c r="AO141" s="31">
        <f t="shared" si="127"/>
        <v>1.435100732553876</v>
      </c>
      <c r="AP141" s="31" t="str">
        <f t="shared" si="107"/>
        <v>1+0.281698020520187i</v>
      </c>
      <c r="AQ141" s="31">
        <f t="shared" si="128"/>
        <v>1.0389195227566916</v>
      </c>
      <c r="AR141" s="31">
        <f t="shared" si="129"/>
        <v>0.27458258181833833</v>
      </c>
      <c r="AS141" s="58" t="str">
        <f t="shared" si="130"/>
        <v>-4.10433547893047+4.55194615714934i</v>
      </c>
      <c r="AT141" s="49">
        <f t="shared" si="131"/>
        <v>15.747924517161216</v>
      </c>
      <c r="AU141" s="61">
        <f t="shared" si="132"/>
        <v>132.03990901453082</v>
      </c>
      <c r="AV141" s="58" t="str">
        <f t="shared" si="108"/>
        <v>25.2731431698233+22.0558005033862i</v>
      </c>
      <c r="AW141" s="64">
        <f t="shared" si="133"/>
        <v>30.512259029538193</v>
      </c>
      <c r="AX141" s="61">
        <f t="shared" si="134"/>
        <v>41.111111344143133</v>
      </c>
    </row>
    <row r="142" spans="14:50" x14ac:dyDescent="0.25">
      <c r="N142" s="10">
        <v>24</v>
      </c>
      <c r="O142" s="50">
        <f t="shared" si="135"/>
        <v>173.78008287493768</v>
      </c>
      <c r="P142" s="48" t="str">
        <f t="shared" si="99"/>
        <v>304.285714285714</v>
      </c>
      <c r="Q142" s="17" t="str">
        <f t="shared" si="100"/>
        <v>1+56.856400415628i</v>
      </c>
      <c r="R142" s="17">
        <f t="shared" si="110"/>
        <v>56.865193820317046</v>
      </c>
      <c r="S142" s="17">
        <f t="shared" si="111"/>
        <v>1.5532099706897284</v>
      </c>
      <c r="T142" s="17" t="str">
        <f t="shared" si="101"/>
        <v>1+0.00117924386047228i</v>
      </c>
      <c r="U142" s="17">
        <f t="shared" si="112"/>
        <v>1.0000006953077996</v>
      </c>
      <c r="V142" s="17">
        <f t="shared" si="113"/>
        <v>1.1792433138475768E-3</v>
      </c>
      <c r="W142" s="31" t="str">
        <f t="shared" si="102"/>
        <v>1-0.00368513706397588i</v>
      </c>
      <c r="X142" s="17">
        <f t="shared" si="114"/>
        <v>1.0000067900945375</v>
      </c>
      <c r="Y142" s="17">
        <f t="shared" si="115"/>
        <v>-3.6851203824358031E-3</v>
      </c>
      <c r="Z142" s="31" t="str">
        <f t="shared" si="103"/>
        <v>0.999998103812452+0.0325082491601522i</v>
      </c>
      <c r="AA142" s="17">
        <f t="shared" si="116"/>
        <v>1.0005263584193862</v>
      </c>
      <c r="AB142" s="17">
        <f t="shared" si="117"/>
        <v>3.2496866568760122E-2</v>
      </c>
      <c r="AC142" s="66" t="str">
        <f t="shared" si="118"/>
        <v>-0.0931420687607523-5.34741494391015i</v>
      </c>
      <c r="AD142" s="64">
        <f t="shared" si="119"/>
        <v>14.56419512249936</v>
      </c>
      <c r="AE142" s="61">
        <f t="shared" si="120"/>
        <v>-90.997885499958187</v>
      </c>
      <c r="AF142" s="31" t="str">
        <f t="shared" si="104"/>
        <v>-1512.12121212121</v>
      </c>
      <c r="AG142" s="31" t="str">
        <f t="shared" si="121"/>
        <v>1091.89246340026i</v>
      </c>
      <c r="AH142" s="31">
        <f t="shared" si="122"/>
        <v>1091.8924634002601</v>
      </c>
      <c r="AI142" s="31">
        <f t="shared" si="123"/>
        <v>1.5707963267948966</v>
      </c>
      <c r="AJ142" s="31" t="str">
        <f t="shared" si="105"/>
        <v>0.994817036515868+1.50491934985329i</v>
      </c>
      <c r="AK142" s="31">
        <f t="shared" si="124"/>
        <v>1.804007534824914</v>
      </c>
      <c r="AL142" s="31">
        <f t="shared" si="125"/>
        <v>0.98669684912886535</v>
      </c>
      <c r="AM142" s="31" t="str">
        <f t="shared" si="106"/>
        <v>1+7.49474986877937i</v>
      </c>
      <c r="AN142" s="31">
        <f t="shared" si="126"/>
        <v>7.5611689305006529</v>
      </c>
      <c r="AO142" s="31">
        <f t="shared" si="127"/>
        <v>1.4381530260322042</v>
      </c>
      <c r="AP142" s="31" t="str">
        <f t="shared" si="107"/>
        <v>1+0.288259610337669i</v>
      </c>
      <c r="AQ142" s="31">
        <f t="shared" si="128"/>
        <v>1.0407178306111724</v>
      </c>
      <c r="AR142" s="31">
        <f t="shared" si="129"/>
        <v>0.28065129819460211</v>
      </c>
      <c r="AS142" s="58" t="str">
        <f t="shared" si="130"/>
        <v>-4.03786542720783+4.49290700030822i</v>
      </c>
      <c r="AT142" s="49">
        <f t="shared" si="131"/>
        <v>15.621806535118477</v>
      </c>
      <c r="AU142" s="61">
        <f t="shared" si="132"/>
        <v>131.94666847309102</v>
      </c>
      <c r="AV142" s="58" t="str">
        <f t="shared" si="108"/>
        <v>24.4015331743144+21.1736632741909i</v>
      </c>
      <c r="AW142" s="64">
        <f t="shared" si="133"/>
        <v>30.18600165761784</v>
      </c>
      <c r="AX142" s="61">
        <f t="shared" si="134"/>
        <v>40.948782973132758</v>
      </c>
    </row>
    <row r="143" spans="14:50" x14ac:dyDescent="0.25">
      <c r="N143" s="10">
        <v>25</v>
      </c>
      <c r="O143" s="50">
        <f t="shared" si="135"/>
        <v>177.82794100389242</v>
      </c>
      <c r="P143" s="48" t="str">
        <f t="shared" si="99"/>
        <v>304.285714285714</v>
      </c>
      <c r="Q143" s="17" t="str">
        <f t="shared" si="100"/>
        <v>1+58.1807561116209i</v>
      </c>
      <c r="R143" s="17">
        <f t="shared" si="110"/>
        <v>58.189349383885641</v>
      </c>
      <c r="S143" s="17">
        <f t="shared" si="111"/>
        <v>1.5536102052896088</v>
      </c>
      <c r="T143" s="17" t="str">
        <f t="shared" si="101"/>
        <v>1+0.00120671197861139i</v>
      </c>
      <c r="U143" s="17">
        <f t="shared" si="112"/>
        <v>1.0000007280766345</v>
      </c>
      <c r="V143" s="17">
        <f t="shared" si="113"/>
        <v>1.206711392892491E-3</v>
      </c>
      <c r="W143" s="31" t="str">
        <f t="shared" si="102"/>
        <v>1-0.00377097493316061i</v>
      </c>
      <c r="X143" s="17">
        <f t="shared" si="114"/>
        <v>1.0000071101006964</v>
      </c>
      <c r="Y143" s="17">
        <f t="shared" si="115"/>
        <v>-3.7709570585752403E-3</v>
      </c>
      <c r="Z143" s="31" t="str">
        <f t="shared" si="103"/>
        <v>0.999998014447887+0.0332654635569006i</v>
      </c>
      <c r="AA143" s="17">
        <f t="shared" si="116"/>
        <v>1.0005511580950632</v>
      </c>
      <c r="AB143" s="17">
        <f t="shared" si="117"/>
        <v>3.3253267253313339E-2</v>
      </c>
      <c r="AC143" s="66" t="str">
        <f t="shared" si="118"/>
        <v>-0.0973693633894673-5.22548715759138i</v>
      </c>
      <c r="AD143" s="64">
        <f t="shared" si="119"/>
        <v>14.364043342888753</v>
      </c>
      <c r="AE143" s="61">
        <f t="shared" si="120"/>
        <v>-91.067500094461764</v>
      </c>
      <c r="AF143" s="31" t="str">
        <f t="shared" si="104"/>
        <v>-1512.12121212121</v>
      </c>
      <c r="AG143" s="31" t="str">
        <f t="shared" si="121"/>
        <v>1117.32590612166i</v>
      </c>
      <c r="AH143" s="31">
        <f t="shared" si="122"/>
        <v>1117.32590612166</v>
      </c>
      <c r="AI143" s="31">
        <f t="shared" si="123"/>
        <v>1.5707963267948966</v>
      </c>
      <c r="AJ143" s="31" t="str">
        <f t="shared" si="105"/>
        <v>0.994572770972259+1.53997342465258i</v>
      </c>
      <c r="AK143" s="31">
        <f t="shared" si="124"/>
        <v>1.833219339139655</v>
      </c>
      <c r="AL143" s="31">
        <f t="shared" si="125"/>
        <v>0.9973527759051205</v>
      </c>
      <c r="AM143" s="31" t="str">
        <f t="shared" si="106"/>
        <v>1+7.66932501961906i</v>
      </c>
      <c r="AN143" s="31">
        <f t="shared" si="126"/>
        <v>7.734245034685344</v>
      </c>
      <c r="AO143" s="31">
        <f t="shared" si="127"/>
        <v>1.4411382450706909</v>
      </c>
      <c r="AP143" s="31" t="str">
        <f t="shared" si="107"/>
        <v>1+0.294974039216118i</v>
      </c>
      <c r="AQ143" s="31">
        <f t="shared" si="128"/>
        <v>1.0425975656078772</v>
      </c>
      <c r="AR143" s="31">
        <f t="shared" si="129"/>
        <v>0.2868394669378434</v>
      </c>
      <c r="AS143" s="58" t="str">
        <f t="shared" si="130"/>
        <v>-3.97256460233338+4.4334501532916i</v>
      </c>
      <c r="AT143" s="49">
        <f t="shared" si="131"/>
        <v>15.494538820434723</v>
      </c>
      <c r="AU143" s="61">
        <f t="shared" si="132"/>
        <v>131.86172524574101</v>
      </c>
      <c r="AV143" s="58" t="str">
        <f t="shared" si="108"/>
        <v>23.5537429261995+20.3269030931502i</v>
      </c>
      <c r="AW143" s="64">
        <f t="shared" si="133"/>
        <v>29.858582163323462</v>
      </c>
      <c r="AX143" s="61">
        <f t="shared" si="134"/>
        <v>40.794225151279242</v>
      </c>
    </row>
    <row r="144" spans="14:50" x14ac:dyDescent="0.25">
      <c r="N144" s="10">
        <v>26</v>
      </c>
      <c r="O144" s="50">
        <f t="shared" si="135"/>
        <v>181.9700858609983</v>
      </c>
      <c r="P144" s="48" t="str">
        <f t="shared" si="99"/>
        <v>304.285714285714</v>
      </c>
      <c r="Q144" s="17" t="str">
        <f t="shared" si="100"/>
        <v>1+59.5359600146168i</v>
      </c>
      <c r="R144" s="17">
        <f t="shared" si="110"/>
        <v>59.544357708031832</v>
      </c>
      <c r="S144" s="17">
        <f t="shared" si="111"/>
        <v>1.5540013347587021</v>
      </c>
      <c r="T144" s="17" t="str">
        <f t="shared" si="101"/>
        <v>1+0.00123481991141427i</v>
      </c>
      <c r="U144" s="17">
        <f t="shared" si="112"/>
        <v>1.0000007623898162</v>
      </c>
      <c r="V144" s="17">
        <f t="shared" si="113"/>
        <v>1.2348192838051882E-3</v>
      </c>
      <c r="W144" s="31" t="str">
        <f t="shared" si="102"/>
        <v>1-0.00385881222316961i</v>
      </c>
      <c r="X144" s="17">
        <f t="shared" si="114"/>
        <v>1.0000074451881713</v>
      </c>
      <c r="Y144" s="17">
        <f t="shared" si="115"/>
        <v>-3.8587930702140148E-3</v>
      </c>
      <c r="Z144" s="31" t="str">
        <f t="shared" si="103"/>
        <v>0.999997920871698+0.0340403157427469i</v>
      </c>
      <c r="AA144" s="17">
        <f t="shared" si="116"/>
        <v>1.000577125884649</v>
      </c>
      <c r="AB144" s="17">
        <f t="shared" si="117"/>
        <v>3.4027247575076469E-2</v>
      </c>
      <c r="AC144" s="66" t="str">
        <f t="shared" si="118"/>
        <v>-0.101405657207479-5.1063234681644i</v>
      </c>
      <c r="AD144" s="64">
        <f t="shared" si="119"/>
        <v>14.163878852958696</v>
      </c>
      <c r="AE144" s="61">
        <f t="shared" si="120"/>
        <v>-91.137678137383048</v>
      </c>
      <c r="AF144" s="31" t="str">
        <f t="shared" si="104"/>
        <v>-1512.12121212121</v>
      </c>
      <c r="AG144" s="31" t="str">
        <f t="shared" si="121"/>
        <v>1143.35176982803i</v>
      </c>
      <c r="AH144" s="31">
        <f t="shared" si="122"/>
        <v>1143.35176982803</v>
      </c>
      <c r="AI144" s="31">
        <f t="shared" si="123"/>
        <v>1.5707963267948966</v>
      </c>
      <c r="AJ144" s="31" t="str">
        <f t="shared" si="105"/>
        <v>0.994316993548242+1.57584401374557i</v>
      </c>
      <c r="AK144" s="31">
        <f t="shared" si="124"/>
        <v>1.8633171064841763</v>
      </c>
      <c r="AL144" s="31">
        <f t="shared" si="125"/>
        <v>1.0079124526528784</v>
      </c>
      <c r="AM144" s="31" t="str">
        <f t="shared" si="106"/>
        <v>1+7.84796654809958i</v>
      </c>
      <c r="AN144" s="31">
        <f t="shared" si="126"/>
        <v>7.9114207914944101</v>
      </c>
      <c r="AO144" s="31">
        <f t="shared" si="127"/>
        <v>1.4440577595361901</v>
      </c>
      <c r="AP144" s="31" t="str">
        <f t="shared" si="107"/>
        <v>1+0.3018448672346i</v>
      </c>
      <c r="AQ144" s="31">
        <f t="shared" si="128"/>
        <v>1.044562264240803</v>
      </c>
      <c r="AR144" s="31">
        <f t="shared" si="129"/>
        <v>0.29314847264139926</v>
      </c>
      <c r="AS144" s="58" t="str">
        <f t="shared" si="130"/>
        <v>-3.90846980023318+4.37361946914804i</v>
      </c>
      <c r="AT144" s="49">
        <f t="shared" si="131"/>
        <v>15.36617566228712</v>
      </c>
      <c r="AU144" s="61">
        <f t="shared" si="132"/>
        <v>131.78545559191039</v>
      </c>
      <c r="AV144" s="58" t="str">
        <f t="shared" si="108"/>
        <v>22.7294566848996+19.5144013088981i</v>
      </c>
      <c r="AW144" s="64">
        <f t="shared" si="133"/>
        <v>29.530054515245816</v>
      </c>
      <c r="AX144" s="61">
        <f t="shared" si="134"/>
        <v>40.647777454527308</v>
      </c>
    </row>
    <row r="145" spans="14:50" x14ac:dyDescent="0.25">
      <c r="N145" s="10">
        <v>27</v>
      </c>
      <c r="O145" s="50">
        <f t="shared" si="135"/>
        <v>186.20871366628685</v>
      </c>
      <c r="P145" s="48" t="str">
        <f t="shared" si="99"/>
        <v>304.285714285714</v>
      </c>
      <c r="Q145" s="17" t="str">
        <f t="shared" si="100"/>
        <v>1+60.9227306716646i</v>
      </c>
      <c r="R145" s="17">
        <f t="shared" si="110"/>
        <v>60.930937236285672</v>
      </c>
      <c r="S145" s="17">
        <f t="shared" si="111"/>
        <v>1.5543835660000684</v>
      </c>
      <c r="T145" s="17" t="str">
        <f t="shared" si="101"/>
        <v>1+0.00126358256207897i</v>
      </c>
      <c r="U145" s="17">
        <f t="shared" si="112"/>
        <v>1.0000007983201269</v>
      </c>
      <c r="V145" s="17">
        <f t="shared" si="113"/>
        <v>1.2635818895837517E-3</v>
      </c>
      <c r="W145" s="31" t="str">
        <f t="shared" si="102"/>
        <v>1-0.00394869550649677i</v>
      </c>
      <c r="X145" s="17">
        <f t="shared" si="114"/>
        <v>1.0000077960677123</v>
      </c>
      <c r="Y145" s="17">
        <f t="shared" si="115"/>
        <v>-3.9486749837437394E-3</v>
      </c>
      <c r="Z145" s="31" t="str">
        <f t="shared" si="103"/>
        <v>0.9999978228854+0.0348332165545771i</v>
      </c>
      <c r="AA145" s="17">
        <f t="shared" si="116"/>
        <v>1.0006043167761558</v>
      </c>
      <c r="AB145" s="17">
        <f t="shared" si="117"/>
        <v>3.4819214217346073E-2</v>
      </c>
      <c r="AC145" s="66" t="str">
        <f t="shared" si="118"/>
        <v>-0.105259497002524-4.98986113276775i</v>
      </c>
      <c r="AD145" s="64">
        <f t="shared" si="119"/>
        <v>13.963701305314453</v>
      </c>
      <c r="AE145" s="61">
        <f t="shared" si="120"/>
        <v>-91.208456598809491</v>
      </c>
      <c r="AF145" s="31" t="str">
        <f t="shared" si="104"/>
        <v>-1512.12121212121</v>
      </c>
      <c r="AG145" s="31" t="str">
        <f t="shared" si="121"/>
        <v>1169.98385377682i</v>
      </c>
      <c r="AH145" s="31">
        <f t="shared" si="122"/>
        <v>1169.9838537768201</v>
      </c>
      <c r="AI145" s="31">
        <f t="shared" si="123"/>
        <v>1.5707963267948966</v>
      </c>
      <c r="AJ145" s="31" t="str">
        <f t="shared" si="105"/>
        <v>0.994049161705607+1.61255013619342i</v>
      </c>
      <c r="AK145" s="31">
        <f t="shared" si="124"/>
        <v>1.8943209014380422</v>
      </c>
      <c r="AL145" s="31">
        <f t="shared" si="125"/>
        <v>1.0183722766872378</v>
      </c>
      <c r="AM145" s="31" t="str">
        <f t="shared" si="106"/>
        <v>1+8.03076917232407i</v>
      </c>
      <c r="AN145" s="31">
        <f t="shared" si="126"/>
        <v>8.092790217171741</v>
      </c>
      <c r="AO145" s="31">
        <f t="shared" si="127"/>
        <v>1.4469129182106759</v>
      </c>
      <c r="AP145" s="31" t="str">
        <f t="shared" si="107"/>
        <v>1+0.30887573739708i</v>
      </c>
      <c r="AQ145" s="31">
        <f t="shared" si="128"/>
        <v>1.0466156033389669</v>
      </c>
      <c r="AR145" s="31">
        <f t="shared" si="129"/>
        <v>0.299579650702815</v>
      </c>
      <c r="AS145" s="58" t="str">
        <f t="shared" si="130"/>
        <v>-3.84561396175293+4.31346009587994i</v>
      </c>
      <c r="AT145" s="49">
        <f t="shared" si="131"/>
        <v>15.236773479163553</v>
      </c>
      <c r="AU145" s="61">
        <f t="shared" si="132"/>
        <v>131.71821972239644</v>
      </c>
      <c r="AV145" s="58" t="str">
        <f t="shared" si="108"/>
        <v>21.928354271456+18.7350469993472i</v>
      </c>
      <c r="AW145" s="64">
        <f t="shared" si="133"/>
        <v>29.200474784478022</v>
      </c>
      <c r="AX145" s="61">
        <f t="shared" si="134"/>
        <v>40.509763123586943</v>
      </c>
    </row>
    <row r="146" spans="14:50" x14ac:dyDescent="0.25">
      <c r="N146" s="10">
        <v>28</v>
      </c>
      <c r="O146" s="50">
        <f t="shared" si="135"/>
        <v>190.54607179632498</v>
      </c>
      <c r="P146" s="48" t="str">
        <f t="shared" si="99"/>
        <v>304.285714285714</v>
      </c>
      <c r="Q146" s="17" t="str">
        <f t="shared" si="100"/>
        <v>1+62.3418033669226i</v>
      </c>
      <c r="R146" s="17">
        <f t="shared" si="110"/>
        <v>62.349823151634048</v>
      </c>
      <c r="S146" s="17">
        <f t="shared" si="111"/>
        <v>1.5547571012307613</v>
      </c>
      <c r="T146" s="17" t="str">
        <f t="shared" si="101"/>
        <v>1+0.00129301518094358i</v>
      </c>
      <c r="U146" s="17">
        <f t="shared" si="112"/>
        <v>1.0000008359437795</v>
      </c>
      <c r="V146" s="17">
        <f t="shared" si="113"/>
        <v>1.2930144603520034E-3</v>
      </c>
      <c r="W146" s="31" t="str">
        <f t="shared" si="102"/>
        <v>1-0.00404067244044868i</v>
      </c>
      <c r="X146" s="17">
        <f t="shared" si="114"/>
        <v>1.0000081634835642</v>
      </c>
      <c r="Y146" s="17">
        <f t="shared" si="115"/>
        <v>-4.0406504499323056E-3</v>
      </c>
      <c r="Z146" s="31" t="str">
        <f t="shared" si="103"/>
        <v>0.99999772028115+0.035644586398897i</v>
      </c>
      <c r="AA146" s="17">
        <f t="shared" si="116"/>
        <v>1.0006327883429791</v>
      </c>
      <c r="AB146" s="17">
        <f t="shared" si="117"/>
        <v>3.5629583136633981E-2</v>
      </c>
      <c r="AC146" s="66" t="str">
        <f t="shared" si="118"/>
        <v>-0.108939043874084-4.87603881182345i</v>
      </c>
      <c r="AD146" s="64">
        <f t="shared" si="119"/>
        <v>13.763510325029449</v>
      </c>
      <c r="AE146" s="61">
        <f t="shared" si="120"/>
        <v>-91.279872753897521</v>
      </c>
      <c r="AF146" s="31" t="str">
        <f t="shared" si="104"/>
        <v>-1512.12121212121</v>
      </c>
      <c r="AG146" s="31" t="str">
        <f t="shared" si="121"/>
        <v>1197.23627865146i</v>
      </c>
      <c r="AH146" s="31">
        <f t="shared" si="122"/>
        <v>1197.23627865146</v>
      </c>
      <c r="AI146" s="31">
        <f t="shared" si="123"/>
        <v>1.5707963267948966</v>
      </c>
      <c r="AJ146" s="31" t="str">
        <f t="shared" si="105"/>
        <v>0.993768707337107+1.65011125406811i</v>
      </c>
      <c r="AK146" s="31">
        <f t="shared" si="124"/>
        <v>1.9262511244603324</v>
      </c>
      <c r="AL146" s="31">
        <f t="shared" si="125"/>
        <v>1.028728857819005</v>
      </c>
      <c r="AM146" s="31" t="str">
        <f t="shared" si="106"/>
        <v>1+8.2178298166636i</v>
      </c>
      <c r="AN146" s="31">
        <f t="shared" si="126"/>
        <v>8.27844954660263</v>
      </c>
      <c r="AO146" s="31">
        <f t="shared" si="127"/>
        <v>1.44970504863724</v>
      </c>
      <c r="AP146" s="31" t="str">
        <f t="shared" si="107"/>
        <v>1+0.316070377563985i</v>
      </c>
      <c r="AQ146" s="31">
        <f t="shared" si="128"/>
        <v>1.0487614045022062</v>
      </c>
      <c r="AR146" s="31">
        <f t="shared" si="129"/>
        <v>0.3061342822848524</v>
      </c>
      <c r="AS146" s="58" t="str">
        <f t="shared" si="130"/>
        <v>-3.78402619169213+4.25301819234947i</v>
      </c>
      <c r="AT146" s="49">
        <f t="shared" si="131"/>
        <v>15.106390698652593</v>
      </c>
      <c r="AU146" s="61">
        <f t="shared" si="132"/>
        <v>131.66036134856748</v>
      </c>
      <c r="AV146" s="58" t="str">
        <f t="shared" si="108"/>
        <v>21.1501099686047+17.9877388401937i</v>
      </c>
      <c r="AW146" s="64">
        <f t="shared" si="133"/>
        <v>28.869901023682058</v>
      </c>
      <c r="AX146" s="61">
        <f t="shared" si="134"/>
        <v>40.380488594669949</v>
      </c>
    </row>
    <row r="147" spans="14:50" x14ac:dyDescent="0.25">
      <c r="N147" s="10">
        <v>29</v>
      </c>
      <c r="O147" s="50">
        <f t="shared" si="135"/>
        <v>194.98445997580458</v>
      </c>
      <c r="P147" s="48" t="str">
        <f t="shared" ref="P147:P210" si="136">COMPLEX(Adc,0)</f>
        <v>304.285714285714</v>
      </c>
      <c r="Q147" s="17" t="str">
        <f t="shared" ref="Q147:Q210" si="137">IMSUM(COMPLEX(1,0),IMDIV(COMPLEX(0,2*PI()*O147),COMPLEX(wp_lf,0)))</f>
        <v>1+63.7939305115162i</v>
      </c>
      <c r="R147" s="17">
        <f t="shared" si="110"/>
        <v>63.80176776632571</v>
      </c>
      <c r="S147" s="17">
        <f t="shared" si="111"/>
        <v>1.5551221380869138</v>
      </c>
      <c r="T147" s="17" t="str">
        <f t="shared" ref="T147:T210" si="138">IMSUM(COMPLEX(1,0),IMDIV(COMPLEX(0,2*PI()*O147),COMPLEX(wz_esr,0)))</f>
        <v>1+0.00132313337357219i</v>
      </c>
      <c r="U147" s="17">
        <f t="shared" si="112"/>
        <v>1.0000008753405791</v>
      </c>
      <c r="V147" s="17">
        <f t="shared" si="113"/>
        <v>1.323132601444441E-3</v>
      </c>
      <c r="W147" s="31" t="str">
        <f t="shared" ref="W147:W210" si="139">IMSUB(COMPLEX(1,0),IMDIV(COMPLEX(0,2*PI()*O147),COMPLEX(wz_rhp,0)))</f>
        <v>1-0.00413479179241308i</v>
      </c>
      <c r="X147" s="17">
        <f t="shared" si="114"/>
        <v>1.0000085482150474</v>
      </c>
      <c r="Y147" s="17">
        <f t="shared" si="115"/>
        <v>-4.1347682291611315E-3</v>
      </c>
      <c r="Z147" s="31" t="str">
        <f t="shared" ref="Z147:Z210" si="140">IMSUM(COMPLEX(1,0),IMDIV(COMPLEX(0,2*PI()*O147),COMPLEX(Q*(wsl/2),0)),IMDIV(IMPOWER(COMPLEX(0,2*PI()*O147),2),IMPOWER(COMPLEX(wsl/2,0),2)))</f>
        <v>0.999997612841311+0.036474855474737i</v>
      </c>
      <c r="AA147" s="17">
        <f t="shared" si="116"/>
        <v>1.0006626008651585</v>
      </c>
      <c r="AB147" s="17">
        <f t="shared" si="117"/>
        <v>3.6458779764453317E-2</v>
      </c>
      <c r="AC147" s="66" t="str">
        <f t="shared" si="118"/>
        <v>-0.112452090430474-4.76479653846752i</v>
      </c>
      <c r="AD147" s="64">
        <f t="shared" si="119"/>
        <v>13.563305508863985</v>
      </c>
      <c r="AE147" s="61">
        <f t="shared" si="120"/>
        <v>-91.351964201437895</v>
      </c>
      <c r="AF147" s="31" t="str">
        <f t="shared" ref="AF147:AF210" si="141">COMPLEX(Adc_ea_iso,0)</f>
        <v>-1512.12121212121</v>
      </c>
      <c r="AG147" s="31" t="str">
        <f t="shared" si="121"/>
        <v>1225.12349404832i</v>
      </c>
      <c r="AH147" s="31">
        <f t="shared" si="122"/>
        <v>1225.12349404832</v>
      </c>
      <c r="AI147" s="31">
        <f t="shared" si="123"/>
        <v>1.5707963267948966</v>
      </c>
      <c r="AJ147" s="31" t="str">
        <f t="shared" ref="AJ147:AJ210" si="142">IMSUM(IMPRODUCT(COMPLEX(wpA_ea_iso,0),IMPOWER(COMPLEX(0,2*PI()*O147),2)),COMPLEX(0,wpB_ea_iso*2*PI()*O147),COMPLEX(1,0))</f>
        <v>0.993475035561424+1.6885472827715i</v>
      </c>
      <c r="AK147" s="31">
        <f t="shared" si="124"/>
        <v>1.9591285237162945</v>
      </c>
      <c r="AL147" s="31">
        <f t="shared" si="125"/>
        <v>1.0389790201010842</v>
      </c>
      <c r="AM147" s="31" t="str">
        <f t="shared" ref="AM147:AM210" si="143">IMSUM(COMPLEX(1,0),IMDIV(COMPLEX(0,2*PI()*O147),COMPLEX(wz1_ea_iso,0)))</f>
        <v>1+8.40924766314765i</v>
      </c>
      <c r="AN147" s="31">
        <f t="shared" si="126"/>
        <v>8.4684972846517574</v>
      </c>
      <c r="AO147" s="31">
        <f t="shared" si="127"/>
        <v>1.452435457007722</v>
      </c>
      <c r="AP147" s="31" t="str">
        <f t="shared" ref="AP147:AP210" si="144">IMSUM(COMPLEX(1,0),IMDIV(COMPLEX(0,2*PI()*O147),COMPLEX(wz2_ea_iso,0)))</f>
        <v>1+0.323432602428756i</v>
      </c>
      <c r="AQ147" s="31">
        <f t="shared" si="128"/>
        <v>1.0510036385825874</v>
      </c>
      <c r="AR147" s="31">
        <f t="shared" si="129"/>
        <v>0.31281358906661544</v>
      </c>
      <c r="AS147" s="58" t="str">
        <f t="shared" si="130"/>
        <v>-3.72373179917659+4.19234065318724i</v>
      </c>
      <c r="AT147" s="49">
        <f t="shared" si="131"/>
        <v>14.975087636601979</v>
      </c>
      <c r="AU147" s="61">
        <f t="shared" si="132"/>
        <v>131.61220727512398</v>
      </c>
      <c r="AV147" s="58" t="str">
        <f t="shared" ref="AV147:AV210" si="145">IMPRODUCT(AC147,AS147)</f>
        <v>20.3943916574031+17.2713869166505i</v>
      </c>
      <c r="AW147" s="64">
        <f t="shared" si="133"/>
        <v>28.538393145465978</v>
      </c>
      <c r="AX147" s="61">
        <f t="shared" si="134"/>
        <v>40.260243073686034</v>
      </c>
    </row>
    <row r="148" spans="14:50" x14ac:dyDescent="0.25">
      <c r="N148" s="10">
        <v>30</v>
      </c>
      <c r="O148" s="50">
        <f t="shared" si="135"/>
        <v>199.52623149688802</v>
      </c>
      <c r="P148" s="48" t="str">
        <f t="shared" si="136"/>
        <v>304.285714285714</v>
      </c>
      <c r="Q148" s="17" t="str">
        <f t="shared" si="137"/>
        <v>1+65.2798820424801i</v>
      </c>
      <c r="R148" s="17">
        <f t="shared" ref="R148:R211" si="146">IMABS(Q148)</f>
        <v>65.287540920761572</v>
      </c>
      <c r="S148" s="17">
        <f t="shared" ref="S148:S211" si="147">IMARGUMENT(Q148)</f>
        <v>1.5554788697265414</v>
      </c>
      <c r="T148" s="17" t="str">
        <f t="shared" si="138"/>
        <v>1+0.00135395310902921i</v>
      </c>
      <c r="U148" s="17">
        <f t="shared" ref="U148:U211" si="148">IMABS(T148)</f>
        <v>1.0000009165940906</v>
      </c>
      <c r="V148" s="17">
        <f t="shared" ref="V148:V211" si="149">IMARGUMENT(T148)</f>
        <v>1.3539522816794615E-3</v>
      </c>
      <c r="W148" s="31" t="str">
        <f t="shared" si="139"/>
        <v>1-0.00423110346571629i</v>
      </c>
      <c r="X148" s="17">
        <f t="shared" ref="X148:X211" si="150">IMABS(W148)</f>
        <v>1.000008951078208</v>
      </c>
      <c r="Y148" s="17">
        <f t="shared" ref="Y148:Y211" si="151">IMARGUMENT(W148)</f>
        <v>-4.2310782172491389E-3</v>
      </c>
      <c r="Z148" s="31" t="str">
        <f t="shared" si="140"/>
        <v>0.999997500337988+0.0373244640017517i</v>
      </c>
      <c r="AA148" s="17">
        <f t="shared" ref="AA148:AA211" si="152">IMABS(Z148)</f>
        <v>1.0006938174562898</v>
      </c>
      <c r="AB148" s="17">
        <f t="shared" ref="AB148:AB211" si="153">IMARGUMENT(Z148)</f>
        <v>3.7307239212798909E-2</v>
      </c>
      <c r="AC148" s="66" t="str">
        <f t="shared" ref="AC148:AC211" si="154">(IMDIV(IMPRODUCT(P148,T148,W148),IMPRODUCT(Q148,Z148)))</f>
        <v>-0.115806077214551-4.65607568857958i</v>
      </c>
      <c r="AD148" s="64">
        <f t="shared" ref="AD148:AD211" si="155">20*LOG(IMABS(AC148))</f>
        <v>13.363086424425216</v>
      </c>
      <c r="AE148" s="61">
        <f t="shared" ref="AE148:AE211" si="156">(180/PI())*IMARGUMENT(AC148)</f>
        <v>-91.424768882524518</v>
      </c>
      <c r="AF148" s="31" t="str">
        <f t="shared" si="141"/>
        <v>-1512.12121212121</v>
      </c>
      <c r="AG148" s="31" t="str">
        <f t="shared" ref="AG148:AG211" si="157">COMPLEX(0,1*2*PI()*O148)</f>
        <v>1253.66028613816i</v>
      </c>
      <c r="AH148" s="31">
        <f t="shared" ref="AH148:AH211" si="158">IMABS(AG148)</f>
        <v>1253.66028613816</v>
      </c>
      <c r="AI148" s="31">
        <f t="shared" ref="AI148:AI211" si="159">IMARGUMENT(AG148)</f>
        <v>1.5707963267948966</v>
      </c>
      <c r="AJ148" s="31" t="str">
        <f t="shared" si="142"/>
        <v>0.993167523461351+1.72787860159478i</v>
      </c>
      <c r="AK148" s="31">
        <f t="shared" ref="AK148:AK211" si="160">IMABS(AJ148)</f>
        <v>1.9929742074365855</v>
      </c>
      <c r="AL148" s="31">
        <f t="shared" ref="AL148:AL211" si="161">IMARGUMENT(AJ148)</f>
        <v>1.0491198026794195</v>
      </c>
      <c r="AM148" s="31" t="str">
        <f t="shared" si="143"/>
        <v>1+8.60512420405231i</v>
      </c>
      <c r="AN148" s="31">
        <f t="shared" ref="AN148:AN211" si="162">IMABS(AM148)</f>
        <v>8.6630342586859772</v>
      </c>
      <c r="AO148" s="31">
        <f t="shared" ref="AO148:AO211" si="163">IMARGUMENT(AM148)</f>
        <v>1.4551054280889126</v>
      </c>
      <c r="AP148" s="31" t="str">
        <f t="shared" si="144"/>
        <v>1+0.330966315540474i</v>
      </c>
      <c r="AQ148" s="31">
        <f t="shared" ref="AQ148:AQ211" si="164">IMABS(AP148)</f>
        <v>1.0533464302034903</v>
      </c>
      <c r="AR148" s="31">
        <f t="shared" ref="AR148:AR211" si="165">IMARGUMENT(AP148)</f>
        <v>0.31961872778882106</v>
      </c>
      <c r="AS148" s="58" t="str">
        <f t="shared" ref="AS148:AS211" si="166">IMDIV(IMPRODUCT(AF148,AM148,AP148),IMPRODUCT(AG148,AJ148))</f>
        <v>-3.66475235788691+4.13147484437245i</v>
      </c>
      <c r="AT148" s="49">
        <f t="shared" ref="AT148:AT211" si="167">20*LOG(IMABS(AS148))</f>
        <v>14.842926376069448</v>
      </c>
      <c r="AU148" s="61">
        <f t="shared" ref="AU148:AU211" si="168">(180/PI())*IMARGUMENT(AS148)</f>
        <v>131.57406703458315</v>
      </c>
      <c r="AV148" s="58" t="str">
        <f t="shared" si="145"/>
        <v>19.6608601753903+16.5849144633846i</v>
      </c>
      <c r="AW148" s="64">
        <f t="shared" ref="AW148:AW211" si="169">20*LOG(IMABS(AV148))</f>
        <v>28.206012800494666</v>
      </c>
      <c r="AX148" s="61">
        <f t="shared" ref="AX148:AX211" si="170">(180/PI())*IMARGUMENT(AV148)</f>
        <v>40.149298152058726</v>
      </c>
    </row>
    <row r="149" spans="14:50" x14ac:dyDescent="0.25">
      <c r="N149" s="10">
        <v>31</v>
      </c>
      <c r="O149" s="50">
        <f t="shared" si="135"/>
        <v>204.17379446695315</v>
      </c>
      <c r="P149" s="48" t="str">
        <f t="shared" si="136"/>
        <v>304.285714285714</v>
      </c>
      <c r="Q149" s="17" t="str">
        <f t="shared" si="137"/>
        <v>1+66.8004458309839i</v>
      </c>
      <c r="R149" s="17">
        <f t="shared" si="146"/>
        <v>66.807930391669942</v>
      </c>
      <c r="S149" s="17">
        <f t="shared" si="147"/>
        <v>1.5558274849300981</v>
      </c>
      <c r="T149" s="17" t="str">
        <f t="shared" si="138"/>
        <v>1+0.00138549072834633i</v>
      </c>
      <c r="U149" s="17">
        <f t="shared" si="148"/>
        <v>1.0000009597918187</v>
      </c>
      <c r="V149" s="17">
        <f t="shared" si="149"/>
        <v>1.3854898418251484E-3</v>
      </c>
      <c r="W149" s="31" t="str">
        <f t="shared" si="139"/>
        <v>1-0.00432965852608228i</v>
      </c>
      <c r="X149" s="17">
        <f t="shared" si="150"/>
        <v>1.0000093729275503</v>
      </c>
      <c r="Y149" s="17">
        <f t="shared" si="151"/>
        <v>-4.3296314718759953E-3</v>
      </c>
      <c r="Z149" s="31" t="str">
        <f t="shared" si="140"/>
        <v>0.999997382532547+0.0381938624536277i</v>
      </c>
      <c r="AA149" s="17">
        <f t="shared" si="152"/>
        <v>1.0007265041963622</v>
      </c>
      <c r="AB149" s="17">
        <f t="shared" si="153"/>
        <v>3.8175406483328907E-2</v>
      </c>
      <c r="AC149" s="66" t="str">
        <f t="shared" si="154"/>
        <v>-0.119008108391974-4.54981895140495i</v>
      </c>
      <c r="AD149" s="64">
        <f t="shared" si="155"/>
        <v>13.162852609267922</v>
      </c>
      <c r="AE149" s="61">
        <f t="shared" si="156"/>
        <v>-91.498325099330089</v>
      </c>
      <c r="AF149" s="31" t="str">
        <f t="shared" si="141"/>
        <v>-1512.12121212121</v>
      </c>
      <c r="AG149" s="31" t="str">
        <f t="shared" si="157"/>
        <v>1282.86178550586i</v>
      </c>
      <c r="AH149" s="31">
        <f t="shared" si="158"/>
        <v>1282.8617855058601</v>
      </c>
      <c r="AI149" s="31">
        <f t="shared" si="159"/>
        <v>1.5707963267948966</v>
      </c>
      <c r="AJ149" s="31" t="str">
        <f t="shared" si="142"/>
        <v>0.992845518762492+1.76812606452381i</v>
      </c>
      <c r="AK149" s="31">
        <f t="shared" si="160"/>
        <v>2.0278096567910948</v>
      </c>
      <c r="AL149" s="31">
        <f t="shared" si="161"/>
        <v>1.0591484597869443</v>
      </c>
      <c r="AM149" s="31" t="str">
        <f t="shared" si="143"/>
        <v>1+8.8055632957122i</v>
      </c>
      <c r="AN149" s="31">
        <f t="shared" si="162"/>
        <v>8.8621636723090322</v>
      </c>
      <c r="AO149" s="31">
        <f t="shared" si="163"/>
        <v>1.4577162251844165</v>
      </c>
      <c r="AP149" s="31" t="str">
        <f t="shared" si="144"/>
        <v>1+0.338675511373547i</v>
      </c>
      <c r="AQ149" s="31">
        <f t="shared" si="164"/>
        <v>1.0557940623076707</v>
      </c>
      <c r="AR149" s="31">
        <f t="shared" si="165"/>
        <v>0.32655078459878917</v>
      </c>
      <c r="AS149" s="58" t="str">
        <f t="shared" si="166"/>
        <v>-3.60710578454219+4.07046835093928i</v>
      </c>
      <c r="AT149" s="49">
        <f t="shared" si="167"/>
        <v>14.709970646439368</v>
      </c>
      <c r="AU149" s="61">
        <f t="shared" si="168"/>
        <v>131.54623256143179</v>
      </c>
      <c r="AV149" s="58" t="str">
        <f t="shared" si="145"/>
        <v>18.9491688803857+15.9272595195178i</v>
      </c>
      <c r="AW149" s="64">
        <f t="shared" si="169"/>
        <v>27.872823255707289</v>
      </c>
      <c r="AX149" s="61">
        <f t="shared" si="170"/>
        <v>40.047907462101726</v>
      </c>
    </row>
    <row r="150" spans="14:50" x14ac:dyDescent="0.25">
      <c r="N150" s="10">
        <v>32</v>
      </c>
      <c r="O150" s="50">
        <f t="shared" si="135"/>
        <v>208.92961308540396</v>
      </c>
      <c r="P150" s="48" t="str">
        <f t="shared" si="136"/>
        <v>304.285714285714</v>
      </c>
      <c r="Q150" s="17" t="str">
        <f t="shared" si="137"/>
        <v>1+68.3564281000763i</v>
      </c>
      <c r="R150" s="17">
        <f t="shared" si="146"/>
        <v>68.363742309801182</v>
      </c>
      <c r="S150" s="17">
        <f t="shared" si="147"/>
        <v>1.5561681681988406</v>
      </c>
      <c r="T150" s="17" t="str">
        <f t="shared" si="138"/>
        <v>1+0.00141776295318676i</v>
      </c>
      <c r="U150" s="17">
        <f t="shared" si="148"/>
        <v>1.0000010050253907</v>
      </c>
      <c r="V150" s="17">
        <f t="shared" si="149"/>
        <v>1.4177620032622509E-3</v>
      </c>
      <c r="W150" s="31" t="str">
        <f t="shared" si="139"/>
        <v>1-0.00443050922870864i</v>
      </c>
      <c r="X150" s="17">
        <f t="shared" si="150"/>
        <v>1.0000098146578491</v>
      </c>
      <c r="Y150" s="17">
        <f t="shared" si="151"/>
        <v>-4.430480239619684E-3</v>
      </c>
      <c r="Z150" s="31" t="str">
        <f t="shared" si="140"/>
        <v>0.999997259175106+0.0390835117969324i</v>
      </c>
      <c r="AA150" s="17">
        <f t="shared" si="152"/>
        <v>1.0007607302707802</v>
      </c>
      <c r="AB150" s="17">
        <f t="shared" si="153"/>
        <v>3.9063736680267261E-2</v>
      </c>
      <c r="AC150" s="66" t="str">
        <f t="shared" si="154"/>
        <v>-0.122064966734538-4.44597030076053i</v>
      </c>
      <c r="AD150" s="64">
        <f t="shared" si="155"/>
        <v>12.96260356993213</v>
      </c>
      <c r="AE150" s="61">
        <f t="shared" si="156"/>
        <v>-91.572671533993045</v>
      </c>
      <c r="AF150" s="31" t="str">
        <f t="shared" si="141"/>
        <v>-1512.12121212121</v>
      </c>
      <c r="AG150" s="31" t="str">
        <f t="shared" si="157"/>
        <v>1312.74347517293i</v>
      </c>
      <c r="AH150" s="31">
        <f t="shared" si="158"/>
        <v>1312.7434751729299</v>
      </c>
      <c r="AI150" s="31">
        <f t="shared" si="159"/>
        <v>1.5707963267948966</v>
      </c>
      <c r="AJ150" s="31" t="str">
        <f t="shared" si="142"/>
        <v>0.992508338449711+1.80931101129616i</v>
      </c>
      <c r="AK150" s="31">
        <f t="shared" si="160"/>
        <v>2.0636567392591574</v>
      </c>
      <c r="AL150" s="31">
        <f t="shared" si="161"/>
        <v>1.069062459923622</v>
      </c>
      <c r="AM150" s="31" t="str">
        <f t="shared" si="143"/>
        <v>1+9.01067121358697i</v>
      </c>
      <c r="AN150" s="31">
        <f t="shared" si="162"/>
        <v>9.0659911603401042</v>
      </c>
      <c r="AO150" s="31">
        <f t="shared" si="163"/>
        <v>1.4602690901294741</v>
      </c>
      <c r="AP150" s="31" t="str">
        <f t="shared" si="144"/>
        <v>1+0.346564277445653i</v>
      </c>
      <c r="AQ150" s="31">
        <f t="shared" si="164"/>
        <v>1.0583509807249329</v>
      </c>
      <c r="AR150" s="31">
        <f t="shared" si="165"/>
        <v>0.33361076920269978</v>
      </c>
      <c r="AS150" s="58" t="str">
        <f t="shared" si="166"/>
        <v>-3.55080643395015+4.00936873804068i</v>
      </c>
      <c r="AT150" s="49">
        <f t="shared" si="167"/>
        <v>14.576285703019883</v>
      </c>
      <c r="AU150" s="61">
        <f t="shared" si="168"/>
        <v>131.52897790375803</v>
      </c>
      <c r="AV150" s="58" t="str">
        <f t="shared" si="145"/>
        <v>18.2589634033675+15.2973764874563i</v>
      </c>
      <c r="AW150" s="64">
        <f t="shared" si="169"/>
        <v>27.538889272952002</v>
      </c>
      <c r="AX150" s="61">
        <f t="shared" si="170"/>
        <v>39.956306369764896</v>
      </c>
    </row>
    <row r="151" spans="14:50" x14ac:dyDescent="0.25">
      <c r="N151" s="10">
        <v>33</v>
      </c>
      <c r="O151" s="50">
        <f t="shared" si="135"/>
        <v>213.79620895022339</v>
      </c>
      <c r="P151" s="48" t="str">
        <f t="shared" si="136"/>
        <v>304.285714285714</v>
      </c>
      <c r="Q151" s="17" t="str">
        <f t="shared" si="137"/>
        <v>1+69.9486538521511i</v>
      </c>
      <c r="R151" s="17">
        <f t="shared" si="146"/>
        <v>69.955801587345519</v>
      </c>
      <c r="S151" s="17">
        <f t="shared" si="147"/>
        <v>1.556501099851034</v>
      </c>
      <c r="T151" s="17" t="str">
        <f t="shared" si="138"/>
        <v>1+0.00145078689471128i</v>
      </c>
      <c r="U151" s="17">
        <f t="shared" si="148"/>
        <v>1.0000010523907532</v>
      </c>
      <c r="V151" s="17">
        <f t="shared" si="149"/>
        <v>1.450785876848888E-3</v>
      </c>
      <c r="W151" s="31" t="str">
        <f t="shared" si="139"/>
        <v>1-0.00453370904597275i</v>
      </c>
      <c r="X151" s="17">
        <f t="shared" si="150"/>
        <v>1.0000102772060462</v>
      </c>
      <c r="Y151" s="17">
        <f t="shared" si="151"/>
        <v>-4.5336779836215348E-3</v>
      </c>
      <c r="Z151" s="31" t="str">
        <f t="shared" si="140"/>
        <v>0.999997130004008+0.0399938837355231i</v>
      </c>
      <c r="AA151" s="17">
        <f t="shared" si="152"/>
        <v>1.0007965681158701</v>
      </c>
      <c r="AB151" s="17">
        <f t="shared" si="153"/>
        <v>3.9972695227024277E-2</v>
      </c>
      <c r="AC151" s="66" t="str">
        <f t="shared" si="154"/>
        <v>-0.124983127929607-4.34447496681804i</v>
      </c>
      <c r="AD151" s="64">
        <f t="shared" si="155"/>
        <v>12.762338780917998</v>
      </c>
      <c r="AE151" s="61">
        <f t="shared" si="156"/>
        <v>-91.647847267618459</v>
      </c>
      <c r="AF151" s="31" t="str">
        <f t="shared" si="141"/>
        <v>-1512.12121212121</v>
      </c>
      <c r="AG151" s="31" t="str">
        <f t="shared" si="157"/>
        <v>1343.32119880674i</v>
      </c>
      <c r="AH151" s="31">
        <f t="shared" si="158"/>
        <v>1343.3211988067401</v>
      </c>
      <c r="AI151" s="31">
        <f t="shared" si="159"/>
        <v>1.5707963267948966</v>
      </c>
      <c r="AJ151" s="31" t="str">
        <f t="shared" si="142"/>
        <v>0.992155267318357+1.85145527871577i</v>
      </c>
      <c r="AK151" s="31">
        <f t="shared" si="160"/>
        <v>2.1005377224777586</v>
      </c>
      <c r="AL151" s="31">
        <f t="shared" si="161"/>
        <v>1.0788594842695525</v>
      </c>
      <c r="AM151" s="31" t="str">
        <f t="shared" si="143"/>
        <v>1+9.22055670860944i</v>
      </c>
      <c r="AN151" s="31">
        <f t="shared" si="162"/>
        <v>9.2746248450642224</v>
      </c>
      <c r="AO151" s="31">
        <f t="shared" si="163"/>
        <v>1.4627652433161382</v>
      </c>
      <c r="AP151" s="31" t="str">
        <f t="shared" si="144"/>
        <v>1+0.354636796484979i</v>
      </c>
      <c r="AQ151" s="31">
        <f t="shared" si="164"/>
        <v>1.0610217987492663</v>
      </c>
      <c r="AR151" s="31">
        <f t="shared" si="165"/>
        <v>0.34079960883445942</v>
      </c>
      <c r="AS151" s="58" t="str">
        <f t="shared" si="166"/>
        <v>-3.49586520887616+3.94822332638187i</v>
      </c>
      <c r="AT151" s="49">
        <f t="shared" si="167"/>
        <v>14.441938207381419</v>
      </c>
      <c r="AU151" s="61">
        <f t="shared" si="168"/>
        <v>131.52255897005958</v>
      </c>
      <c r="AV151" s="58" t="str">
        <f t="shared" si="145"/>
        <v>17.5898815734987+14.6942375862368i</v>
      </c>
      <c r="AW151" s="64">
        <f t="shared" si="169"/>
        <v>27.204276988299426</v>
      </c>
      <c r="AX151" s="61">
        <f t="shared" si="170"/>
        <v>39.874711702441253</v>
      </c>
    </row>
    <row r="152" spans="14:50" x14ac:dyDescent="0.25">
      <c r="N152" s="10">
        <v>34</v>
      </c>
      <c r="O152" s="50">
        <f t="shared" si="135"/>
        <v>218.77616239495524</v>
      </c>
      <c r="P152" s="48" t="str">
        <f t="shared" si="136"/>
        <v>304.285714285714</v>
      </c>
      <c r="Q152" s="17" t="str">
        <f t="shared" si="137"/>
        <v>1+71.5779673063785i</v>
      </c>
      <c r="R152" s="17">
        <f t="shared" si="146"/>
        <v>71.584952355316886</v>
      </c>
      <c r="S152" s="17">
        <f t="shared" si="147"/>
        <v>1.5568264561160519</v>
      </c>
      <c r="T152" s="17" t="str">
        <f t="shared" si="138"/>
        <v>1+0.00148458006265081i</v>
      </c>
      <c r="U152" s="17">
        <f t="shared" si="148"/>
        <v>1.0000011019883739</v>
      </c>
      <c r="V152" s="17">
        <f t="shared" si="149"/>
        <v>1.4845789719916717E-3</v>
      </c>
      <c r="W152" s="31" t="str">
        <f t="shared" si="139"/>
        <v>1-0.00463931269578378i</v>
      </c>
      <c r="X152" s="17">
        <f t="shared" si="150"/>
        <v>1.0000107615532392</v>
      </c>
      <c r="Y152" s="17">
        <f t="shared" si="151"/>
        <v>-4.6392794118941313E-3</v>
      </c>
      <c r="Z152" s="31" t="str">
        <f t="shared" si="140"/>
        <v>0.999996994745264+0.040925460960652i</v>
      </c>
      <c r="AA152" s="17">
        <f t="shared" si="152"/>
        <v>1.0008340935711579</v>
      </c>
      <c r="AB152" s="17">
        <f t="shared" si="153"/>
        <v>4.090275808654139E-2</v>
      </c>
      <c r="AC152" s="66" t="str">
        <f t="shared" si="154"/>
        <v>-0.127768774245369-4.24527940845558i</v>
      </c>
      <c r="AD152" s="64">
        <f t="shared" si="155"/>
        <v>12.562057683593927</v>
      </c>
      <c r="AE152" s="61">
        <f t="shared" si="156"/>
        <v>-91.723891799396526</v>
      </c>
      <c r="AF152" s="31" t="str">
        <f t="shared" si="141"/>
        <v>-1512.12121212121</v>
      </c>
      <c r="AG152" s="31" t="str">
        <f t="shared" si="157"/>
        <v>1374.61116912112i</v>
      </c>
      <c r="AH152" s="31">
        <f t="shared" si="158"/>
        <v>1374.6111691211199</v>
      </c>
      <c r="AI152" s="31">
        <f t="shared" si="159"/>
        <v>1.5707963267948966</v>
      </c>
      <c r="AJ152" s="31" t="str">
        <f t="shared" si="142"/>
        <v>0.991785556457224+1.89458121223106i</v>
      </c>
      <c r="AK152" s="31">
        <f t="shared" si="160"/>
        <v>2.1384752885493152</v>
      </c>
      <c r="AL152" s="31">
        <f t="shared" si="161"/>
        <v>1.0885374243811305</v>
      </c>
      <c r="AM152" s="31" t="str">
        <f t="shared" si="143"/>
        <v>1+9.43533106484735i</v>
      </c>
      <c r="AN152" s="31">
        <f t="shared" si="162"/>
        <v>9.4881753937874382</v>
      </c>
      <c r="AO152" s="31">
        <f t="shared" si="163"/>
        <v>1.4652058837464028</v>
      </c>
      <c r="AP152" s="31" t="str">
        <f t="shared" si="144"/>
        <v>1+0.362897348647975i</v>
      </c>
      <c r="AQ152" s="31">
        <f t="shared" si="164"/>
        <v>1.0638113017146085</v>
      </c>
      <c r="AR152" s="31">
        <f t="shared" si="165"/>
        <v>0.34811814205276415</v>
      </c>
      <c r="AS152" s="58" t="str">
        <f t="shared" si="166"/>
        <v>-3.44228968295316+3.88707898281803i</v>
      </c>
      <c r="AT152" s="49">
        <f t="shared" si="167"/>
        <v>14.30699610864089</v>
      </c>
      <c r="AU152" s="61">
        <f t="shared" si="168"/>
        <v>131.52721330888417</v>
      </c>
      <c r="AV152" s="58" t="str">
        <f t="shared" si="145"/>
        <v>16.9415534981862+14.1168341919505i</v>
      </c>
      <c r="AW152" s="64">
        <f t="shared" si="169"/>
        <v>26.869053792234794</v>
      </c>
      <c r="AX152" s="61">
        <f t="shared" si="170"/>
        <v>39.803321509487674</v>
      </c>
    </row>
    <row r="153" spans="14:50" x14ac:dyDescent="0.25">
      <c r="N153" s="10">
        <v>35</v>
      </c>
      <c r="O153" s="50">
        <f t="shared" si="135"/>
        <v>223.87211385683412</v>
      </c>
      <c r="P153" s="48" t="str">
        <f t="shared" si="136"/>
        <v>304.285714285714</v>
      </c>
      <c r="Q153" s="17" t="str">
        <f t="shared" si="137"/>
        <v>1+73.2452323463182i</v>
      </c>
      <c r="R153" s="17">
        <f t="shared" si="146"/>
        <v>73.252058411120018</v>
      </c>
      <c r="S153" s="17">
        <f t="shared" si="147"/>
        <v>1.5571444092264046</v>
      </c>
      <c r="T153" s="17" t="str">
        <f t="shared" si="138"/>
        <v>1+0.0015191603745903i</v>
      </c>
      <c r="U153" s="17">
        <f t="shared" si="148"/>
        <v>1.0000011539234561</v>
      </c>
      <c r="V153" s="17">
        <f t="shared" si="149"/>
        <v>1.5191592059280508E-3</v>
      </c>
      <c r="W153" s="31" t="str">
        <f t="shared" si="139"/>
        <v>1-0.00474737617059469i</v>
      </c>
      <c r="X153" s="17">
        <f t="shared" si="150"/>
        <v>1.0000112687267604</v>
      </c>
      <c r="Y153" s="17">
        <f t="shared" si="151"/>
        <v>-4.7473405062860834E-3</v>
      </c>
      <c r="Z153" s="31" t="str">
        <f t="shared" si="140"/>
        <v>0.999996853111972+0.0418787374068949i</v>
      </c>
      <c r="AA153" s="17">
        <f t="shared" si="152"/>
        <v>1.0008733860387349</v>
      </c>
      <c r="AB153" s="17">
        <f t="shared" si="153"/>
        <v>4.1854411985348193E-2</v>
      </c>
      <c r="AC153" s="66" t="str">
        <f t="shared" si="154"/>
        <v>-0.130427807580265-4.14833128617036i</v>
      </c>
      <c r="AD153" s="64">
        <f t="shared" si="155"/>
        <v>12.361759685037384</v>
      </c>
      <c r="AE153" s="61">
        <f t="shared" si="156"/>
        <v>-91.80084506584069</v>
      </c>
      <c r="AF153" s="31" t="str">
        <f t="shared" si="141"/>
        <v>-1512.12121212121</v>
      </c>
      <c r="AG153" s="31" t="str">
        <f t="shared" si="157"/>
        <v>1406.6299764725i</v>
      </c>
      <c r="AH153" s="31">
        <f t="shared" si="158"/>
        <v>1406.6299764724999</v>
      </c>
      <c r="AI153" s="31">
        <f t="shared" si="159"/>
        <v>1.5707963267948966</v>
      </c>
      <c r="AJ153" s="31" t="str">
        <f t="shared" si="142"/>
        <v>0.991398421660007+1.93871167778282i</v>
      </c>
      <c r="AK153" s="31">
        <f t="shared" si="160"/>
        <v>2.1774925487912538</v>
      </c>
      <c r="AL153" s="31">
        <f t="shared" si="161"/>
        <v>1.0980943792227327</v>
      </c>
      <c r="AM153" s="31" t="str">
        <f t="shared" si="143"/>
        <v>1+9.65510815850722i</v>
      </c>
      <c r="AN153" s="31">
        <f t="shared" si="162"/>
        <v>9.706756077726105</v>
      </c>
      <c r="AO153" s="31">
        <f t="shared" si="163"/>
        <v>1.4675921891109736</v>
      </c>
      <c r="AP153" s="31" t="str">
        <f t="shared" si="144"/>
        <v>1+0.37135031378874i</v>
      </c>
      <c r="AQ153" s="31">
        <f t="shared" si="164"/>
        <v>1.0667244515576624</v>
      </c>
      <c r="AR153" s="31">
        <f t="shared" si="165"/>
        <v>0.3555671123800857</v>
      </c>
      <c r="AS153" s="58" t="str">
        <f t="shared" si="166"/>
        <v>-3.39008423484802+3.82598192669888i</v>
      </c>
      <c r="AT153" s="49">
        <f t="shared" si="167"/>
        <v>14.171528525837665</v>
      </c>
      <c r="AU153" s="61">
        <f t="shared" si="168"/>
        <v>131.54315991895621</v>
      </c>
      <c r="AV153" s="58" t="str">
        <f t="shared" si="145"/>
        <v>16.313601781111+13.5641780596319i</v>
      </c>
      <c r="AW153" s="64">
        <f t="shared" si="169"/>
        <v>26.53328821087506</v>
      </c>
      <c r="AX153" s="61">
        <f t="shared" si="170"/>
        <v>39.742314853115445</v>
      </c>
    </row>
    <row r="154" spans="14:50" x14ac:dyDescent="0.25">
      <c r="N154" s="10">
        <v>36</v>
      </c>
      <c r="O154" s="50">
        <f t="shared" si="135"/>
        <v>229.08676527677744</v>
      </c>
      <c r="P154" s="48" t="str">
        <f t="shared" si="136"/>
        <v>304.285714285714</v>
      </c>
      <c r="Q154" s="17" t="str">
        <f t="shared" si="137"/>
        <v>1+74.951332977963i</v>
      </c>
      <c r="R154" s="17">
        <f t="shared" si="146"/>
        <v>74.958003676548671</v>
      </c>
      <c r="S154" s="17">
        <f t="shared" si="147"/>
        <v>1.5574551275077468</v>
      </c>
      <c r="T154" s="17" t="str">
        <f t="shared" si="138"/>
        <v>1+0.00155454616546886i</v>
      </c>
      <c r="U154" s="17">
        <f t="shared" si="148"/>
        <v>1.0000012083061602</v>
      </c>
      <c r="V154" s="17">
        <f t="shared" si="149"/>
        <v>1.5545449132247802E-3</v>
      </c>
      <c r="W154" s="31" t="str">
        <f t="shared" si="139"/>
        <v>1-0.00485795676709019i</v>
      </c>
      <c r="X154" s="17">
        <f t="shared" si="150"/>
        <v>1.0000117998023577</v>
      </c>
      <c r="Y154" s="17">
        <f t="shared" si="151"/>
        <v>-4.8579185521193642E-3</v>
      </c>
      <c r="Z154" s="31" t="str">
        <f t="shared" si="140"/>
        <v>0.999996704803709+0.0428542185140414i</v>
      </c>
      <c r="AA154" s="17">
        <f t="shared" si="152"/>
        <v>1.0009145286500367</v>
      </c>
      <c r="AB154" s="17">
        <f t="shared" si="153"/>
        <v>4.2828154641321073E-2</v>
      </c>
      <c r="AC154" s="66" t="str">
        <f t="shared" si="154"/>
        <v>-0.132965861923766-4.05357943554389i</v>
      </c>
      <c r="AD154" s="64">
        <f t="shared" si="155"/>
        <v>12.161444156805278</v>
      </c>
      <c r="AE154" s="61">
        <f t="shared" si="156"/>
        <v>-91.878747460148134</v>
      </c>
      <c r="AF154" s="31" t="str">
        <f t="shared" si="141"/>
        <v>-1512.12121212121</v>
      </c>
      <c r="AG154" s="31" t="str">
        <f t="shared" si="157"/>
        <v>1439.39459765635i</v>
      </c>
      <c r="AH154" s="31">
        <f t="shared" si="158"/>
        <v>1439.39459765635</v>
      </c>
      <c r="AI154" s="31">
        <f t="shared" si="159"/>
        <v>1.5707963267948966</v>
      </c>
      <c r="AJ154" s="31" t="str">
        <f t="shared" si="142"/>
        <v>0.990993041761897+1.98387007392802i</v>
      </c>
      <c r="AK154" s="31">
        <f t="shared" si="160"/>
        <v>2.2176130589098868</v>
      </c>
      <c r="AL154" s="31">
        <f t="shared" si="161"/>
        <v>1.1075286515879714</v>
      </c>
      <c r="AM154" s="31" t="str">
        <f t="shared" si="143"/>
        <v>1+9.88000451831316i</v>
      </c>
      <c r="AN154" s="31">
        <f t="shared" si="162"/>
        <v>9.9304828322639214</v>
      </c>
      <c r="AO154" s="31">
        <f t="shared" si="163"/>
        <v>1.4699253158915495</v>
      </c>
      <c r="AP154" s="31" t="str">
        <f t="shared" si="144"/>
        <v>1+0.380000173781276i</v>
      </c>
      <c r="AQ154" s="31">
        <f t="shared" si="164"/>
        <v>1.0697663913555147</v>
      </c>
      <c r="AR154" s="31">
        <f t="shared" si="165"/>
        <v>0.36314716179978163</v>
      </c>
      <c r="AS154" s="58" t="str">
        <f t="shared" si="166"/>
        <v>-3.33925019192017+3.76497755234346i</v>
      </c>
      <c r="AT154" s="49">
        <f t="shared" si="167"/>
        <v>14.035605631497516</v>
      </c>
      <c r="AU154" s="61">
        <f t="shared" si="168"/>
        <v>131.5705990874963</v>
      </c>
      <c r="AV154" s="58" t="str">
        <f t="shared" si="145"/>
        <v>15.7056418614116+13.0353024227326i</v>
      </c>
      <c r="AW154" s="64">
        <f t="shared" si="169"/>
        <v>26.197049788302792</v>
      </c>
      <c r="AX154" s="61">
        <f t="shared" si="170"/>
        <v>39.691851627348122</v>
      </c>
    </row>
    <row r="155" spans="14:50" x14ac:dyDescent="0.25">
      <c r="N155" s="10">
        <v>37</v>
      </c>
      <c r="O155" s="50">
        <f t="shared" si="135"/>
        <v>234.42288153199232</v>
      </c>
      <c r="P155" s="48" t="str">
        <f t="shared" si="136"/>
        <v>304.285714285714</v>
      </c>
      <c r="Q155" s="17" t="str">
        <f t="shared" si="137"/>
        <v>1+76.6971737984505i</v>
      </c>
      <c r="R155" s="17">
        <f t="shared" si="146"/>
        <v>76.703692666453321</v>
      </c>
      <c r="S155" s="17">
        <f t="shared" si="147"/>
        <v>1.557758775466898</v>
      </c>
      <c r="T155" s="17" t="str">
        <f t="shared" si="138"/>
        <v>1+0.00159075619730119i</v>
      </c>
      <c r="U155" s="17">
        <f t="shared" si="148"/>
        <v>1.0000012652518393</v>
      </c>
      <c r="V155" s="17">
        <f t="shared" si="149"/>
        <v>1.5907548554975756E-3</v>
      </c>
      <c r="W155" s="31" t="str">
        <f t="shared" si="139"/>
        <v>1-0.00497111311656623i</v>
      </c>
      <c r="X155" s="17">
        <f t="shared" si="150"/>
        <v>1.0000123559064746</v>
      </c>
      <c r="Y155" s="17">
        <f t="shared" si="151"/>
        <v>-4.971072168514566E-3</v>
      </c>
      <c r="Z155" s="31" t="str">
        <f t="shared" si="140"/>
        <v>0.999996549505892+0.0438524214950864i</v>
      </c>
      <c r="AA155" s="17">
        <f t="shared" si="152"/>
        <v>1.0009576084403737</v>
      </c>
      <c r="AB155" s="17">
        <f t="shared" si="153"/>
        <v>4.382449499512376E-2</v>
      </c>
      <c r="AC155" s="66" t="str">
        <f t="shared" si="154"/>
        <v>-0.135388315254414-3.96097384125147i</v>
      </c>
      <c r="AD155" s="64">
        <f t="shared" si="155"/>
        <v>11.961110433631735</v>
      </c>
      <c r="AE155" s="61">
        <f t="shared" si="156"/>
        <v>-91.957639851684164</v>
      </c>
      <c r="AF155" s="31" t="str">
        <f t="shared" si="141"/>
        <v>-1512.12121212121</v>
      </c>
      <c r="AG155" s="31" t="str">
        <f t="shared" si="157"/>
        <v>1472.92240490851i</v>
      </c>
      <c r="AH155" s="31">
        <f t="shared" si="158"/>
        <v>1472.9224049085101</v>
      </c>
      <c r="AI155" s="31">
        <f t="shared" si="159"/>
        <v>1.5707963267948966</v>
      </c>
      <c r="AJ155" s="31" t="str">
        <f t="shared" si="142"/>
        <v>0.99056855689778+2.03008034424604i</v>
      </c>
      <c r="AK155" s="31">
        <f t="shared" si="160"/>
        <v>2.2588608345820398</v>
      </c>
      <c r="AL155" s="31">
        <f t="shared" si="161"/>
        <v>1.1168387439656184</v>
      </c>
      <c r="AM155" s="31" t="str">
        <f t="shared" si="143"/>
        <v>1+10.110139387292i</v>
      </c>
      <c r="AN155" s="31">
        <f t="shared" si="162"/>
        <v>10.159474318608865</v>
      </c>
      <c r="AO155" s="31">
        <f t="shared" si="163"/>
        <v>1.4722063994845869</v>
      </c>
      <c r="AP155" s="31" t="str">
        <f t="shared" si="144"/>
        <v>1+0.388851514895846i</v>
      </c>
      <c r="AQ155" s="31">
        <f t="shared" si="164"/>
        <v>1.0729424498251499</v>
      </c>
      <c r="AR155" s="31">
        <f t="shared" si="165"/>
        <v>0.37085882413003013</v>
      </c>
      <c r="AS155" s="58" t="str">
        <f t="shared" si="166"/>
        <v>-3.28978598164629+3.70411026783809i</v>
      </c>
      <c r="AT155" s="49">
        <f t="shared" si="167"/>
        <v>13.899298536426352</v>
      </c>
      <c r="AU155" s="61">
        <f t="shared" si="168"/>
        <v>131.60971225453108</v>
      </c>
      <c r="AV155" s="58" t="str">
        <f t="shared" si="145"/>
        <v>15.1172824576203+12.5292629679376i</v>
      </c>
      <c r="AW155" s="64">
        <f t="shared" si="169"/>
        <v>25.860408970058089</v>
      </c>
      <c r="AX155" s="61">
        <f t="shared" si="170"/>
        <v>39.65207240284704</v>
      </c>
    </row>
    <row r="156" spans="14:50" x14ac:dyDescent="0.25">
      <c r="N156" s="10">
        <v>38</v>
      </c>
      <c r="O156" s="50">
        <f t="shared" si="135"/>
        <v>239.88329190194912</v>
      </c>
      <c r="P156" s="48" t="str">
        <f t="shared" si="136"/>
        <v>304.285714285714</v>
      </c>
      <c r="Q156" s="17" t="str">
        <f t="shared" si="137"/>
        <v>1+78.4836804756937i</v>
      </c>
      <c r="R156" s="17">
        <f t="shared" si="146"/>
        <v>78.490050968328362</v>
      </c>
      <c r="S156" s="17">
        <f t="shared" si="147"/>
        <v>1.5580555138779211</v>
      </c>
      <c r="T156" s="17" t="str">
        <f t="shared" si="138"/>
        <v>1+0.0016278096691255i</v>
      </c>
      <c r="U156" s="17">
        <f t="shared" si="148"/>
        <v>1.0000013248812818</v>
      </c>
      <c r="V156" s="17">
        <f t="shared" si="149"/>
        <v>1.6278082313571261E-3</v>
      </c>
      <c r="W156" s="31" t="str">
        <f t="shared" si="139"/>
        <v>1-0.00508690521601718i</v>
      </c>
      <c r="X156" s="17">
        <f t="shared" si="150"/>
        <v>1.0000129382186396</v>
      </c>
      <c r="Y156" s="17">
        <f t="shared" si="151"/>
        <v>-5.0868613394199702E-3</v>
      </c>
      <c r="Z156" s="31" t="str">
        <f t="shared" si="140"/>
        <v>0.999996386889114+0.044873875610464i</v>
      </c>
      <c r="AA156" s="17">
        <f t="shared" si="152"/>
        <v>1.0010027165315716</v>
      </c>
      <c r="AB156" s="17">
        <f t="shared" si="153"/>
        <v>4.4843953445300455E-2</v>
      </c>
      <c r="AC156" s="66" t="str">
        <f t="shared" si="154"/>
        <v>-0.137700300899929-3.87046561160751i</v>
      </c>
      <c r="AD156" s="64">
        <f t="shared" si="155"/>
        <v>11.760757812050587</v>
      </c>
      <c r="AE156" s="61">
        <f t="shared" si="156"/>
        <v>-92.037563605592013</v>
      </c>
      <c r="AF156" s="31" t="str">
        <f t="shared" si="141"/>
        <v>-1512.12121212121</v>
      </c>
      <c r="AG156" s="31" t="str">
        <f t="shared" si="157"/>
        <v>1507.2311751162i</v>
      </c>
      <c r="AH156" s="31">
        <f t="shared" si="158"/>
        <v>1507.2311751161999</v>
      </c>
      <c r="AI156" s="31">
        <f t="shared" si="159"/>
        <v>1.5707963267948966</v>
      </c>
      <c r="AJ156" s="31" t="str">
        <f t="shared" si="142"/>
        <v>0.990124066678348+2.07736699003388i</v>
      </c>
      <c r="AK156" s="31">
        <f t="shared" si="160"/>
        <v>2.3012603674287035</v>
      </c>
      <c r="AL156" s="31">
        <f t="shared" si="161"/>
        <v>1.126023353905639</v>
      </c>
      <c r="AM156" s="31" t="str">
        <f t="shared" si="143"/>
        <v>1+10.3456347859976i</v>
      </c>
      <c r="AN156" s="31">
        <f t="shared" si="162"/>
        <v>10.393851986883574</v>
      </c>
      <c r="AO156" s="31">
        <f t="shared" si="163"/>
        <v>1.4744365543446516</v>
      </c>
      <c r="AP156" s="31" t="str">
        <f t="shared" si="144"/>
        <v>1+0.397909030230677i</v>
      </c>
      <c r="AQ156" s="31">
        <f t="shared" si="164"/>
        <v>1.076258145771319</v>
      </c>
      <c r="AR156" s="31">
        <f t="shared" si="165"/>
        <v>0.37870251829591339</v>
      </c>
      <c r="AS156" s="58" t="str">
        <f t="shared" si="166"/>
        <v>-3.24168728914407+3.64342335017544i</v>
      </c>
      <c r="AT156" s="49">
        <f t="shared" si="167"/>
        <v>13.762679175729176</v>
      </c>
      <c r="AU156" s="61">
        <f t="shared" si="168"/>
        <v>131.66066190113278</v>
      </c>
      <c r="AV156" s="58" t="str">
        <f t="shared" si="145"/>
        <v>14.5481261005205+12.0451386845923i</v>
      </c>
      <c r="AW156" s="64">
        <f t="shared" si="169"/>
        <v>25.523436987779764</v>
      </c>
      <c r="AX156" s="61">
        <f t="shared" si="170"/>
        <v>39.623098295540714</v>
      </c>
    </row>
    <row r="157" spans="14:50" x14ac:dyDescent="0.25">
      <c r="N157" s="10">
        <v>39</v>
      </c>
      <c r="O157" s="50">
        <f t="shared" si="135"/>
        <v>245.4708915685033</v>
      </c>
      <c r="P157" s="48" t="str">
        <f t="shared" si="136"/>
        <v>304.285714285714</v>
      </c>
      <c r="Q157" s="17" t="str">
        <f t="shared" si="137"/>
        <v>1+80.311800239179i</v>
      </c>
      <c r="R157" s="17">
        <f t="shared" si="146"/>
        <v>80.318025733068112</v>
      </c>
      <c r="S157" s="17">
        <f t="shared" si="147"/>
        <v>1.558345499866298</v>
      </c>
      <c r="T157" s="17" t="str">
        <f t="shared" si="138"/>
        <v>1+0.00166572622718297i</v>
      </c>
      <c r="U157" s="17">
        <f t="shared" si="148"/>
        <v>1.0000013873209697</v>
      </c>
      <c r="V157" s="17">
        <f t="shared" si="149"/>
        <v>1.6657246865865165E-3</v>
      </c>
      <c r="W157" s="31" t="str">
        <f t="shared" si="139"/>
        <v>1-0.00520539445994678i</v>
      </c>
      <c r="X157" s="17">
        <f t="shared" si="150"/>
        <v>1.000013547973968</v>
      </c>
      <c r="Y157" s="17">
        <f t="shared" si="151"/>
        <v>-5.2053474453602217E-3</v>
      </c>
      <c r="Z157" s="31" t="str">
        <f t="shared" si="140"/>
        <v>0.999996216608444+0.045919122448666i</v>
      </c>
      <c r="AA157" s="17">
        <f t="shared" si="152"/>
        <v>1.0010499483230881</v>
      </c>
      <c r="AB157" s="17">
        <f t="shared" si="153"/>
        <v>4.5887062086981616E-2</v>
      </c>
      <c r="AC157" s="66" t="str">
        <f t="shared" si="154"/>
        <v>-0.139906718383072-3.7820069536387i</v>
      </c>
      <c r="AD157" s="64">
        <f t="shared" si="155"/>
        <v>11.560385548940877</v>
      </c>
      <c r="AE157" s="61">
        <f t="shared" si="156"/>
        <v>-92.118560602528461</v>
      </c>
      <c r="AF157" s="31" t="str">
        <f t="shared" si="141"/>
        <v>-1512.12121212121</v>
      </c>
      <c r="AG157" s="31" t="str">
        <f t="shared" si="157"/>
        <v>1542.33909924349i</v>
      </c>
      <c r="AH157" s="31">
        <f t="shared" si="158"/>
        <v>1542.33909924349</v>
      </c>
      <c r="AI157" s="31">
        <f t="shared" si="159"/>
        <v>1.5707963267948966</v>
      </c>
      <c r="AJ157" s="31" t="str">
        <f t="shared" si="142"/>
        <v>0.989658628280251+2.12575508329703i</v>
      </c>
      <c r="AK157" s="31">
        <f t="shared" si="160"/>
        <v>2.3448366413660273</v>
      </c>
      <c r="AL157" s="31">
        <f t="shared" si="161"/>
        <v>1.1350813689405752</v>
      </c>
      <c r="AM157" s="31" t="str">
        <f t="shared" si="143"/>
        <v>1+10.5866155772073i</v>
      </c>
      <c r="AN157" s="31">
        <f t="shared" si="162"/>
        <v>10.633740140682782</v>
      </c>
      <c r="AO157" s="31">
        <f t="shared" si="163"/>
        <v>1.476616874145579</v>
      </c>
      <c r="AP157" s="31" t="str">
        <f t="shared" si="144"/>
        <v>1+0.407177522200281i</v>
      </c>
      <c r="AQ157" s="31">
        <f t="shared" si="164"/>
        <v>1.0797191924686531</v>
      </c>
      <c r="AR157" s="31">
        <f t="shared" si="165"/>
        <v>0.38667854152372499</v>
      </c>
      <c r="AS157" s="58" t="str">
        <f t="shared" si="166"/>
        <v>-3.19494721920171+3.58295881659325i</v>
      </c>
      <c r="AT157" s="49">
        <f t="shared" si="167"/>
        <v>13.625820196006831</v>
      </c>
      <c r="AU157" s="61">
        <f t="shared" si="168"/>
        <v>131.72359145969867</v>
      </c>
      <c r="AV157" s="58" t="str">
        <f t="shared" si="145"/>
        <v>13.9977697398024+11.5820325893982i</v>
      </c>
      <c r="AW157" s="64">
        <f t="shared" si="169"/>
        <v>25.186205744947692</v>
      </c>
      <c r="AX157" s="61">
        <f t="shared" si="170"/>
        <v>39.605030857170078</v>
      </c>
    </row>
    <row r="158" spans="14:50" x14ac:dyDescent="0.25">
      <c r="N158" s="10">
        <v>40</v>
      </c>
      <c r="O158" s="50">
        <f t="shared" si="135"/>
        <v>251.18864315095806</v>
      </c>
      <c r="P158" s="48" t="str">
        <f t="shared" si="136"/>
        <v>304.285714285714</v>
      </c>
      <c r="Q158" s="17" t="str">
        <f t="shared" si="137"/>
        <v>1+82.182502382204i</v>
      </c>
      <c r="R158" s="17">
        <f t="shared" si="146"/>
        <v>82.188586177163103</v>
      </c>
      <c r="S158" s="17">
        <f t="shared" si="147"/>
        <v>1.5586288869912424</v>
      </c>
      <c r="T158" s="17" t="str">
        <f t="shared" si="138"/>
        <v>1+0.0017045259753346i</v>
      </c>
      <c r="U158" s="17">
        <f t="shared" si="148"/>
        <v>1.0000014527033452</v>
      </c>
      <c r="V158" s="17">
        <f t="shared" si="149"/>
        <v>1.7045243245558878E-3</v>
      </c>
      <c r="W158" s="31" t="str">
        <f t="shared" si="139"/>
        <v>1-0.00532664367292063i</v>
      </c>
      <c r="X158" s="17">
        <f t="shared" si="150"/>
        <v>1.0000141864657812</v>
      </c>
      <c r="Y158" s="17">
        <f t="shared" si="151"/>
        <v>-5.3265932959221029E-3</v>
      </c>
      <c r="Z158" s="31" t="str">
        <f t="shared" si="140"/>
        <v>0.999996038302694+0.046988716213402i</v>
      </c>
      <c r="AA158" s="17">
        <f t="shared" si="152"/>
        <v>1.0010994036919945</v>
      </c>
      <c r="AB158" s="17">
        <f t="shared" si="153"/>
        <v>4.6954364954164468E-2</v>
      </c>
      <c r="AC158" s="66" t="str">
        <f t="shared" si="154"/>
        <v>-0.142012243775919-3.69555114867574i</v>
      </c>
      <c r="AD158" s="64">
        <f t="shared" si="155"/>
        <v>11.35999285999098</v>
      </c>
      <c r="AE158" s="61">
        <f t="shared" si="156"/>
        <v>-92.200673258526308</v>
      </c>
      <c r="AF158" s="31" t="str">
        <f t="shared" si="141"/>
        <v>-1512.12121212121</v>
      </c>
      <c r="AG158" s="31" t="str">
        <f t="shared" si="157"/>
        <v>1578.26479197648i</v>
      </c>
      <c r="AH158" s="31">
        <f t="shared" si="158"/>
        <v>1578.26479197648</v>
      </c>
      <c r="AI158" s="31">
        <f t="shared" si="159"/>
        <v>1.5707963267948966</v>
      </c>
      <c r="AJ158" s="31" t="str">
        <f t="shared" si="142"/>
        <v>0.989171254446244+2.17527028004304i</v>
      </c>
      <c r="AK158" s="31">
        <f t="shared" si="160"/>
        <v>2.3896151493203424</v>
      </c>
      <c r="AL158" s="31">
        <f t="shared" si="161"/>
        <v>1.1440118611168257</v>
      </c>
      <c r="AM158" s="31" t="str">
        <f t="shared" si="143"/>
        <v>1+10.8332095321265i</v>
      </c>
      <c r="AN158" s="31">
        <f t="shared" si="162"/>
        <v>10.879266003134424</v>
      </c>
      <c r="AO158" s="31">
        <f t="shared" si="163"/>
        <v>1.478748431957787</v>
      </c>
      <c r="AP158" s="31" t="str">
        <f t="shared" si="144"/>
        <v>1+0.416661905081791i</v>
      </c>
      <c r="AQ158" s="31">
        <f t="shared" si="164"/>
        <v>1.0833315019634513</v>
      </c>
      <c r="AR158" s="31">
        <f t="shared" si="165"/>
        <v>0.39478706248448803</v>
      </c>
      <c r="AS158" s="58" t="str">
        <f t="shared" si="166"/>
        <v>-3.14955646130687+3.52275731182616i</v>
      </c>
      <c r="AT158" s="49">
        <f t="shared" si="167"/>
        <v>13.4887948436425</v>
      </c>
      <c r="AU158" s="61">
        <f t="shared" si="168"/>
        <v>131.79862524459762</v>
      </c>
      <c r="AV158" s="58" t="str">
        <f t="shared" si="145"/>
        <v>13.4658054101942+11.1390723282712i</v>
      </c>
      <c r="AW158" s="64">
        <f t="shared" si="169"/>
        <v>24.848787703633484</v>
      </c>
      <c r="AX158" s="61">
        <f t="shared" si="170"/>
        <v>39.597951986071102</v>
      </c>
    </row>
    <row r="159" spans="14:50" x14ac:dyDescent="0.25">
      <c r="N159" s="10">
        <v>41</v>
      </c>
      <c r="O159" s="50">
        <f t="shared" si="135"/>
        <v>257.03957827688663</v>
      </c>
      <c r="P159" s="48" t="str">
        <f t="shared" si="136"/>
        <v>304.285714285714</v>
      </c>
      <c r="Q159" s="17" t="str">
        <f t="shared" si="137"/>
        <v>1+84.0967787758056i</v>
      </c>
      <c r="R159" s="17">
        <f t="shared" si="146"/>
        <v>84.102724096587906</v>
      </c>
      <c r="S159" s="17">
        <f t="shared" si="147"/>
        <v>1.5589058253261878</v>
      </c>
      <c r="T159" s="17" t="str">
        <f t="shared" si="138"/>
        <v>1+0.00174422948572041i</v>
      </c>
      <c r="U159" s="17">
        <f t="shared" si="148"/>
        <v>1.0000015211670925</v>
      </c>
      <c r="V159" s="17">
        <f t="shared" si="149"/>
        <v>1.7442277168792965E-3</v>
      </c>
      <c r="W159" s="31" t="str">
        <f t="shared" si="139"/>
        <v>1-0.00545071714287628i</v>
      </c>
      <c r="X159" s="17">
        <f t="shared" si="150"/>
        <v>1.0000148550483496</v>
      </c>
      <c r="Y159" s="17">
        <f t="shared" si="151"/>
        <v>-5.4506631629931265E-3</v>
      </c>
      <c r="Z159" s="31" t="str">
        <f t="shared" si="140"/>
        <v>0.999995851593652+0.0480832240174432i</v>
      </c>
      <c r="AA159" s="17">
        <f t="shared" si="152"/>
        <v>1.0011511872022252</v>
      </c>
      <c r="AB159" s="17">
        <f t="shared" si="153"/>
        <v>4.8046418265501836E-2</v>
      </c>
      <c r="AC159" s="66" t="str">
        <f t="shared" si="154"/>
        <v>-0.144021339584169-3.61105252845587i</v>
      </c>
      <c r="AD159" s="64">
        <f t="shared" si="155"/>
        <v>11.159578918079969</v>
      </c>
      <c r="AE159" s="61">
        <f t="shared" si="156"/>
        <v>-92.283944544982418</v>
      </c>
      <c r="AF159" s="31" t="str">
        <f t="shared" si="141"/>
        <v>-1512.12121212121</v>
      </c>
      <c r="AG159" s="31" t="str">
        <f t="shared" si="157"/>
        <v>1615.02730159297i</v>
      </c>
      <c r="AH159" s="31">
        <f t="shared" si="158"/>
        <v>1615.0273015929699</v>
      </c>
      <c r="AI159" s="31">
        <f t="shared" si="159"/>
        <v>1.5707963267948966</v>
      </c>
      <c r="AJ159" s="31" t="str">
        <f t="shared" si="142"/>
        <v>0.988660911391083+2.22593883388464i</v>
      </c>
      <c r="AK159" s="31">
        <f t="shared" si="160"/>
        <v>2.4356219102948553</v>
      </c>
      <c r="AL159" s="31">
        <f t="shared" si="161"/>
        <v>1.1528140811891177</v>
      </c>
      <c r="AM159" s="31" t="str">
        <f t="shared" si="143"/>
        <v>1+11.0855473981341i</v>
      </c>
      <c r="AN159" s="31">
        <f t="shared" si="162"/>
        <v>11.130559784497709</v>
      </c>
      <c r="AO159" s="31">
        <f t="shared" si="163"/>
        <v>1.4808322804401686</v>
      </c>
      <c r="AP159" s="31" t="str">
        <f t="shared" si="144"/>
        <v>1+0.426367207620544i</v>
      </c>
      <c r="AQ159" s="31">
        <f t="shared" si="164"/>
        <v>1.0871011892800688</v>
      </c>
      <c r="AR159" s="31">
        <f t="shared" si="165"/>
        <v>0.40302811441639824</v>
      </c>
      <c r="AS159" s="58" t="str">
        <f t="shared" si="166"/>
        <v>-3.10550345626666+3.46285801085883i</v>
      </c>
      <c r="AT159" s="49">
        <f t="shared" si="167"/>
        <v>13.351676854059386</v>
      </c>
      <c r="AU159" s="61">
        <f t="shared" si="168"/>
        <v>131.88586840174182</v>
      </c>
      <c r="AV159" s="58" t="str">
        <f t="shared" si="145"/>
        <v>12.9518209436502+10.7154106583665i</v>
      </c>
      <c r="AW159" s="64">
        <f t="shared" si="169"/>
        <v>24.511255772139343</v>
      </c>
      <c r="AX159" s="61">
        <f t="shared" si="170"/>
        <v>39.60192385675947</v>
      </c>
    </row>
    <row r="160" spans="14:50" x14ac:dyDescent="0.25">
      <c r="N160" s="10">
        <v>42</v>
      </c>
      <c r="O160" s="50">
        <f t="shared" si="135"/>
        <v>263.02679918953817</v>
      </c>
      <c r="P160" s="48" t="str">
        <f t="shared" si="136"/>
        <v>304.285714285714</v>
      </c>
      <c r="Q160" s="17" t="str">
        <f t="shared" si="137"/>
        <v>1+86.0556443946666i</v>
      </c>
      <c r="R160" s="17">
        <f t="shared" si="146"/>
        <v>86.061454392668225</v>
      </c>
      <c r="S160" s="17">
        <f t="shared" si="147"/>
        <v>1.5591764615374899</v>
      </c>
      <c r="T160" s="17" t="str">
        <f t="shared" si="138"/>
        <v>1+0.00178485780966715i</v>
      </c>
      <c r="U160" s="17">
        <f t="shared" si="148"/>
        <v>1.0000015928574317</v>
      </c>
      <c r="V160" s="17">
        <f t="shared" si="149"/>
        <v>1.7848559143199122E-3</v>
      </c>
      <c r="W160" s="31" t="str">
        <f t="shared" si="139"/>
        <v>1-0.00557768065520986i</v>
      </c>
      <c r="X160" s="17">
        <f t="shared" si="150"/>
        <v>1.0000155551397645</v>
      </c>
      <c r="Y160" s="17">
        <f t="shared" si="151"/>
        <v>-5.5776228147715583E-3</v>
      </c>
      <c r="Z160" s="31" t="str">
        <f t="shared" si="140"/>
        <v>0.999995656085284+0.0492032261833152i</v>
      </c>
      <c r="AA160" s="17">
        <f t="shared" si="152"/>
        <v>1.0012054083235287</v>
      </c>
      <c r="AB160" s="17">
        <f t="shared" si="153"/>
        <v>4.9163790673541215E-2</v>
      </c>
      <c r="AC160" s="66" t="str">
        <f t="shared" si="154"/>
        <v>-0.145938264182174-3.52846645172719i</v>
      </c>
      <c r="AD160" s="64">
        <f t="shared" si="155"/>
        <v>10.959142851572112</v>
      </c>
      <c r="AE160" s="61">
        <f t="shared" si="156"/>
        <v>-92.368418008771243</v>
      </c>
      <c r="AF160" s="31" t="str">
        <f t="shared" si="141"/>
        <v>-1512.12121212121</v>
      </c>
      <c r="AG160" s="31" t="str">
        <f t="shared" si="157"/>
        <v>1652.64612006218i</v>
      </c>
      <c r="AH160" s="31">
        <f t="shared" si="158"/>
        <v>1652.64612006218</v>
      </c>
      <c r="AI160" s="31">
        <f t="shared" si="159"/>
        <v>1.5707963267948966</v>
      </c>
      <c r="AJ160" s="31" t="str">
        <f t="shared" si="142"/>
        <v>0.988126516608724+2.27778760995974i</v>
      </c>
      <c r="AK160" s="31">
        <f t="shared" si="160"/>
        <v>2.4828834867772982</v>
      </c>
      <c r="AL160" s="31">
        <f t="shared" si="161"/>
        <v>1.1614874525299319</v>
      </c>
      <c r="AM160" s="31" t="str">
        <f t="shared" si="143"/>
        <v>1+11.3437629681068i</v>
      </c>
      <c r="AN160" s="31">
        <f t="shared" si="162"/>
        <v>11.387754751336683</v>
      </c>
      <c r="AO160" s="31">
        <f t="shared" si="163"/>
        <v>1.4828694520451193</v>
      </c>
      <c r="AP160" s="31" t="str">
        <f t="shared" si="144"/>
        <v>1+0.436298575696415i</v>
      </c>
      <c r="AQ160" s="31">
        <f t="shared" si="164"/>
        <v>1.0910345765165834</v>
      </c>
      <c r="AR160" s="31">
        <f t="shared" si="165"/>
        <v>0.41140158825904027</v>
      </c>
      <c r="AS160" s="58" t="str">
        <f t="shared" si="166"/>
        <v>-3.06277456311548+3.40329853665677i</v>
      </c>
      <c r="AT160" s="49">
        <f t="shared" si="167"/>
        <v>13.214540341800905</v>
      </c>
      <c r="AU160" s="61">
        <f t="shared" si="168"/>
        <v>131.9854068759175</v>
      </c>
      <c r="AV160" s="58" t="str">
        <f t="shared" si="145"/>
        <v>12.455400715128+10.310225814223i</v>
      </c>
      <c r="AW160" s="64">
        <f t="shared" si="169"/>
        <v>24.173683193373016</v>
      </c>
      <c r="AX160" s="61">
        <f t="shared" si="170"/>
        <v>39.616988867146489</v>
      </c>
    </row>
    <row r="161" spans="14:50" x14ac:dyDescent="0.25">
      <c r="N161" s="10">
        <v>43</v>
      </c>
      <c r="O161" s="50">
        <f t="shared" si="135"/>
        <v>269.15348039269179</v>
      </c>
      <c r="P161" s="48" t="str">
        <f t="shared" si="136"/>
        <v>304.285714285714</v>
      </c>
      <c r="Q161" s="17" t="str">
        <f t="shared" si="137"/>
        <v>1+88.060137855267i</v>
      </c>
      <c r="R161" s="17">
        <f t="shared" si="146"/>
        <v>88.065815610193653</v>
      </c>
      <c r="S161" s="17">
        <f t="shared" si="147"/>
        <v>1.5594409389613793</v>
      </c>
      <c r="T161" s="17" t="str">
        <f t="shared" si="138"/>
        <v>1+0.00182643248884998i</v>
      </c>
      <c r="U161" s="17">
        <f t="shared" si="148"/>
        <v>1.0000016679264272</v>
      </c>
      <c r="V161" s="17">
        <f t="shared" si="149"/>
        <v>1.8264304579490075E-3</v>
      </c>
      <c r="W161" s="31" t="str">
        <f t="shared" si="139"/>
        <v>1-0.00570760152765619i</v>
      </c>
      <c r="X161" s="17">
        <f t="shared" si="150"/>
        <v>1.0000162882249461</v>
      </c>
      <c r="Y161" s="17">
        <f t="shared" si="151"/>
        <v>-5.7075395505644475E-3</v>
      </c>
      <c r="Z161" s="31" t="str">
        <f t="shared" si="140"/>
        <v>0.99999545136289+0.0503493165509914i</v>
      </c>
      <c r="AA161" s="17">
        <f t="shared" si="152"/>
        <v>1.0012621816605389</v>
      </c>
      <c r="AB161" s="17">
        <f t="shared" si="153"/>
        <v>5.0307063517328283E-2</v>
      </c>
      <c r="AC161" s="66" t="str">
        <f t="shared" si="154"/>
        <v>-0.147767080818433-3.4477492813465i</v>
      </c>
      <c r="AD161" s="64">
        <f t="shared" si="155"/>
        <v>10.7586837425219</v>
      </c>
      <c r="AE161" s="61">
        <f t="shared" si="156"/>
        <v>-92.454137792481433</v>
      </c>
      <c r="AF161" s="31" t="str">
        <f t="shared" si="141"/>
        <v>-1512.12121212121</v>
      </c>
      <c r="AG161" s="31" t="str">
        <f t="shared" si="157"/>
        <v>1691.14119337961i</v>
      </c>
      <c r="AH161" s="31">
        <f t="shared" si="158"/>
        <v>1691.1411933796101</v>
      </c>
      <c r="AI161" s="31">
        <f t="shared" si="159"/>
        <v>1.5707963267948966</v>
      </c>
      <c r="AJ161" s="31" t="str">
        <f t="shared" si="142"/>
        <v>0.987566936576187+2.33084409917574i</v>
      </c>
      <c r="AK161" s="31">
        <f t="shared" si="160"/>
        <v>2.5314270024792029</v>
      </c>
      <c r="AL161" s="31">
        <f t="shared" si="161"/>
        <v>1.1700315648036783</v>
      </c>
      <c r="AM161" s="31" t="str">
        <f t="shared" si="143"/>
        <v>1+11.6079931513576i</v>
      </c>
      <c r="AN161" s="31">
        <f t="shared" si="162"/>
        <v>11.650987297305107</v>
      </c>
      <c r="AO161" s="31">
        <f t="shared" si="163"/>
        <v>1.4848609592353283</v>
      </c>
      <c r="AP161" s="31" t="str">
        <f t="shared" si="144"/>
        <v>1+0.446461275052217i</v>
      </c>
      <c r="AQ161" s="31">
        <f t="shared" si="164"/>
        <v>1.0951381968141058</v>
      </c>
      <c r="AR161" s="31">
        <f t="shared" si="165"/>
        <v>0.41990722583496704</v>
      </c>
      <c r="AS161" s="58" t="str">
        <f t="shared" si="166"/>
        <v>-3.02135422511833+3.34411489225931i</v>
      </c>
      <c r="AT161" s="49">
        <f t="shared" si="167"/>
        <v>13.077459691264862</v>
      </c>
      <c r="AU161" s="61">
        <f t="shared" si="168"/>
        <v>132.0973073949834</v>
      </c>
      <c r="AV161" s="58" t="str">
        <f t="shared" si="145"/>
        <v>11.9761264104913+9.92272176279433i</v>
      </c>
      <c r="AW161" s="64">
        <f t="shared" si="169"/>
        <v>23.836143433786749</v>
      </c>
      <c r="AX161" s="61">
        <f t="shared" si="170"/>
        <v>39.643169602502077</v>
      </c>
    </row>
    <row r="162" spans="14:50" x14ac:dyDescent="0.25">
      <c r="N162" s="10">
        <v>44</v>
      </c>
      <c r="O162" s="50">
        <f t="shared" si="135"/>
        <v>275.42287033381683</v>
      </c>
      <c r="P162" s="48" t="str">
        <f t="shared" si="136"/>
        <v>304.285714285714</v>
      </c>
      <c r="Q162" s="17" t="str">
        <f t="shared" si="137"/>
        <v>1+90.1113219665721i</v>
      </c>
      <c r="R162" s="17">
        <f t="shared" si="146"/>
        <v>90.116870488068002</v>
      </c>
      <c r="S162" s="17">
        <f t="shared" si="147"/>
        <v>1.5596993976792037</v>
      </c>
      <c r="T162" s="17" t="str">
        <f t="shared" si="138"/>
        <v>1+0.00186897556671408i</v>
      </c>
      <c r="U162" s="17">
        <f t="shared" si="148"/>
        <v>1.0000017465333093</v>
      </c>
      <c r="V162" s="17">
        <f t="shared" si="149"/>
        <v>1.868973390564686E-3</v>
      </c>
      <c r="W162" s="31" t="str">
        <f t="shared" si="139"/>
        <v>1-0.00584054864598152i</v>
      </c>
      <c r="X162" s="17">
        <f t="shared" si="150"/>
        <v>1.000017055858792</v>
      </c>
      <c r="Y162" s="17">
        <f t="shared" si="151"/>
        <v>-5.8404822363924084E-3</v>
      </c>
      <c r="Z162" s="31" t="str">
        <f t="shared" si="140"/>
        <v>0.999995236992228+0.051522102792755i</v>
      </c>
      <c r="AA162" s="17">
        <f t="shared" si="152"/>
        <v>1.001321627192447</v>
      </c>
      <c r="AB162" s="17">
        <f t="shared" si="153"/>
        <v>5.1476831078286829E-2</v>
      </c>
      <c r="AC162" s="66" t="str">
        <f t="shared" si="154"/>
        <v>-0.149511666210432-3.36885836186209i</v>
      </c>
      <c r="AD162" s="64">
        <f t="shared" si="155"/>
        <v>10.558200624786028</v>
      </c>
      <c r="AE162" s="61">
        <f t="shared" si="156"/>
        <v>-92.541148654773451</v>
      </c>
      <c r="AF162" s="31" t="str">
        <f t="shared" si="141"/>
        <v>-1512.12121212121</v>
      </c>
      <c r="AG162" s="31" t="str">
        <f t="shared" si="157"/>
        <v>1730.53293214267i</v>
      </c>
      <c r="AH162" s="31">
        <f t="shared" si="158"/>
        <v>1730.53293214267</v>
      </c>
      <c r="AI162" s="31">
        <f t="shared" si="159"/>
        <v>1.5707963267948966</v>
      </c>
      <c r="AJ162" s="31" t="str">
        <f t="shared" si="142"/>
        <v>0.986980984349198+2.38513643278548i</v>
      </c>
      <c r="AK162" s="31">
        <f t="shared" si="160"/>
        <v>2.581280160398626</v>
      </c>
      <c r="AL162" s="31">
        <f t="shared" si="161"/>
        <v>1.1784461674531488</v>
      </c>
      <c r="AM162" s="31" t="str">
        <f t="shared" si="143"/>
        <v>1+11.8783780462273i</v>
      </c>
      <c r="AN162" s="31">
        <f t="shared" si="162"/>
        <v>11.920397015581935</v>
      </c>
      <c r="AO162" s="31">
        <f t="shared" si="163"/>
        <v>1.4868077947110749</v>
      </c>
      <c r="AP162" s="31" t="str">
        <f t="shared" si="144"/>
        <v>1+0.456860694085665i</v>
      </c>
      <c r="AQ162" s="31">
        <f t="shared" si="164"/>
        <v>1.0994187981840384</v>
      </c>
      <c r="AR162" s="31">
        <f t="shared" si="165"/>
        <v>0.4285446131172605</v>
      </c>
      <c r="AS162" s="58" t="str">
        <f t="shared" si="166"/>
        <v>-2.98122513379213+3.28534140654251i</v>
      </c>
      <c r="AT162" s="49">
        <f t="shared" si="167"/>
        <v>12.940509447909715</v>
      </c>
      <c r="AU162" s="61">
        <f t="shared" si="168"/>
        <v>132.22161747035116</v>
      </c>
      <c r="AV162" s="58" t="str">
        <f t="shared" si="145"/>
        <v>11.5135778061042+9.55212835280675i</v>
      </c>
      <c r="AW162" s="64">
        <f t="shared" si="169"/>
        <v>23.498710072695754</v>
      </c>
      <c r="AX162" s="61">
        <f t="shared" si="170"/>
        <v>39.680468815577633</v>
      </c>
    </row>
    <row r="163" spans="14:50" x14ac:dyDescent="0.25">
      <c r="N163" s="10">
        <v>45</v>
      </c>
      <c r="O163" s="50">
        <f t="shared" si="135"/>
        <v>281.83829312644554</v>
      </c>
      <c r="P163" s="48" t="str">
        <f t="shared" si="136"/>
        <v>304.285714285714</v>
      </c>
      <c r="Q163" s="17" t="str">
        <f t="shared" si="137"/>
        <v>1+92.210284293548i</v>
      </c>
      <c r="R163" s="17">
        <f t="shared" si="146"/>
        <v>92.215706522787883</v>
      </c>
      <c r="S163" s="17">
        <f t="shared" si="147"/>
        <v>1.5599519745909953</v>
      </c>
      <c r="T163" s="17" t="str">
        <f t="shared" si="138"/>
        <v>1+0.00191250960016247i</v>
      </c>
      <c r="U163" s="17">
        <f t="shared" si="148"/>
        <v>1.0000018288448129</v>
      </c>
      <c r="V163" s="17">
        <f t="shared" si="149"/>
        <v>1.9125072683766138E-3</v>
      </c>
      <c r="W163" s="31" t="str">
        <f t="shared" si="139"/>
        <v>1-0.00597659250050773i</v>
      </c>
      <c r="X163" s="17">
        <f t="shared" si="150"/>
        <v>1.0000178596694747</v>
      </c>
      <c r="Y163" s="17">
        <f t="shared" si="151"/>
        <v>-5.9765213414195812E-3</v>
      </c>
      <c r="Z163" s="31" t="str">
        <f t="shared" si="140"/>
        <v>0.999995012518587+0.0527222067353949i</v>
      </c>
      <c r="AA163" s="17">
        <f t="shared" si="152"/>
        <v>1.0013838705237359</v>
      </c>
      <c r="AB163" s="17">
        <f t="shared" si="153"/>
        <v>5.2673700839269116E-2</v>
      </c>
      <c r="AC163" s="66" t="str">
        <f t="shared" si="154"/>
        <v>-0.151175718746851-3.29175199757302i</v>
      </c>
      <c r="AD163" s="64">
        <f t="shared" si="155"/>
        <v>10.357692482038892</v>
      </c>
      <c r="AE163" s="61">
        <f t="shared" si="156"/>
        <v>-92.62949599085502</v>
      </c>
      <c r="AF163" s="31" t="str">
        <f t="shared" si="141"/>
        <v>-1512.12121212121</v>
      </c>
      <c r="AG163" s="31" t="str">
        <f t="shared" si="157"/>
        <v>1770.84222237266i</v>
      </c>
      <c r="AH163" s="31">
        <f t="shared" si="158"/>
        <v>1770.84222237266</v>
      </c>
      <c r="AI163" s="31">
        <f t="shared" si="159"/>
        <v>1.5707963267948966</v>
      </c>
      <c r="AJ163" s="31" t="str">
        <f t="shared" si="142"/>
        <v>0.986367417044524+2.44069339730289i</v>
      </c>
      <c r="AK163" s="31">
        <f t="shared" si="160"/>
        <v>2.632471261200207</v>
      </c>
      <c r="AL163" s="31">
        <f t="shared" si="161"/>
        <v>1.186731163043387</v>
      </c>
      <c r="AM163" s="31" t="str">
        <f t="shared" si="143"/>
        <v>1+12.1550610143659i</v>
      </c>
      <c r="AN163" s="31">
        <f t="shared" si="162"/>
        <v>12.196126772994687</v>
      </c>
      <c r="AO163" s="31">
        <f t="shared" si="163"/>
        <v>1.4887109316468283</v>
      </c>
      <c r="AP163" s="31" t="str">
        <f t="shared" si="144"/>
        <v>1+0.467502346706382i</v>
      </c>
      <c r="AQ163" s="31">
        <f t="shared" si="164"/>
        <v>1.1038833471775784</v>
      </c>
      <c r="AR163" s="31">
        <f t="shared" si="165"/>
        <v>0.43731317362447042</v>
      </c>
      <c r="AS163" s="58" t="str">
        <f t="shared" si="166"/>
        <v>-2.94236838998149+3.22701069289738i</v>
      </c>
      <c r="AT163" s="49">
        <f t="shared" si="167"/>
        <v>12.803764209738823</v>
      </c>
      <c r="AU163" s="61">
        <f t="shared" si="168"/>
        <v>132.35836541346836</v>
      </c>
      <c r="AV163" s="58" t="str">
        <f t="shared" si="145"/>
        <v>11.0673335507079+9.19770136441474i</v>
      </c>
      <c r="AW163" s="64">
        <f t="shared" si="169"/>
        <v>23.161456691777712</v>
      </c>
      <c r="AX163" s="61">
        <f t="shared" si="170"/>
        <v>39.728869422613343</v>
      </c>
    </row>
    <row r="164" spans="14:50" x14ac:dyDescent="0.25">
      <c r="N164" s="10">
        <v>46</v>
      </c>
      <c r="O164" s="50">
        <f t="shared" si="135"/>
        <v>288.40315031266073</v>
      </c>
      <c r="P164" s="48" t="str">
        <f t="shared" si="136"/>
        <v>304.285714285714</v>
      </c>
      <c r="Q164" s="17" t="str">
        <f t="shared" si="137"/>
        <v>1+94.3581377338038i</v>
      </c>
      <c r="R164" s="17">
        <f t="shared" si="146"/>
        <v>94.363436545048998</v>
      </c>
      <c r="S164" s="17">
        <f t="shared" si="147"/>
        <v>1.5601988034873966</v>
      </c>
      <c r="T164" s="17" t="str">
        <f t="shared" si="138"/>
        <v>1+0.00195705767151593i</v>
      </c>
      <c r="U164" s="17">
        <f t="shared" si="148"/>
        <v>1.000001915035531</v>
      </c>
      <c r="V164" s="17">
        <f t="shared" si="149"/>
        <v>1.9570551729626278E-3</v>
      </c>
      <c r="W164" s="31" t="str">
        <f t="shared" si="139"/>
        <v>1-0.00611580522348727i</v>
      </c>
      <c r="X164" s="17">
        <f t="shared" si="150"/>
        <v>1.0000187013618953</v>
      </c>
      <c r="Y164" s="17">
        <f t="shared" si="151"/>
        <v>-6.1157289752275879E-3</v>
      </c>
      <c r="Z164" s="31" t="str">
        <f t="shared" si="140"/>
        <v>0.99999477746583+0.0539502646899068i</v>
      </c>
      <c r="AA164" s="17">
        <f t="shared" si="152"/>
        <v>1.0014490431465026</v>
      </c>
      <c r="AB164" s="17">
        <f t="shared" si="153"/>
        <v>5.3898293746655383E-2</v>
      </c>
      <c r="AC164" s="66" t="str">
        <f t="shared" si="154"/>
        <v>-0.152762766314357-3.21638943105636i</v>
      </c>
      <c r="AD164" s="64">
        <f t="shared" si="155"/>
        <v>10.15715824568764</v>
      </c>
      <c r="AE164" s="61">
        <f t="shared" si="156"/>
        <v>-92.719225853069844</v>
      </c>
      <c r="AF164" s="31" t="str">
        <f t="shared" si="141"/>
        <v>-1512.12121212121</v>
      </c>
      <c r="AG164" s="31" t="str">
        <f t="shared" si="157"/>
        <v>1812.09043658882i</v>
      </c>
      <c r="AH164" s="31">
        <f t="shared" si="158"/>
        <v>1812.09043658882</v>
      </c>
      <c r="AI164" s="31">
        <f t="shared" si="159"/>
        <v>1.5707963267948966</v>
      </c>
      <c r="AJ164" s="31" t="str">
        <f t="shared" si="142"/>
        <v>0.985724933203649+2.49754444976596i</v>
      </c>
      <c r="AK164" s="31">
        <f t="shared" si="160"/>
        <v>2.6850292219072944</v>
      </c>
      <c r="AL164" s="31">
        <f t="shared" si="161"/>
        <v>1.1948866005053667</v>
      </c>
      <c r="AM164" s="31" t="str">
        <f t="shared" si="143"/>
        <v>1+12.4381887567456i</v>
      </c>
      <c r="AN164" s="31">
        <f t="shared" si="162"/>
        <v>12.478322785872813</v>
      </c>
      <c r="AO164" s="31">
        <f t="shared" si="163"/>
        <v>1.4905713239360703</v>
      </c>
      <c r="AP164" s="31" t="str">
        <f t="shared" si="144"/>
        <v>1+0.478391875259448i</v>
      </c>
      <c r="AQ164" s="31">
        <f t="shared" si="164"/>
        <v>1.1085390323819235</v>
      </c>
      <c r="AR164" s="31">
        <f t="shared" si="165"/>
        <v>0.44621216198702779</v>
      </c>
      <c r="AS164" s="58" t="str">
        <f t="shared" si="166"/>
        <v>-2.90476366114195+3.1691536200247i</v>
      </c>
      <c r="AT164" s="49">
        <f t="shared" si="167"/>
        <v>12.667298518872837</v>
      </c>
      <c r="AU164" s="61">
        <f t="shared" si="168"/>
        <v>132.50756036833684</v>
      </c>
      <c r="AV164" s="58" t="str">
        <f t="shared" si="145"/>
        <v>10.6369719412069+8.85872246554341i</v>
      </c>
      <c r="AW164" s="64">
        <f t="shared" si="169"/>
        <v>22.824456764560473</v>
      </c>
      <c r="AX164" s="61">
        <f t="shared" si="170"/>
        <v>39.788334515267024</v>
      </c>
    </row>
    <row r="165" spans="14:50" x14ac:dyDescent="0.25">
      <c r="N165" s="10">
        <v>47</v>
      </c>
      <c r="O165" s="50">
        <f t="shared" si="135"/>
        <v>295.12092266663871</v>
      </c>
      <c r="P165" s="48" t="str">
        <f t="shared" si="136"/>
        <v>304.285714285714</v>
      </c>
      <c r="Q165" s="17" t="str">
        <f t="shared" si="137"/>
        <v>1+96.5560211076635i</v>
      </c>
      <c r="R165" s="17">
        <f t="shared" si="146"/>
        <v>96.561199309782594</v>
      </c>
      <c r="S165" s="17">
        <f t="shared" si="147"/>
        <v>1.5604400151199826</v>
      </c>
      <c r="T165" s="17" t="str">
        <f t="shared" si="138"/>
        <v>1+0.00200264340075153i</v>
      </c>
      <c r="U165" s="17">
        <f t="shared" si="148"/>
        <v>1.0000020052882848</v>
      </c>
      <c r="V165" s="17">
        <f t="shared" si="149"/>
        <v>2.0026407235037218E-3</v>
      </c>
      <c r="W165" s="31" t="str">
        <f t="shared" si="139"/>
        <v>1-0.00625826062734855i</v>
      </c>
      <c r="X165" s="17">
        <f t="shared" si="150"/>
        <v>1.0000195827212985</v>
      </c>
      <c r="Y165" s="17">
        <f t="shared" si="151"/>
        <v>-6.2581789259527187E-3</v>
      </c>
      <c r="Z165" s="31" t="str">
        <f t="shared" si="140"/>
        <v>0.999994531335377+0.0552069277888733i</v>
      </c>
      <c r="AA165" s="17">
        <f t="shared" si="152"/>
        <v>1.0015172827148546</v>
      </c>
      <c r="AB165" s="17">
        <f t="shared" si="153"/>
        <v>5.515124447536645E-2</v>
      </c>
      <c r="AC165" s="66" t="str">
        <f t="shared" si="154"/>
        <v>-0.154276173765437-3.14273082215418i</v>
      </c>
      <c r="AD165" s="64">
        <f t="shared" si="155"/>
        <v>9.9565967926833636</v>
      </c>
      <c r="AE165" s="61">
        <f t="shared" si="156"/>
        <v>-92.810384971595084</v>
      </c>
      <c r="AF165" s="31" t="str">
        <f t="shared" si="141"/>
        <v>-1512.12121212121</v>
      </c>
      <c r="AG165" s="31" t="str">
        <f t="shared" si="157"/>
        <v>1854.29944514031i</v>
      </c>
      <c r="AH165" s="31">
        <f t="shared" si="158"/>
        <v>1854.2994451403099</v>
      </c>
      <c r="AI165" s="31">
        <f t="shared" si="159"/>
        <v>1.5707963267948966</v>
      </c>
      <c r="AJ165" s="31" t="str">
        <f t="shared" si="142"/>
        <v>0.985052170032207+2.5557197333552i</v>
      </c>
      <c r="AK165" s="31">
        <f t="shared" si="160"/>
        <v>2.7389835949027397</v>
      </c>
      <c r="AL165" s="31">
        <f t="shared" si="161"/>
        <v>1.2029126683191387</v>
      </c>
      <c r="AM165" s="31" t="str">
        <f t="shared" si="143"/>
        <v>1+12.7279113914431i</v>
      </c>
      <c r="AN165" s="31">
        <f t="shared" si="162"/>
        <v>12.76713469766913</v>
      </c>
      <c r="AO165" s="31">
        <f t="shared" si="163"/>
        <v>1.4923899064432897</v>
      </c>
      <c r="AP165" s="31" t="str">
        <f t="shared" si="144"/>
        <v>1+0.489535053517042i</v>
      </c>
      <c r="AQ165" s="31">
        <f t="shared" si="164"/>
        <v>1.1133932677279548</v>
      </c>
      <c r="AR165" s="31">
        <f t="shared" si="165"/>
        <v>0.45524065773178696</v>
      </c>
      <c r="AS165" s="58" t="str">
        <f t="shared" si="166"/>
        <v>-2.86838933409498+3.11179929401403i</v>
      </c>
      <c r="AT165" s="49">
        <f t="shared" si="167"/>
        <v>12.531186753022103</v>
      </c>
      <c r="AU165" s="61">
        <f t="shared" si="168"/>
        <v>132.66919236040852</v>
      </c>
      <c r="AV165" s="58" t="str">
        <f t="shared" si="145"/>
        <v>10.2220716849893+8.53449908159213i</v>
      </c>
      <c r="AW165" s="64">
        <f t="shared" si="169"/>
        <v>22.487783545705483</v>
      </c>
      <c r="AX165" s="61">
        <f t="shared" si="170"/>
        <v>39.858807388813396</v>
      </c>
    </row>
    <row r="166" spans="14:50" x14ac:dyDescent="0.25">
      <c r="N166" s="10">
        <v>48</v>
      </c>
      <c r="O166" s="50">
        <f t="shared" si="135"/>
        <v>301.99517204020168</v>
      </c>
      <c r="P166" s="48" t="str">
        <f t="shared" si="136"/>
        <v>304.285714285714</v>
      </c>
      <c r="Q166" s="17" t="str">
        <f t="shared" si="137"/>
        <v>1+98.8050997619846i</v>
      </c>
      <c r="R166" s="17">
        <f t="shared" si="146"/>
        <v>98.810160099939765</v>
      </c>
      <c r="S166" s="17">
        <f t="shared" si="147"/>
        <v>1.5606757372700144</v>
      </c>
      <c r="T166" s="17" t="str">
        <f t="shared" si="138"/>
        <v>1+0.00204929095802634i</v>
      </c>
      <c r="U166" s="17">
        <f t="shared" si="148"/>
        <v>1.0000020997945107</v>
      </c>
      <c r="V166" s="17">
        <f t="shared" si="149"/>
        <v>2.0492880893039538E-3</v>
      </c>
      <c r="W166" s="31" t="str">
        <f t="shared" si="139"/>
        <v>1-0.00640403424383233i</v>
      </c>
      <c r="X166" s="17">
        <f t="shared" si="150"/>
        <v>1.0000205056170579</v>
      </c>
      <c r="Y166" s="17">
        <f t="shared" si="151"/>
        <v>-6.4039466993063834E-3</v>
      </c>
      <c r="Z166" s="31" t="str">
        <f t="shared" si="140"/>
        <v>0.999994273605154+0.0564928623317037i</v>
      </c>
      <c r="AA166" s="17">
        <f t="shared" si="152"/>
        <v>1.0015887333319642</v>
      </c>
      <c r="AB166" s="17">
        <f t="shared" si="153"/>
        <v>5.643320169663614E-2</v>
      </c>
      <c r="AC166" s="66" t="str">
        <f t="shared" si="154"/>
        <v>-0.155719150042973-3.07073722741187i</v>
      </c>
      <c r="AD166" s="64">
        <f t="shared" si="155"/>
        <v>9.7560069432241594</v>
      </c>
      <c r="AE166" s="61">
        <f t="shared" si="156"/>
        <v>-92.903020775241131</v>
      </c>
      <c r="AF166" s="31" t="str">
        <f t="shared" si="141"/>
        <v>-1512.12121212121</v>
      </c>
      <c r="AG166" s="31" t="str">
        <f t="shared" si="157"/>
        <v>1897.49162780217i</v>
      </c>
      <c r="AH166" s="31">
        <f t="shared" si="158"/>
        <v>1897.4916278021699</v>
      </c>
      <c r="AI166" s="31">
        <f t="shared" si="159"/>
        <v>1.5707963267948966</v>
      </c>
      <c r="AJ166" s="31" t="str">
        <f t="shared" si="142"/>
        <v>0.984347700509313+2.61525009337601i</v>
      </c>
      <c r="AK166" s="31">
        <f t="shared" si="160"/>
        <v>2.7943645872364615</v>
      </c>
      <c r="AL166" s="31">
        <f t="shared" si="161"/>
        <v>1.2108096876732402</v>
      </c>
      <c r="AM166" s="31" t="str">
        <f t="shared" si="143"/>
        <v>1+13.0243825332341i</v>
      </c>
      <c r="AN166" s="31">
        <f t="shared" si="162"/>
        <v>13.062715658392534</v>
      </c>
      <c r="AO166" s="31">
        <f t="shared" si="163"/>
        <v>1.4941675952622122</v>
      </c>
      <c r="AP166" s="31" t="str">
        <f t="shared" si="144"/>
        <v>1+0.500937789739773i</v>
      </c>
      <c r="AQ166" s="31">
        <f t="shared" si="164"/>
        <v>1.1184536955946673</v>
      </c>
      <c r="AR166" s="31">
        <f t="shared" si="165"/>
        <v>0.46439755933368365</v>
      </c>
      <c r="AS166" s="58" t="str">
        <f t="shared" si="166"/>
        <v>-2.83322266262841+3.05497505085535i</v>
      </c>
      <c r="AT166" s="49">
        <f t="shared" si="167"/>
        <v>12.395503016684234</v>
      </c>
      <c r="AU166" s="61">
        <f t="shared" si="168"/>
        <v>132.84323236250239</v>
      </c>
      <c r="AV166" s="58" t="str">
        <f t="shared" si="145"/>
        <v>9.82221264238298+8.22436418535836i</v>
      </c>
      <c r="AW166" s="64">
        <f t="shared" si="169"/>
        <v>22.151509959908395</v>
      </c>
      <c r="AX166" s="61">
        <f t="shared" si="170"/>
        <v>39.940211587261253</v>
      </c>
    </row>
    <row r="167" spans="14:50" x14ac:dyDescent="0.25">
      <c r="N167" s="10">
        <v>49</v>
      </c>
      <c r="O167" s="50">
        <f t="shared" si="135"/>
        <v>309.02954325135937</v>
      </c>
      <c r="P167" s="48" t="str">
        <f t="shared" si="136"/>
        <v>304.285714285714</v>
      </c>
      <c r="Q167" s="17" t="str">
        <f t="shared" si="137"/>
        <v>1+101.10656618804i</v>
      </c>
      <c r="R167" s="17">
        <f t="shared" si="146"/>
        <v>101.11151134433958</v>
      </c>
      <c r="S167" s="17">
        <f t="shared" si="147"/>
        <v>1.5609060948156526</v>
      </c>
      <c r="T167" s="17" t="str">
        <f t="shared" si="138"/>
        <v>1+0.00209702507649267i</v>
      </c>
      <c r="U167" s="17">
        <f t="shared" si="148"/>
        <v>1.0000021987546686</v>
      </c>
      <c r="V167" s="17">
        <f t="shared" si="149"/>
        <v>2.0970220026016164E-3</v>
      </c>
      <c r="W167" s="31" t="str">
        <f t="shared" si="139"/>
        <v>1-0.0065532033640396i</v>
      </c>
      <c r="X167" s="17">
        <f t="shared" si="150"/>
        <v>1.0000214720066416</v>
      </c>
      <c r="Y167" s="17">
        <f t="shared" si="151"/>
        <v>-6.5531095584987634E-3</v>
      </c>
      <c r="Z167" s="31" t="str">
        <f t="shared" si="140"/>
        <v>0.999994003728479+0.0578087501379138i</v>
      </c>
      <c r="AA167" s="17">
        <f t="shared" si="152"/>
        <v>1.0016635458503125</v>
      </c>
      <c r="AB167" s="17">
        <f t="shared" si="153"/>
        <v>5.7744828348369581E-2</v>
      </c>
      <c r="AC167" s="66" t="str">
        <f t="shared" si="154"/>
        <v>-0.157094754976575-3.0003705799597i</v>
      </c>
      <c r="AD167" s="64">
        <f t="shared" si="155"/>
        <v>9.5553874583462957</v>
      </c>
      <c r="AE167" s="61">
        <f t="shared" si="156"/>
        <v>-92.997181412346649</v>
      </c>
      <c r="AF167" s="31" t="str">
        <f t="shared" si="141"/>
        <v>-1512.12121212121</v>
      </c>
      <c r="AG167" s="31" t="str">
        <f t="shared" si="157"/>
        <v>1941.68988564136i</v>
      </c>
      <c r="AH167" s="31">
        <f t="shared" si="158"/>
        <v>1941.68988564136</v>
      </c>
      <c r="AI167" s="31">
        <f t="shared" si="159"/>
        <v>1.5707963267948966</v>
      </c>
      <c r="AJ167" s="31" t="str">
        <f t="shared" si="142"/>
        <v>0.983610030360659+2.67616709361326i</v>
      </c>
      <c r="AK167" s="31">
        <f t="shared" si="160"/>
        <v>2.8512030802390314</v>
      </c>
      <c r="AL167" s="31">
        <f t="shared" si="161"/>
        <v>1.2185781056341849</v>
      </c>
      <c r="AM167" s="31" t="str">
        <f t="shared" si="143"/>
        <v>1+13.3277593750423i</v>
      </c>
      <c r="AN167" s="31">
        <f t="shared" si="162"/>
        <v>13.365222405894633</v>
      </c>
      <c r="AO167" s="31">
        <f t="shared" si="163"/>
        <v>1.4959052879793733</v>
      </c>
      <c r="AP167" s="31" t="str">
        <f t="shared" si="144"/>
        <v>1+0.512606129809319i</v>
      </c>
      <c r="AQ167" s="31">
        <f t="shared" si="164"/>
        <v>1.1237281896962843</v>
      </c>
      <c r="AR167" s="31">
        <f t="shared" si="165"/>
        <v>0.47368157858554705</v>
      </c>
      <c r="AS167" s="58" t="str">
        <f t="shared" si="166"/>
        <v>-2.79923990942117+2.99870645852399i</v>
      </c>
      <c r="AT167" s="49">
        <f t="shared" si="167"/>
        <v>12.260321031912309</v>
      </c>
      <c r="AU167" s="61">
        <f t="shared" si="168"/>
        <v>133.02963237868053</v>
      </c>
      <c r="AV167" s="58" t="str">
        <f t="shared" si="145"/>
        <v>9.43697654378169+7.92767601412783i</v>
      </c>
      <c r="AW167" s="64">
        <f t="shared" si="169"/>
        <v>21.815708490258597</v>
      </c>
      <c r="AX167" s="61">
        <f t="shared" si="170"/>
        <v>40.032450966333876</v>
      </c>
    </row>
    <row r="168" spans="14:50" x14ac:dyDescent="0.25">
      <c r="N168" s="10">
        <v>50</v>
      </c>
      <c r="O168" s="50">
        <f t="shared" si="135"/>
        <v>316.22776601683825</v>
      </c>
      <c r="P168" s="48" t="str">
        <f t="shared" si="136"/>
        <v>304.285714285714</v>
      </c>
      <c r="Q168" s="17" t="str">
        <f t="shared" si="137"/>
        <v>1+103.461640653791i</v>
      </c>
      <c r="R168" s="17">
        <f t="shared" si="146"/>
        <v>103.46647324990921</v>
      </c>
      <c r="S168" s="17">
        <f t="shared" si="147"/>
        <v>1.5611312097976702</v>
      </c>
      <c r="T168" s="17" t="str">
        <f t="shared" si="138"/>
        <v>1+0.00214587106541196i</v>
      </c>
      <c r="U168" s="17">
        <f t="shared" si="148"/>
        <v>1.0000023023786642</v>
      </c>
      <c r="V168" s="17">
        <f t="shared" si="149"/>
        <v>2.1458677716787635E-3</v>
      </c>
      <c r="W168" s="31" t="str">
        <f t="shared" si="139"/>
        <v>1-0.00670584707941237i</v>
      </c>
      <c r="X168" s="17">
        <f t="shared" si="150"/>
        <v>1.0000224839397625</v>
      </c>
      <c r="Y168" s="17">
        <f t="shared" si="151"/>
        <v>-6.7057465650864796E-3</v>
      </c>
      <c r="Z168" s="31" t="str">
        <f t="shared" si="140"/>
        <v>0.999993721132909+0.0591552889086361i</v>
      </c>
      <c r="AA168" s="17">
        <f t="shared" si="152"/>
        <v>1.0017418781857461</v>
      </c>
      <c r="AB168" s="17">
        <f t="shared" si="153"/>
        <v>5.9086801907896704E-2</v>
      </c>
      <c r="AC168" s="66" t="str">
        <f t="shared" si="154"/>
        <v>-0.158405905764964-2.9315936698291i</v>
      </c>
      <c r="AD168" s="64">
        <f t="shared" si="155"/>
        <v>9.354737037398154</v>
      </c>
      <c r="AE168" s="61">
        <f t="shared" si="156"/>
        <v>-93.092915771760261</v>
      </c>
      <c r="AF168" s="31" t="str">
        <f t="shared" si="141"/>
        <v>-1512.12121212121</v>
      </c>
      <c r="AG168" s="31" t="str">
        <f t="shared" si="157"/>
        <v>1986.91765315922i</v>
      </c>
      <c r="AH168" s="31">
        <f t="shared" si="158"/>
        <v>1986.91765315922</v>
      </c>
      <c r="AI168" s="31">
        <f t="shared" si="159"/>
        <v>1.5707963267948966</v>
      </c>
      <c r="AJ168" s="31" t="str">
        <f t="shared" si="142"/>
        <v>0.982837594888959+2.7385030330668i</v>
      </c>
      <c r="AK168" s="31">
        <f t="shared" si="160"/>
        <v>2.9095306494421362</v>
      </c>
      <c r="AL168" s="31">
        <f t="shared" si="161"/>
        <v>1.2262184883569638</v>
      </c>
      <c r="AM168" s="31" t="str">
        <f t="shared" si="143"/>
        <v>1+13.6382027712849i</v>
      </c>
      <c r="AN168" s="31">
        <f t="shared" si="162"/>
        <v>13.674815349052547</v>
      </c>
      <c r="AO168" s="31">
        <f t="shared" si="163"/>
        <v>1.49760386394221</v>
      </c>
      <c r="AP168" s="31" t="str">
        <f t="shared" si="144"/>
        <v>1+0.524546260434034i</v>
      </c>
      <c r="AQ168" s="31">
        <f t="shared" si="164"/>
        <v>1.1292248577388515</v>
      </c>
      <c r="AR168" s="31">
        <f t="shared" si="165"/>
        <v>0.48309123533883236</v>
      </c>
      <c r="AS168" s="58" t="str">
        <f t="shared" si="166"/>
        <v>-2.76641648186928+2.94301732778173i</v>
      </c>
      <c r="AT168" s="49">
        <f t="shared" si="167"/>
        <v>12.125714028523099</v>
      </c>
      <c r="AU168" s="61">
        <f t="shared" si="168"/>
        <v>133.2283255472835</v>
      </c>
      <c r="AV168" s="58" t="str">
        <f t="shared" si="145"/>
        <v>9.0659476768559+7.64381772086962i</v>
      </c>
      <c r="AW168" s="64">
        <f t="shared" si="169"/>
        <v>21.480451065921251</v>
      </c>
      <c r="AX168" s="61">
        <f t="shared" si="170"/>
        <v>40.135409775523271</v>
      </c>
    </row>
    <row r="169" spans="14:50" x14ac:dyDescent="0.25">
      <c r="N169" s="10">
        <v>51</v>
      </c>
      <c r="O169" s="50">
        <f t="shared" si="135"/>
        <v>323.59365692962825</v>
      </c>
      <c r="P169" s="48" t="str">
        <f t="shared" si="136"/>
        <v>304.285714285714</v>
      </c>
      <c r="Q169" s="17" t="str">
        <f t="shared" si="137"/>
        <v>1+105.871571850894i</v>
      </c>
      <c r="R169" s="17">
        <f t="shared" si="146"/>
        <v>105.8762944486584</v>
      </c>
      <c r="S169" s="17">
        <f t="shared" si="147"/>
        <v>1.5613512014836932</v>
      </c>
      <c r="T169" s="17" t="str">
        <f t="shared" si="138"/>
        <v>1+0.00219585482357409i</v>
      </c>
      <c r="U169" s="17">
        <f t="shared" si="148"/>
        <v>1.0000024108862968</v>
      </c>
      <c r="V169" s="17">
        <f t="shared" si="149"/>
        <v>2.1958512942758432E-3</v>
      </c>
      <c r="W169" s="31" t="str">
        <f t="shared" si="139"/>
        <v>1-0.00686204632366904i</v>
      </c>
      <c r="X169" s="17">
        <f t="shared" si="150"/>
        <v>1.0000235435627245</v>
      </c>
      <c r="Y169" s="17">
        <f t="shared" si="151"/>
        <v>-6.8619386207653425E-3</v>
      </c>
      <c r="Z169" s="31" t="str">
        <f t="shared" si="140"/>
        <v>0.999993425219019+0.0605331925965507i</v>
      </c>
      <c r="AA169" s="17">
        <f t="shared" si="152"/>
        <v>1.0018238956459349</v>
      </c>
      <c r="AB169" s="17">
        <f t="shared" si="153"/>
        <v>6.0459814666907065E-2</v>
      </c>
      <c r="AC169" s="66" t="str">
        <f t="shared" si="154"/>
        <v>-0.159655383158147-2.86437012469613i</v>
      </c>
      <c r="AD169" s="64">
        <f t="shared" si="155"/>
        <v>9.1540543153939637</v>
      </c>
      <c r="AE169" s="61">
        <f t="shared" si="156"/>
        <v>-93.190273503900087</v>
      </c>
      <c r="AF169" s="31" t="str">
        <f t="shared" si="141"/>
        <v>-1512.12121212121</v>
      </c>
      <c r="AG169" s="31" t="str">
        <f t="shared" si="157"/>
        <v>2033.19891071675i</v>
      </c>
      <c r="AH169" s="31">
        <f t="shared" si="158"/>
        <v>2033.1989107167501</v>
      </c>
      <c r="AI169" s="31">
        <f t="shared" si="159"/>
        <v>1.5707963267948966</v>
      </c>
      <c r="AJ169" s="31" t="str">
        <f t="shared" si="142"/>
        <v>0.982028755655014+2.80229096307685i</v>
      </c>
      <c r="AK169" s="31">
        <f t="shared" si="160"/>
        <v>2.9693795848081654</v>
      </c>
      <c r="AL169" s="31">
        <f t="shared" si="161"/>
        <v>1.2337315143645666</v>
      </c>
      <c r="AM169" s="31" t="str">
        <f t="shared" si="143"/>
        <v>1+13.9558773231597i</v>
      </c>
      <c r="AN169" s="31">
        <f t="shared" si="162"/>
        <v>13.991658652893275</v>
      </c>
      <c r="AO169" s="31">
        <f t="shared" si="163"/>
        <v>1.4992641845309116</v>
      </c>
      <c r="AP169" s="31" t="str">
        <f t="shared" si="144"/>
        <v>1+0.536764512429222i</v>
      </c>
      <c r="AQ169" s="31">
        <f t="shared" si="164"/>
        <v>1.1349520438341791</v>
      </c>
      <c r="AR169" s="31">
        <f t="shared" si="165"/>
        <v>0.4926248526693916</v>
      </c>
      <c r="AS169" s="58" t="str">
        <f t="shared" si="166"/>
        <v>-2.73472706148329+2.88792973084768i</v>
      </c>
      <c r="AT169" s="49">
        <f t="shared" si="167"/>
        <v>11.991754633645868</v>
      </c>
      <c r="AU169" s="61">
        <f t="shared" si="168"/>
        <v>133.43922626458107</v>
      </c>
      <c r="AV169" s="58" t="str">
        <f t="shared" si="145"/>
        <v>8.7087135400959+7.37219696639848i</v>
      </c>
      <c r="AW169" s="64">
        <f t="shared" si="169"/>
        <v>21.145808949039832</v>
      </c>
      <c r="AX169" s="61">
        <f t="shared" si="170"/>
        <v>40.248952760680979</v>
      </c>
    </row>
    <row r="170" spans="14:50" x14ac:dyDescent="0.25">
      <c r="N170" s="10">
        <v>52</v>
      </c>
      <c r="O170" s="50">
        <f t="shared" si="135"/>
        <v>331.13112148259137</v>
      </c>
      <c r="P170" s="48" t="str">
        <f t="shared" si="136"/>
        <v>304.285714285714</v>
      </c>
      <c r="Q170" s="17" t="str">
        <f t="shared" si="137"/>
        <v>1+108.337637556768i</v>
      </c>
      <c r="R170" s="17">
        <f t="shared" si="146"/>
        <v>108.34225265971548</v>
      </c>
      <c r="S170" s="17">
        <f t="shared" si="147"/>
        <v>1.5615661864310024</v>
      </c>
      <c r="T170" s="17" t="str">
        <f t="shared" si="138"/>
        <v>1+0.00224700285302927i</v>
      </c>
      <c r="U170" s="17">
        <f t="shared" si="148"/>
        <v>1.0000025245077242</v>
      </c>
      <c r="V170" s="17">
        <f t="shared" si="149"/>
        <v>2.2469990713185803E-3</v>
      </c>
      <c r="W170" s="31" t="str">
        <f t="shared" si="139"/>
        <v>1-0.00702188391571646i</v>
      </c>
      <c r="X170" s="17">
        <f t="shared" si="150"/>
        <v>1.0000246531229746</v>
      </c>
      <c r="Y170" s="17">
        <f t="shared" si="151"/>
        <v>-7.0217685101295751E-3</v>
      </c>
      <c r="Z170" s="31" t="str">
        <f t="shared" si="140"/>
        <v>0.999993115359138+0.0619431917844318i</v>
      </c>
      <c r="AA170" s="17">
        <f t="shared" si="152"/>
        <v>1.0019097712738994</v>
      </c>
      <c r="AB170" s="17">
        <f t="shared" si="153"/>
        <v>6.1864574008325957E-2</v>
      </c>
      <c r="AC170" s="66" t="str">
        <f t="shared" si="154"/>
        <v>-0.16084583735238-2.79866439104369i</v>
      </c>
      <c r="AD170" s="64">
        <f t="shared" si="155"/>
        <v>8.9533378602412643</v>
      </c>
      <c r="AE170" s="61">
        <f t="shared" si="156"/>
        <v>-93.289305041879231</v>
      </c>
      <c r="AF170" s="31" t="str">
        <f t="shared" si="141"/>
        <v>-1512.12121212121</v>
      </c>
      <c r="AG170" s="31" t="str">
        <f t="shared" si="157"/>
        <v>2080.55819724932i</v>
      </c>
      <c r="AH170" s="31">
        <f t="shared" si="158"/>
        <v>2080.5581972493201</v>
      </c>
      <c r="AI170" s="31">
        <f t="shared" si="159"/>
        <v>1.5707963267948966</v>
      </c>
      <c r="AJ170" s="31" t="str">
        <f t="shared" si="142"/>
        <v>0.981181797002367+2.86756470484822i</v>
      </c>
      <c r="AK170" s="31">
        <f t="shared" si="160"/>
        <v>3.0307829112722762</v>
      </c>
      <c r="AL170" s="31">
        <f t="shared" si="161"/>
        <v>1.2411179679216573</v>
      </c>
      <c r="AM170" s="31" t="str">
        <f t="shared" si="143"/>
        <v>1+14.2809514659193i</v>
      </c>
      <c r="AN170" s="31">
        <f t="shared" si="162"/>
        <v>14.315920325705315</v>
      </c>
      <c r="AO170" s="31">
        <f t="shared" si="163"/>
        <v>1.5008870934333278</v>
      </c>
      <c r="AP170" s="31" t="str">
        <f t="shared" si="144"/>
        <v>1+0.54926736407382i</v>
      </c>
      <c r="AQ170" s="31">
        <f t="shared" si="164"/>
        <v>1.1409183306602635</v>
      </c>
      <c r="AR170" s="31">
        <f t="shared" si="165"/>
        <v>0.50228055252330417</v>
      </c>
      <c r="AS170" s="58" t="str">
        <f t="shared" si="166"/>
        <v>-2.70414572661368+2.8334640271125i</v>
      </c>
      <c r="AT170" s="49">
        <f t="shared" si="167"/>
        <v>11.858514760550666</v>
      </c>
      <c r="AU170" s="61">
        <f t="shared" si="168"/>
        <v>133.66223033070716</v>
      </c>
      <c r="AV170" s="58" t="str">
        <f t="shared" si="145"/>
        <v>8.36486545970304+7.11224545921791i</v>
      </c>
      <c r="AW170" s="64">
        <f t="shared" si="169"/>
        <v>20.811852620791921</v>
      </c>
      <c r="AX170" s="61">
        <f t="shared" si="170"/>
        <v>40.372925288827915</v>
      </c>
    </row>
    <row r="171" spans="14:50" x14ac:dyDescent="0.25">
      <c r="N171" s="10">
        <v>53</v>
      </c>
      <c r="O171" s="50">
        <f t="shared" si="135"/>
        <v>338.84415613920277</v>
      </c>
      <c r="P171" s="48" t="str">
        <f t="shared" si="136"/>
        <v>304.285714285714</v>
      </c>
      <c r="Q171" s="17" t="str">
        <f t="shared" si="137"/>
        <v>1+110.861145312093i</v>
      </c>
      <c r="R171" s="17">
        <f t="shared" si="146"/>
        <v>110.86565536679517</v>
      </c>
      <c r="S171" s="17">
        <f t="shared" si="147"/>
        <v>1.5617762785479266</v>
      </c>
      <c r="T171" s="17" t="str">
        <f t="shared" si="138"/>
        <v>1+0.0022993422731397i</v>
      </c>
      <c r="U171" s="17">
        <f t="shared" si="148"/>
        <v>1.0000026434839504</v>
      </c>
      <c r="V171" s="17">
        <f t="shared" si="149"/>
        <v>2.2993382209642674E-3</v>
      </c>
      <c r="W171" s="31" t="str">
        <f t="shared" si="139"/>
        <v>1-0.00718544460356157i</v>
      </c>
      <c r="X171" s="17">
        <f t="shared" si="150"/>
        <v>1.000025814973869</v>
      </c>
      <c r="Y171" s="17">
        <f t="shared" si="151"/>
        <v>-7.1853209444196963E-3</v>
      </c>
      <c r="Z171" s="31" t="str">
        <f t="shared" si="140"/>
        <v>0.99999279089601+0.0633860340725116i</v>
      </c>
      <c r="AA171" s="17">
        <f t="shared" si="152"/>
        <v>1.0019996862072527</v>
      </c>
      <c r="AB171" s="17">
        <f t="shared" si="153"/>
        <v>6.3301802684872552E-2</v>
      </c>
      <c r="AC171" s="66" t="str">
        <f t="shared" si="154"/>
        <v>-0.161979793610418-2.73444171573467i</v>
      </c>
      <c r="AD171" s="64">
        <f t="shared" si="155"/>
        <v>8.7525861698374836</v>
      </c>
      <c r="AE171" s="61">
        <f t="shared" si="156"/>
        <v>-93.390061622685167</v>
      </c>
      <c r="AF171" s="31" t="str">
        <f t="shared" si="141"/>
        <v>-1512.12121212121</v>
      </c>
      <c r="AG171" s="31" t="str">
        <f t="shared" si="157"/>
        <v>2129.0206232775i</v>
      </c>
      <c r="AH171" s="31">
        <f t="shared" si="158"/>
        <v>2129.0206232774999</v>
      </c>
      <c r="AI171" s="31">
        <f t="shared" si="159"/>
        <v>1.5707963267948966</v>
      </c>
      <c r="AJ171" s="31" t="str">
        <f t="shared" si="142"/>
        <v>0.980294922418162+2.93435886738282i</v>
      </c>
      <c r="AK171" s="31">
        <f t="shared" si="160"/>
        <v>3.0937744096018078</v>
      </c>
      <c r="AL171" s="31">
        <f t="shared" si="161"/>
        <v>1.2483787325247919</v>
      </c>
      <c r="AM171" s="31" t="str">
        <f t="shared" si="143"/>
        <v>1+14.6135975581767i</v>
      </c>
      <c r="AN171" s="31">
        <f t="shared" si="162"/>
        <v>14.647772308182157</v>
      </c>
      <c r="AO171" s="31">
        <f t="shared" si="163"/>
        <v>1.5024734169222718</v>
      </c>
      <c r="AP171" s="31" t="str">
        <f t="shared" si="144"/>
        <v>1+0.56206144454526i</v>
      </c>
      <c r="AQ171" s="31">
        <f t="shared" si="164"/>
        <v>1.1471325413588025</v>
      </c>
      <c r="AR171" s="31">
        <f t="shared" si="165"/>
        <v>0.51205625189818205</v>
      </c>
      <c r="AS171" s="58" t="str">
        <f t="shared" si="166"/>
        <v>-2.67464606833924+2.77963889509401i</v>
      </c>
      <c r="AT171" s="49">
        <f t="shared" si="167"/>
        <v>11.726065496734247</v>
      </c>
      <c r="AU171" s="61">
        <f t="shared" si="168"/>
        <v>133.89721511973781</v>
      </c>
      <c r="AV171" s="58" t="str">
        <f t="shared" si="145"/>
        <v>8.03399916755419+6.86341844955372i</v>
      </c>
      <c r="AW171" s="64">
        <f t="shared" si="169"/>
        <v>20.478651666571729</v>
      </c>
      <c r="AX171" s="61">
        <f t="shared" si="170"/>
        <v>40.50715349705262</v>
      </c>
    </row>
    <row r="172" spans="14:50" x14ac:dyDescent="0.25">
      <c r="N172" s="10">
        <v>54</v>
      </c>
      <c r="O172" s="50">
        <f t="shared" si="135"/>
        <v>346.73685045253183</v>
      </c>
      <c r="P172" s="48" t="str">
        <f t="shared" si="136"/>
        <v>304.285714285714</v>
      </c>
      <c r="Q172" s="17" t="str">
        <f t="shared" si="137"/>
        <v>1+113.443433114083i</v>
      </c>
      <c r="R172" s="17">
        <f t="shared" si="146"/>
        <v>113.44784051144131</v>
      </c>
      <c r="S172" s="17">
        <f t="shared" si="147"/>
        <v>1.5619815891538587</v>
      </c>
      <c r="T172" s="17" t="str">
        <f t="shared" si="138"/>
        <v>1+0.00235290083495876i</v>
      </c>
      <c r="U172" s="17">
        <f t="shared" si="148"/>
        <v>1.0000027680673385</v>
      </c>
      <c r="V172" s="17">
        <f t="shared" si="149"/>
        <v>2.3528964929752051E-3</v>
      </c>
      <c r="W172" s="31" t="str">
        <f t="shared" si="139"/>
        <v>1-0.00735281510924612i</v>
      </c>
      <c r="X172" s="17">
        <f t="shared" si="150"/>
        <v>1.0000270315796622</v>
      </c>
      <c r="Y172" s="17">
        <f t="shared" si="151"/>
        <v>-7.3526826062817749E-3</v>
      </c>
      <c r="Z172" s="31" t="str">
        <f t="shared" si="140"/>
        <v>0.999992451141406+0.0648624844748703i</v>
      </c>
      <c r="AA172" s="17">
        <f t="shared" si="152"/>
        <v>1.002093830053878</v>
      </c>
      <c r="AB172" s="17">
        <f t="shared" si="153"/>
        <v>6.4772239099013071E-2</v>
      </c>
      <c r="AC172" s="66" t="str">
        <f t="shared" si="154"/>
        <v>-0.163059657618999-2.67166812798881i</v>
      </c>
      <c r="AD172" s="64">
        <f t="shared" si="155"/>
        <v>8.5517976690321973</v>
      </c>
      <c r="AE172" s="61">
        <f t="shared" si="156"/>
        <v>-93.492595308399686</v>
      </c>
      <c r="AF172" s="31" t="str">
        <f t="shared" si="141"/>
        <v>-1512.12121212121</v>
      </c>
      <c r="AG172" s="31" t="str">
        <f t="shared" si="157"/>
        <v>2178.61188422107i</v>
      </c>
      <c r="AH172" s="31">
        <f t="shared" si="158"/>
        <v>2178.6118842210699</v>
      </c>
      <c r="AI172" s="31">
        <f t="shared" si="159"/>
        <v>1.5707963267948966</v>
      </c>
      <c r="AJ172" s="31" t="str">
        <f t="shared" si="142"/>
        <v>0.979366250722499+3.00270886582973i</v>
      </c>
      <c r="AK172" s="31">
        <f t="shared" si="160"/>
        <v>3.1583886375787746</v>
      </c>
      <c r="AL172" s="31">
        <f t="shared" si="161"/>
        <v>1.2555147845288348</v>
      </c>
      <c r="AM172" s="31" t="str">
        <f t="shared" si="143"/>
        <v>1+14.9539919732934i</v>
      </c>
      <c r="AN172" s="31">
        <f t="shared" si="162"/>
        <v>14.987390564648786</v>
      </c>
      <c r="AO172" s="31">
        <f t="shared" si="163"/>
        <v>1.5040239641346345</v>
      </c>
      <c r="AP172" s="31" t="str">
        <f t="shared" si="144"/>
        <v>1+0.575153537434362i</v>
      </c>
      <c r="AQ172" s="31">
        <f t="shared" si="164"/>
        <v>1.1536037411621289</v>
      </c>
      <c r="AR172" s="31">
        <f t="shared" si="165"/>
        <v>0.52194965961524653</v>
      </c>
      <c r="AS172" s="58" t="str">
        <f t="shared" si="166"/>
        <v>-2.64620129942638+2.72647136986473i</v>
      </c>
      <c r="AT172" s="49">
        <f t="shared" si="167"/>
        <v>11.59447699129168</v>
      </c>
      <c r="AU172" s="61">
        <f t="shared" si="168"/>
        <v>134.14403977591442</v>
      </c>
      <c r="AV172" s="58" t="str">
        <f t="shared" si="145"/>
        <v>7.71571533861701+6.62519418384189i</v>
      </c>
      <c r="AW172" s="64">
        <f t="shared" si="169"/>
        <v>20.146274660323883</v>
      </c>
      <c r="AX172" s="61">
        <f t="shared" si="170"/>
        <v>40.651444467514729</v>
      </c>
    </row>
    <row r="173" spans="14:50" x14ac:dyDescent="0.25">
      <c r="N173" s="10">
        <v>55</v>
      </c>
      <c r="O173" s="50">
        <f t="shared" si="135"/>
        <v>354.81338923357566</v>
      </c>
      <c r="P173" s="48" t="str">
        <f t="shared" si="136"/>
        <v>304.285714285714</v>
      </c>
      <c r="Q173" s="17" t="str">
        <f t="shared" si="137"/>
        <v>1+116.085870125912i</v>
      </c>
      <c r="R173" s="17">
        <f t="shared" si="146"/>
        <v>116.09017720242358</v>
      </c>
      <c r="S173" s="17">
        <f t="shared" si="147"/>
        <v>1.5621822270379251</v>
      </c>
      <c r="T173" s="17" t="str">
        <f t="shared" si="138"/>
        <v>1+0.00240770693594483i</v>
      </c>
      <c r="U173" s="17">
        <f t="shared" si="148"/>
        <v>1.0000028985221441</v>
      </c>
      <c r="V173" s="17">
        <f t="shared" si="149"/>
        <v>2.407702283426356E-3</v>
      </c>
      <c r="W173" s="31" t="str">
        <f t="shared" si="139"/>
        <v>1-0.0075240841748276i</v>
      </c>
      <c r="X173" s="17">
        <f t="shared" si="150"/>
        <v>1.0000283055207337</v>
      </c>
      <c r="Y173" s="17">
        <f t="shared" si="151"/>
        <v>-7.5239421955603462E-3</v>
      </c>
      <c r="Z173" s="31" t="str">
        <f t="shared" si="140"/>
        <v>0.999992095374661+0.0663733258250539i</v>
      </c>
      <c r="AA173" s="17">
        <f t="shared" si="152"/>
        <v>1.0021924012847454</v>
      </c>
      <c r="AB173" s="17">
        <f t="shared" si="153"/>
        <v>6.6276637583984638E-2</v>
      </c>
      <c r="AC173" s="66" t="str">
        <f t="shared" si="154"/>
        <v>-0.164087720594849-2.61031042175452i</v>
      </c>
      <c r="AD173" s="64">
        <f t="shared" si="155"/>
        <v>8.3509707064465122</v>
      </c>
      <c r="AE173" s="61">
        <f t="shared" si="156"/>
        <v>-93.596959007442962</v>
      </c>
      <c r="AF173" s="31" t="str">
        <f t="shared" si="141"/>
        <v>-1512.12121212121</v>
      </c>
      <c r="AG173" s="31" t="str">
        <f t="shared" si="157"/>
        <v>2229.35827402299i</v>
      </c>
      <c r="AH173" s="31">
        <f t="shared" si="158"/>
        <v>2229.3582740229899</v>
      </c>
      <c r="AI173" s="31">
        <f t="shared" si="159"/>
        <v>1.5707963267948966</v>
      </c>
      <c r="AJ173" s="31" t="str">
        <f t="shared" si="142"/>
        <v>0.978393812078204+3.07265094026285i</v>
      </c>
      <c r="AK173" s="31">
        <f t="shared" si="160"/>
        <v>3.2246609515127469</v>
      </c>
      <c r="AL173" s="31">
        <f t="shared" si="161"/>
        <v>1.2625271869267147</v>
      </c>
      <c r="AM173" s="31" t="str">
        <f t="shared" si="143"/>
        <v>1+15.3023151928938i</v>
      </c>
      <c r="AN173" s="31">
        <f t="shared" si="162"/>
        <v>15.334955176415365</v>
      </c>
      <c r="AO173" s="31">
        <f t="shared" si="163"/>
        <v>1.5055395273517334</v>
      </c>
      <c r="AP173" s="31" t="str">
        <f t="shared" si="144"/>
        <v>1+0.588550584342069i</v>
      </c>
      <c r="AQ173" s="31">
        <f t="shared" si="164"/>
        <v>1.1603412387437546</v>
      </c>
      <c r="AR173" s="31">
        <f t="shared" si="165"/>
        <v>0.53195827373664539</v>
      </c>
      <c r="AS173" s="58" t="str">
        <f t="shared" si="166"/>
        <v>-2.61878435633078+2.67397688521558i</v>
      </c>
      <c r="AT173" s="49">
        <f t="shared" si="167"/>
        <v>11.46381834164684</v>
      </c>
      <c r="AU173" s="61">
        <f t="shared" si="168"/>
        <v>134.40254543812466</v>
      </c>
      <c r="AV173" s="58" t="str">
        <f t="shared" si="145"/>
        <v>7.40962008676868+6.3970733256396i</v>
      </c>
      <c r="AW173" s="64">
        <f t="shared" si="169"/>
        <v>19.814789048093353</v>
      </c>
      <c r="AX173" s="61">
        <f t="shared" si="170"/>
        <v>40.805586430681728</v>
      </c>
    </row>
    <row r="174" spans="14:50" x14ac:dyDescent="0.25">
      <c r="N174" s="10">
        <v>56</v>
      </c>
      <c r="O174" s="50">
        <f t="shared" si="135"/>
        <v>363.07805477010152</v>
      </c>
      <c r="P174" s="48" t="str">
        <f t="shared" si="136"/>
        <v>304.285714285714</v>
      </c>
      <c r="Q174" s="17" t="str">
        <f t="shared" si="137"/>
        <v>1+118.78985740266i</v>
      </c>
      <c r="R174" s="17">
        <f t="shared" si="146"/>
        <v>118.79406644165481</v>
      </c>
      <c r="S174" s="17">
        <f t="shared" si="147"/>
        <v>1.5623782985163366</v>
      </c>
      <c r="T174" s="17" t="str">
        <f t="shared" si="138"/>
        <v>1+0.00246378963501812i</v>
      </c>
      <c r="U174" s="17">
        <f t="shared" si="148"/>
        <v>1.0000030351250768</v>
      </c>
      <c r="V174" s="17">
        <f t="shared" si="149"/>
        <v>2.463784649755575E-3</v>
      </c>
      <c r="W174" s="31" t="str">
        <f t="shared" si="139"/>
        <v>1-0.00769934260943163i</v>
      </c>
      <c r="X174" s="17">
        <f t="shared" si="150"/>
        <v>1.0000296394990589</v>
      </c>
      <c r="Y174" s="17">
        <f t="shared" si="151"/>
        <v>-7.6991904761493507E-3</v>
      </c>
      <c r="Z174" s="31" t="str">
        <f t="shared" si="140"/>
        <v>0.999991722841146+0.0679193591911451i</v>
      </c>
      <c r="AA174" s="17">
        <f t="shared" si="152"/>
        <v>1.0022956076446405</v>
      </c>
      <c r="AB174" s="17">
        <f t="shared" si="153"/>
        <v>6.7815768685551184E-2</v>
      </c>
      <c r="AC174" s="66" t="str">
        <f t="shared" si="154"/>
        <v>-0.165066164150143-2.55033613846943i</v>
      </c>
      <c r="AD174" s="64">
        <f t="shared" si="155"/>
        <v>8.1501035511482698</v>
      </c>
      <c r="AE174" s="61">
        <f t="shared" si="156"/>
        <v>-93.703206495824844</v>
      </c>
      <c r="AF174" s="31" t="str">
        <f t="shared" si="141"/>
        <v>-1512.12121212121</v>
      </c>
      <c r="AG174" s="31" t="str">
        <f t="shared" si="157"/>
        <v>2281.28669909085i</v>
      </c>
      <c r="AH174" s="31">
        <f t="shared" si="158"/>
        <v>2281.2866990908501</v>
      </c>
      <c r="AI174" s="31">
        <f t="shared" si="159"/>
        <v>1.5707963267948966</v>
      </c>
      <c r="AJ174" s="31" t="str">
        <f t="shared" si="142"/>
        <v>0.977375543812535+3.14422217489584i</v>
      </c>
      <c r="AK174" s="31">
        <f t="shared" si="160"/>
        <v>3.2926275280920518</v>
      </c>
      <c r="AL174" s="31">
        <f t="shared" si="161"/>
        <v>1.2694170832971716</v>
      </c>
      <c r="AM174" s="31" t="str">
        <f t="shared" si="143"/>
        <v>1+15.6587519025596i</v>
      </c>
      <c r="AN174" s="31">
        <f t="shared" si="162"/>
        <v>15.690650437311829</v>
      </c>
      <c r="AO174" s="31">
        <f t="shared" si="163"/>
        <v>1.5070208822804043</v>
      </c>
      <c r="AP174" s="31" t="str">
        <f t="shared" si="144"/>
        <v>1+0.602259688559984i</v>
      </c>
      <c r="AQ174" s="31">
        <f t="shared" si="164"/>
        <v>1.1673545872888704</v>
      </c>
      <c r="AR174" s="31">
        <f t="shared" si="165"/>
        <v>0.54207937968115538</v>
      </c>
      <c r="AS174" s="58" t="str">
        <f t="shared" si="166"/>
        <v>-2.59236799427183+2.62216931986032i</v>
      </c>
      <c r="AT174" s="49">
        <f t="shared" si="167"/>
        <v>11.334157479772514</v>
      </c>
      <c r="AU174" s="61">
        <f t="shared" si="168"/>
        <v>134.67255549481382</v>
      </c>
      <c r="AV174" s="58" t="str">
        <f t="shared" si="145"/>
        <v>7.11532541850563+6.17857834862143i</v>
      </c>
      <c r="AW174" s="64">
        <f t="shared" si="169"/>
        <v>19.484261030920788</v>
      </c>
      <c r="AX174" s="61">
        <f t="shared" si="170"/>
        <v>40.969348998988991</v>
      </c>
    </row>
    <row r="175" spans="14:50" x14ac:dyDescent="0.25">
      <c r="N175" s="10">
        <v>57</v>
      </c>
      <c r="O175" s="50">
        <f t="shared" si="135"/>
        <v>371.53522909717265</v>
      </c>
      <c r="P175" s="48" t="str">
        <f t="shared" si="136"/>
        <v>304.285714285714</v>
      </c>
      <c r="Q175" s="17" t="str">
        <f t="shared" si="137"/>
        <v>1+121.556828634172i</v>
      </c>
      <c r="R175" s="17">
        <f t="shared" si="146"/>
        <v>121.56094186702182</v>
      </c>
      <c r="S175" s="17">
        <f t="shared" si="147"/>
        <v>1.5625699074884492</v>
      </c>
      <c r="T175" s="17" t="str">
        <f t="shared" si="138"/>
        <v>1+0.002521178667968i</v>
      </c>
      <c r="U175" s="17">
        <f t="shared" si="148"/>
        <v>1.0000031781658876</v>
      </c>
      <c r="V175" s="17">
        <f t="shared" si="149"/>
        <v>2.5211733261638583E-3</v>
      </c>
      <c r="W175" s="31" t="str">
        <f t="shared" si="139"/>
        <v>1-0.0078786833374i</v>
      </c>
      <c r="X175" s="17">
        <f t="shared" si="150"/>
        <v>1.0000310363439382</v>
      </c>
      <c r="Y175" s="17">
        <f t="shared" si="151"/>
        <v>-7.8785203239243092E-3</v>
      </c>
      <c r="Z175" s="31" t="str">
        <f t="shared" si="140"/>
        <v>0.999991332750667+0.0695014043004982i</v>
      </c>
      <c r="AA175" s="17">
        <f t="shared" si="152"/>
        <v>1.0024036665815808</v>
      </c>
      <c r="AB175" s="17">
        <f t="shared" si="153"/>
        <v>6.9390419444101806E-2</v>
      </c>
      <c r="AC175" s="66" t="str">
        <f t="shared" si="154"/>
        <v>-0.165997064927708-2.49171355020104i</v>
      </c>
      <c r="AD175" s="64">
        <f t="shared" si="155"/>
        <v>7.9491943891736296</v>
      </c>
      <c r="AE175" s="61">
        <f t="shared" si="156"/>
        <v>-93.811392438383919</v>
      </c>
      <c r="AF175" s="31" t="str">
        <f t="shared" si="141"/>
        <v>-1512.12121212121</v>
      </c>
      <c r="AG175" s="31" t="str">
        <f t="shared" si="157"/>
        <v>2334.42469256296i</v>
      </c>
      <c r="AH175" s="31">
        <f t="shared" si="158"/>
        <v>2334.42469256296</v>
      </c>
      <c r="AI175" s="31">
        <f t="shared" si="159"/>
        <v>1.5707963267948966</v>
      </c>
      <c r="AJ175" s="31" t="str">
        <f t="shared" si="142"/>
        <v>0.976309286041979+3.21746051774467i</v>
      </c>
      <c r="AK175" s="31">
        <f t="shared" si="160"/>
        <v>3.3623253865825653</v>
      </c>
      <c r="AL175" s="31">
        <f t="shared" si="161"/>
        <v>1.276185691932864</v>
      </c>
      <c r="AM175" s="31" t="str">
        <f t="shared" si="143"/>
        <v>1+16.0234910897521i</v>
      </c>
      <c r="AN175" s="31">
        <f t="shared" si="162"/>
        <v>16.054664951451493</v>
      </c>
      <c r="AO175" s="31">
        <f t="shared" si="163"/>
        <v>1.5084687883343539</v>
      </c>
      <c r="AP175" s="31" t="str">
        <f t="shared" si="144"/>
        <v>1+0.616288118836621i</v>
      </c>
      <c r="AQ175" s="31">
        <f t="shared" si="164"/>
        <v>1.174653585283415</v>
      </c>
      <c r="AR175" s="31">
        <f t="shared" si="165"/>
        <v>0.55231004908922843</v>
      </c>
      <c r="AS175" s="58" t="str">
        <f t="shared" si="166"/>
        <v>-2.56692487546+2.57106104702562i</v>
      </c>
      <c r="AT175" s="49">
        <f t="shared" si="167"/>
        <v>11.205561058082665</v>
      </c>
      <c r="AU175" s="61">
        <f t="shared" si="168"/>
        <v>134.95387587151185</v>
      </c>
      <c r="AV175" s="58" t="str">
        <f t="shared" si="145"/>
        <v>6.83244964448409+5.96925290697559i</v>
      </c>
      <c r="AW175" s="64">
        <f t="shared" si="169"/>
        <v>19.154755447256296</v>
      </c>
      <c r="AX175" s="61">
        <f t="shared" si="170"/>
        <v>41.142483433127964</v>
      </c>
    </row>
    <row r="176" spans="14:50" x14ac:dyDescent="0.25">
      <c r="N176" s="10">
        <v>58</v>
      </c>
      <c r="O176" s="50">
        <f t="shared" si="135"/>
        <v>380.18939632056163</v>
      </c>
      <c r="P176" s="48" t="str">
        <f t="shared" si="136"/>
        <v>304.285714285714</v>
      </c>
      <c r="Q176" s="17" t="str">
        <f t="shared" si="137"/>
        <v>1+124.38825090522i</v>
      </c>
      <c r="R176" s="17">
        <f t="shared" si="146"/>
        <v>124.39227051252004</v>
      </c>
      <c r="S176" s="17">
        <f t="shared" si="147"/>
        <v>1.5627571554915658</v>
      </c>
      <c r="T176" s="17" t="str">
        <f t="shared" si="138"/>
        <v>1+0.00257990446321938i</v>
      </c>
      <c r="U176" s="17">
        <f t="shared" si="148"/>
        <v>1.0000033279479821</v>
      </c>
      <c r="V176" s="17">
        <f t="shared" si="149"/>
        <v>2.5798987393741458E-3</v>
      </c>
      <c r="W176" s="31" t="str">
        <f t="shared" si="139"/>
        <v>1-0.00806220144756056i</v>
      </c>
      <c r="X176" s="17">
        <f t="shared" si="150"/>
        <v>1.0000324990179974</v>
      </c>
      <c r="Y176" s="17">
        <f t="shared" si="151"/>
        <v>-8.0620267757809221E-3</v>
      </c>
      <c r="Z176" s="31" t="str">
        <f t="shared" si="140"/>
        <v>0.999990924275791+0.0711202999743713i</v>
      </c>
      <c r="AA176" s="17">
        <f t="shared" si="152"/>
        <v>1.0025168056957425</v>
      </c>
      <c r="AB176" s="17">
        <f t="shared" si="153"/>
        <v>7.1001393676683983E-2</v>
      </c>
      <c r="AC176" s="66" t="str">
        <f t="shared" si="154"/>
        <v>-0.166882399015947-2.4344116431611i</v>
      </c>
      <c r="AD176" s="64">
        <f t="shared" si="155"/>
        <v>7.7482413198922586</v>
      </c>
      <c r="AE176" s="61">
        <f t="shared" si="156"/>
        <v>-93.921572409993757</v>
      </c>
      <c r="AF176" s="31" t="str">
        <f t="shared" si="141"/>
        <v>-1512.12121212121</v>
      </c>
      <c r="AG176" s="31" t="str">
        <f t="shared" si="157"/>
        <v>2388.80042890683i</v>
      </c>
      <c r="AH176" s="31">
        <f t="shared" si="158"/>
        <v>2388.8004289068299</v>
      </c>
      <c r="AI176" s="31">
        <f t="shared" si="159"/>
        <v>1.5707963267948966</v>
      </c>
      <c r="AJ176" s="31" t="str">
        <f t="shared" si="142"/>
        <v>0.975192777090848+3.29240480074813i</v>
      </c>
      <c r="AK176" s="31">
        <f t="shared" si="160"/>
        <v>3.4337924113841671</v>
      </c>
      <c r="AL176" s="31">
        <f t="shared" si="161"/>
        <v>1.2828343001590414</v>
      </c>
      <c r="AM176" s="31" t="str">
        <f t="shared" si="143"/>
        <v>1+16.3967261440164i</v>
      </c>
      <c r="AN176" s="31">
        <f t="shared" si="162"/>
        <v>16.427191733277816</v>
      </c>
      <c r="AO176" s="31">
        <f t="shared" si="163"/>
        <v>1.5098839889153499</v>
      </c>
      <c r="AP176" s="31" t="str">
        <f t="shared" si="144"/>
        <v>1+0.630643313231403i</v>
      </c>
      <c r="AQ176" s="31">
        <f t="shared" si="164"/>
        <v>1.1822482770228433</v>
      </c>
      <c r="AR176" s="31">
        <f t="shared" si="165"/>
        <v>0.56264713948557543</v>
      </c>
      <c r="AS176" s="58" t="str">
        <f t="shared" si="166"/>
        <v>-2.54242765060177+2.52066298681476i</v>
      </c>
      <c r="AT176" s="49">
        <f t="shared" si="167"/>
        <v>11.078094335236472</v>
      </c>
      <c r="AU176" s="61">
        <f t="shared" si="168"/>
        <v>135.24629535312746</v>
      </c>
      <c r="AV176" s="58" t="str">
        <f t="shared" si="145"/>
        <v>6.56061774924399+5.76866118816932i</v>
      </c>
      <c r="AW176" s="64">
        <f t="shared" si="169"/>
        <v>18.826335655128734</v>
      </c>
      <c r="AX176" s="61">
        <f t="shared" si="170"/>
        <v>41.324722943133686</v>
      </c>
    </row>
    <row r="177" spans="14:50" x14ac:dyDescent="0.25">
      <c r="N177" s="10">
        <v>59</v>
      </c>
      <c r="O177" s="50">
        <f t="shared" si="135"/>
        <v>389.04514499428063</v>
      </c>
      <c r="P177" s="48" t="str">
        <f t="shared" si="136"/>
        <v>304.285714285714</v>
      </c>
      <c r="Q177" s="17" t="str">
        <f t="shared" si="137"/>
        <v>1+127.285625473372i</v>
      </c>
      <c r="R177" s="17">
        <f t="shared" si="146"/>
        <v>127.28955358609568</v>
      </c>
      <c r="S177" s="17">
        <f t="shared" si="147"/>
        <v>1.5629401417545044</v>
      </c>
      <c r="T177" s="17" t="str">
        <f t="shared" si="138"/>
        <v>1+0.00263999815796623i</v>
      </c>
      <c r="U177" s="17">
        <f t="shared" si="148"/>
        <v>1.0000034847890651</v>
      </c>
      <c r="V177" s="17">
        <f t="shared" si="149"/>
        <v>2.6399920247567161E-3</v>
      </c>
      <c r="W177" s="31" t="str">
        <f t="shared" si="139"/>
        <v>1-0.00824999424364448i</v>
      </c>
      <c r="X177" s="17">
        <f t="shared" si="150"/>
        <v>1.0000340306234685</v>
      </c>
      <c r="Y177" s="17">
        <f t="shared" si="151"/>
        <v>-8.2498070798045046E-3</v>
      </c>
      <c r="Z177" s="31" t="str">
        <f t="shared" si="140"/>
        <v>0.999990496550086+0.0727769045726792i</v>
      </c>
      <c r="AA177" s="17">
        <f t="shared" si="152"/>
        <v>1.0026352632087445</v>
      </c>
      <c r="AB177" s="17">
        <f t="shared" si="153"/>
        <v>7.264951225851124E-2</v>
      </c>
      <c r="AC177" s="66" t="str">
        <f t="shared" si="154"/>
        <v>-0.167724046152816-2.3784001015858i</v>
      </c>
      <c r="AD177" s="64">
        <f t="shared" si="155"/>
        <v>7.5472423522077232</v>
      </c>
      <c r="AE177" s="61">
        <f t="shared" si="156"/>
        <v>-94.033802916711537</v>
      </c>
      <c r="AF177" s="31" t="str">
        <f t="shared" si="141"/>
        <v>-1512.12121212121</v>
      </c>
      <c r="AG177" s="31" t="str">
        <f t="shared" si="157"/>
        <v>2444.44273885762i</v>
      </c>
      <c r="AH177" s="31">
        <f t="shared" si="158"/>
        <v>2444.44273885762</v>
      </c>
      <c r="AI177" s="31">
        <f t="shared" si="159"/>
        <v>1.5707963267948966</v>
      </c>
      <c r="AJ177" s="31" t="str">
        <f t="shared" si="142"/>
        <v>0.974023648693965+3.36909476035707i</v>
      </c>
      <c r="AK177" s="31">
        <f t="shared" si="160"/>
        <v>3.5070673749559709</v>
      </c>
      <c r="AL177" s="31">
        <f t="shared" si="161"/>
        <v>1.2893642588509724</v>
      </c>
      <c r="AM177" s="31" t="str">
        <f t="shared" si="143"/>
        <v>1+16.7786549595187i</v>
      </c>
      <c r="AN177" s="31">
        <f t="shared" si="162"/>
        <v>16.808428309945626</v>
      </c>
      <c r="AO177" s="31">
        <f t="shared" si="163"/>
        <v>1.5112672116938466</v>
      </c>
      <c r="AP177" s="31" t="str">
        <f t="shared" si="144"/>
        <v>1+0.645332883058411i</v>
      </c>
      <c r="AQ177" s="31">
        <f t="shared" si="164"/>
        <v>1.1901489528443407</v>
      </c>
      <c r="AR177" s="31">
        <f t="shared" si="165"/>
        <v>0.57308729478384157</v>
      </c>
      <c r="AS177" s="58" t="str">
        <f t="shared" si="166"/>
        <v>-2.5188490338443+2.47098466077676i</v>
      </c>
      <c r="AT177" s="49">
        <f t="shared" si="167"/>
        <v>10.951821062149897</v>
      </c>
      <c r="AU177" s="61">
        <f t="shared" si="168"/>
        <v>135.54958594307109</v>
      </c>
      <c r="AV177" s="58" t="str">
        <f t="shared" si="145"/>
        <v>6.29946171981288+5.57638725268755i</v>
      </c>
      <c r="AW177" s="64">
        <f t="shared" si="169"/>
        <v>18.499063414357618</v>
      </c>
      <c r="AX177" s="61">
        <f t="shared" si="170"/>
        <v>41.515783026359522</v>
      </c>
    </row>
    <row r="178" spans="14:50" x14ac:dyDescent="0.25">
      <c r="N178" s="10">
        <v>60</v>
      </c>
      <c r="O178" s="50">
        <f t="shared" si="135"/>
        <v>398.10717055349761</v>
      </c>
      <c r="P178" s="48" t="str">
        <f t="shared" si="136"/>
        <v>304.285714285714</v>
      </c>
      <c r="Q178" s="17" t="str">
        <f t="shared" si="137"/>
        <v>1+130.250488564974i</v>
      </c>
      <c r="R178" s="17">
        <f t="shared" si="146"/>
        <v>130.25432726560149</v>
      </c>
      <c r="S178" s="17">
        <f t="shared" si="147"/>
        <v>1.5631189632499582</v>
      </c>
      <c r="T178" s="17" t="str">
        <f t="shared" si="138"/>
        <v>1+0.00270149161468094i</v>
      </c>
      <c r="U178" s="17">
        <f t="shared" si="148"/>
        <v>1.0000036490218143</v>
      </c>
      <c r="V178" s="17">
        <f t="shared" si="149"/>
        <v>2.7014850428298378E-3</v>
      </c>
      <c r="W178" s="31" t="str">
        <f t="shared" si="139"/>
        <v>1-0.00844216129587793i</v>
      </c>
      <c r="X178" s="17">
        <f t="shared" si="150"/>
        <v>1.0000356344087673</v>
      </c>
      <c r="Y178" s="17">
        <f t="shared" si="151"/>
        <v>-8.4419607465961114E-3</v>
      </c>
      <c r="Z178" s="31" t="str">
        <f t="shared" si="140"/>
        <v>0.99999004866629+0.0744720964491077i</v>
      </c>
      <c r="AA178" s="17">
        <f t="shared" si="152"/>
        <v>1.0027592884541805</v>
      </c>
      <c r="AB178" s="17">
        <f t="shared" si="153"/>
        <v>7.4335613403455861E-2</v>
      </c>
      <c r="AC178" s="66" t="str">
        <f t="shared" si="154"/>
        <v>-0.168523793727982-2.32364929197548i</v>
      </c>
      <c r="AD178" s="64">
        <f t="shared" si="155"/>
        <v>7.3461954005894512</v>
      </c>
      <c r="AE178" s="61">
        <f t="shared" si="156"/>
        <v>-94.148141416844737</v>
      </c>
      <c r="AF178" s="31" t="str">
        <f t="shared" si="141"/>
        <v>-1512.12121212121</v>
      </c>
      <c r="AG178" s="31" t="str">
        <f t="shared" si="157"/>
        <v>2501.38112470457i</v>
      </c>
      <c r="AH178" s="31">
        <f t="shared" si="158"/>
        <v>2501.3811247045701</v>
      </c>
      <c r="AI178" s="31">
        <f t="shared" si="159"/>
        <v>1.5707963267948966</v>
      </c>
      <c r="AJ178" s="31" t="str">
        <f t="shared" si="142"/>
        <v>0.972799420973251+3.4475710586032i</v>
      </c>
      <c r="AK178" s="31">
        <f t="shared" si="160"/>
        <v>3.5821899611221459</v>
      </c>
      <c r="AL178" s="31">
        <f t="shared" si="161"/>
        <v>1.2957769771564547</v>
      </c>
      <c r="AM178" s="31" t="str">
        <f t="shared" si="143"/>
        <v>1+17.1694800399721i</v>
      </c>
      <c r="AN178" s="31">
        <f t="shared" si="162"/>
        <v>17.198576826092339</v>
      </c>
      <c r="AO178" s="31">
        <f t="shared" si="163"/>
        <v>1.512619168888689</v>
      </c>
      <c r="AP178" s="31" t="str">
        <f t="shared" si="144"/>
        <v>1+0.660364616922006i</v>
      </c>
      <c r="AQ178" s="31">
        <f t="shared" si="164"/>
        <v>1.1983661490890618</v>
      </c>
      <c r="AR178" s="31">
        <f t="shared" si="165"/>
        <v>0.5836269466736439</v>
      </c>
      <c r="AS178" s="58" t="str">
        <f t="shared" si="166"/>
        <v>-2.49616187135386+2.42203424815687i</v>
      </c>
      <c r="AT178" s="49">
        <f t="shared" si="167"/>
        <v>10.826803368566136</v>
      </c>
      <c r="AU178" s="61">
        <f t="shared" si="168"/>
        <v>135.86350326113021</v>
      </c>
      <c r="AV178" s="58" t="str">
        <f t="shared" si="145"/>
        <v>6.04862083418977+5.39203436498909i</v>
      </c>
      <c r="AW178" s="64">
        <f t="shared" si="169"/>
        <v>18.172998769155591</v>
      </c>
      <c r="AX178" s="61">
        <f t="shared" si="170"/>
        <v>41.715361844285454</v>
      </c>
    </row>
    <row r="179" spans="14:50" x14ac:dyDescent="0.25">
      <c r="N179" s="10">
        <v>61</v>
      </c>
      <c r="O179" s="50">
        <f t="shared" si="135"/>
        <v>407.38027780411272</v>
      </c>
      <c r="P179" s="48" t="str">
        <f t="shared" si="136"/>
        <v>304.285714285714</v>
      </c>
      <c r="Q179" s="17" t="str">
        <f t="shared" si="137"/>
        <v>1+133.284412189682i</v>
      </c>
      <c r="R179" s="17">
        <f t="shared" si="146"/>
        <v>133.2881635133032</v>
      </c>
      <c r="S179" s="17">
        <f t="shared" si="147"/>
        <v>1.56329371474568</v>
      </c>
      <c r="T179" s="17" t="str">
        <f t="shared" si="138"/>
        <v>1+0.00276441743800822i</v>
      </c>
      <c r="U179" s="17">
        <f t="shared" si="148"/>
        <v>1.0000038209945858</v>
      </c>
      <c r="V179" s="17">
        <f t="shared" si="149"/>
        <v>2.7644103961443458E-3</v>
      </c>
      <c r="W179" s="31" t="str">
        <f t="shared" si="139"/>
        <v>1-0.00863880449377571i</v>
      </c>
      <c r="X179" s="17">
        <f t="shared" si="150"/>
        <v>1.000037313775382</v>
      </c>
      <c r="Y179" s="17">
        <f t="shared" si="151"/>
        <v>-8.6385896017816387E-3</v>
      </c>
      <c r="Z179" s="31" t="str">
        <f t="shared" si="140"/>
        <v>0.999989579674382+0.0762067744168284i</v>
      </c>
      <c r="AA179" s="17">
        <f t="shared" si="152"/>
        <v>1.0028891423903066</v>
      </c>
      <c r="AB179" s="17">
        <f t="shared" si="153"/>
        <v>7.6060552942989731E-2</v>
      </c>
      <c r="AC179" s="66" t="str">
        <f t="shared" si="154"/>
        <v>-0.16928334059169-2.27013024768621i</v>
      </c>
      <c r="AD179" s="64">
        <f t="shared" si="155"/>
        <v>7.1450982809274333</v>
      </c>
      <c r="AE179" s="61">
        <f t="shared" si="156"/>
        <v>-94.264646341907067</v>
      </c>
      <c r="AF179" s="31" t="str">
        <f t="shared" si="141"/>
        <v>-1512.12121212121</v>
      </c>
      <c r="AG179" s="31" t="str">
        <f t="shared" si="157"/>
        <v>2559.64577593354i</v>
      </c>
      <c r="AH179" s="31">
        <f t="shared" si="158"/>
        <v>2559.6457759335399</v>
      </c>
      <c r="AI179" s="31">
        <f t="shared" si="159"/>
        <v>1.5707963267948966</v>
      </c>
      <c r="AJ179" s="31" t="str">
        <f t="shared" si="142"/>
        <v>0.971517497177577+3.52787530465859i</v>
      </c>
      <c r="AK179" s="31">
        <f t="shared" si="160"/>
        <v>3.6592007887709741</v>
      </c>
      <c r="AL179" s="31">
        <f t="shared" si="161"/>
        <v>1.3020739174280136</v>
      </c>
      <c r="AM179" s="31" t="str">
        <f t="shared" si="143"/>
        <v>1+17.5694086060078i</v>
      </c>
      <c r="AN179" s="31">
        <f t="shared" si="162"/>
        <v>17.597844151056147</v>
      </c>
      <c r="AO179" s="31">
        <f t="shared" si="163"/>
        <v>1.5139405575455698</v>
      </c>
      <c r="AP179" s="31" t="str">
        <f t="shared" si="144"/>
        <v>1+0.675746484846454i</v>
      </c>
      <c r="AQ179" s="31">
        <f t="shared" si="164"/>
        <v>1.2069106478038625</v>
      </c>
      <c r="AR179" s="31">
        <f t="shared" si="165"/>
        <v>0.59426231692512466</v>
      </c>
      <c r="AS179" s="58" t="str">
        <f t="shared" si="166"/>
        <v>-2.47433920374827+2.37381864334815i</v>
      </c>
      <c r="AT179" s="49">
        <f t="shared" si="167"/>
        <v>10.703101650590288</v>
      </c>
      <c r="AU179" s="61">
        <f t="shared" si="168"/>
        <v>136.1877869818284</v>
      </c>
      <c r="AV179" s="58" t="str">
        <f t="shared" si="145"/>
        <v>5.80774191095357+5.21522431955995i</v>
      </c>
      <c r="AW179" s="64">
        <f t="shared" si="169"/>
        <v>17.848199931517719</v>
      </c>
      <c r="AX179" s="61">
        <f t="shared" si="170"/>
        <v>41.923140639921307</v>
      </c>
    </row>
    <row r="180" spans="14:50" x14ac:dyDescent="0.25">
      <c r="N180" s="10">
        <v>62</v>
      </c>
      <c r="O180" s="50">
        <f t="shared" si="135"/>
        <v>416.86938347033572</v>
      </c>
      <c r="P180" s="48" t="str">
        <f t="shared" si="136"/>
        <v>304.285714285714</v>
      </c>
      <c r="Q180" s="17" t="str">
        <f t="shared" si="137"/>
        <v>1+136.389004973962i</v>
      </c>
      <c r="R180" s="17">
        <f t="shared" si="146"/>
        <v>136.39267090935431</v>
      </c>
      <c r="S180" s="17">
        <f t="shared" si="147"/>
        <v>1.5634644888545082</v>
      </c>
      <c r="T180" s="17" t="str">
        <f t="shared" si="138"/>
        <v>1+0.00282880899205254i</v>
      </c>
      <c r="U180" s="17">
        <f t="shared" si="148"/>
        <v>1.0000040010721525</v>
      </c>
      <c r="V180" s="17">
        <f t="shared" si="149"/>
        <v>2.8288014465610843E-3</v>
      </c>
      <c r="W180" s="31" t="str">
        <f t="shared" si="139"/>
        <v>1-0.00884002810016418i</v>
      </c>
      <c r="X180" s="17">
        <f t="shared" si="150"/>
        <v>1.0000390722850843</v>
      </c>
      <c r="Y180" s="17">
        <f t="shared" si="151"/>
        <v>-8.8397978397298793E-3</v>
      </c>
      <c r="Z180" s="31" t="str">
        <f t="shared" si="140"/>
        <v>0.999989088579565+0.0779818582250609i</v>
      </c>
      <c r="AA180" s="17">
        <f t="shared" si="152"/>
        <v>1.0030250981358455</v>
      </c>
      <c r="AB180" s="17">
        <f t="shared" si="153"/>
        <v>7.7825204602989764E-2</v>
      </c>
      <c r="AC180" s="66" t="str">
        <f t="shared" si="154"/>
        <v>-0.170004300678564-2.21781465386691i</v>
      </c>
      <c r="AD180" s="64">
        <f t="shared" si="155"/>
        <v>6.9439487062046057</v>
      </c>
      <c r="AE180" s="61">
        <f t="shared" si="156"/>
        <v>-94.383377117432218</v>
      </c>
      <c r="AF180" s="31" t="str">
        <f t="shared" si="141"/>
        <v>-1512.12121212121</v>
      </c>
      <c r="AG180" s="31" t="str">
        <f t="shared" si="157"/>
        <v>2619.26758523383i</v>
      </c>
      <c r="AH180" s="31">
        <f t="shared" si="158"/>
        <v>2619.2675852338298</v>
      </c>
      <c r="AI180" s="31">
        <f t="shared" si="159"/>
        <v>1.5707963267948966</v>
      </c>
      <c r="AJ180" s="31" t="str">
        <f t="shared" si="142"/>
        <v>0.9701751581747+3.61005007689747i</v>
      </c>
      <c r="AK180" s="31">
        <f t="shared" si="160"/>
        <v>3.7381414359607543</v>
      </c>
      <c r="AL180" s="31">
        <f t="shared" si="161"/>
        <v>1.3082565903678602</v>
      </c>
      <c r="AM180" s="31" t="str">
        <f t="shared" si="143"/>
        <v>1+17.978652705045i</v>
      </c>
      <c r="AN180" s="31">
        <f t="shared" si="162"/>
        <v>18.006441988594581</v>
      </c>
      <c r="AO180" s="31">
        <f t="shared" si="163"/>
        <v>1.5152320598139273</v>
      </c>
      <c r="AP180" s="31" t="str">
        <f t="shared" si="144"/>
        <v>1+0.691486642501731i</v>
      </c>
      <c r="AQ180" s="31">
        <f t="shared" si="164"/>
        <v>1.2157934761949978</v>
      </c>
      <c r="AR180" s="31">
        <f t="shared" si="165"/>
        <v>0.60498942064034167</v>
      </c>
      <c r="AS180" s="58" t="str">
        <f t="shared" si="166"/>
        <v>-2.45335432262384+2.32634351410642i</v>
      </c>
      <c r="AT180" s="49">
        <f t="shared" si="167"/>
        <v>10.58077445964182</v>
      </c>
      <c r="AU180" s="61">
        <f t="shared" si="168"/>
        <v>136.52216131475492</v>
      </c>
      <c r="AV180" s="58" t="str">
        <f t="shared" si="145"/>
        <v>5.57647952144786+5.0455967655891i</v>
      </c>
      <c r="AW180" s="64">
        <f t="shared" si="169"/>
        <v>17.524723165846421</v>
      </c>
      <c r="AX180" s="61">
        <f t="shared" si="170"/>
        <v>42.138784197322686</v>
      </c>
    </row>
    <row r="181" spans="14:50" x14ac:dyDescent="0.25">
      <c r="N181" s="10">
        <v>63</v>
      </c>
      <c r="O181" s="50">
        <f t="shared" si="135"/>
        <v>426.57951880159294</v>
      </c>
      <c r="P181" s="48" t="str">
        <f t="shared" si="136"/>
        <v>304.285714285714</v>
      </c>
      <c r="Q181" s="17" t="str">
        <f t="shared" si="137"/>
        <v>1+139.565913014i</v>
      </c>
      <c r="R181" s="17">
        <f t="shared" si="146"/>
        <v>139.56949550468187</v>
      </c>
      <c r="S181" s="17">
        <f t="shared" si="147"/>
        <v>1.5636313760832696</v>
      </c>
      <c r="T181" s="17" t="str">
        <f t="shared" si="138"/>
        <v>1+0.00289470041806814i</v>
      </c>
      <c r="U181" s="17">
        <f t="shared" si="148"/>
        <v>1.0000041896364786</v>
      </c>
      <c r="V181" s="17">
        <f t="shared" si="149"/>
        <v>2.8946923329302076E-3</v>
      </c>
      <c r="W181" s="31" t="str">
        <f t="shared" si="139"/>
        <v>1-0.00904593880646296i</v>
      </c>
      <c r="X181" s="17">
        <f t="shared" si="150"/>
        <v>1.000040913667481</v>
      </c>
      <c r="Y181" s="17">
        <f t="shared" si="151"/>
        <v>-9.0456920785075452E-3</v>
      </c>
      <c r="Z181" s="31" t="str">
        <f t="shared" si="140"/>
        <v>0.999988574340163+0.0797982890467361i</v>
      </c>
      <c r="AA181" s="17">
        <f t="shared" si="152"/>
        <v>1.0031674415299063</v>
      </c>
      <c r="AB181" s="17">
        <f t="shared" si="153"/>
        <v>7.9630460277778523E-2</v>
      </c>
      <c r="AC181" s="66" t="str">
        <f t="shared" si="154"/>
        <v>-0.170688206454239-2.16667483273537i</v>
      </c>
      <c r="AD181" s="64">
        <f t="shared" si="155"/>
        <v>6.7427442819803662</v>
      </c>
      <c r="AE181" s="61">
        <f t="shared" si="156"/>
        <v>-94.504394183612959</v>
      </c>
      <c r="AF181" s="31" t="str">
        <f t="shared" si="141"/>
        <v>-1512.12121212121</v>
      </c>
      <c r="AG181" s="31" t="str">
        <f t="shared" si="157"/>
        <v>2680.27816487791i</v>
      </c>
      <c r="AH181" s="31">
        <f t="shared" si="158"/>
        <v>2680.2781648779101</v>
      </c>
      <c r="AI181" s="31">
        <f t="shared" si="159"/>
        <v>1.5707963267948966</v>
      </c>
      <c r="AJ181" s="31" t="str">
        <f t="shared" si="142"/>
        <v>0.968769556683626+3.69413894547178i</v>
      </c>
      <c r="AK181" s="31">
        <f t="shared" si="160"/>
        <v>3.8190544644464479</v>
      </c>
      <c r="AL181" s="31">
        <f t="shared" si="161"/>
        <v>1.3143265503872132</v>
      </c>
      <c r="AM181" s="31" t="str">
        <f t="shared" si="143"/>
        <v>1+18.3974293237219i</v>
      </c>
      <c r="AN181" s="31">
        <f t="shared" si="162"/>
        <v>18.424586989165931</v>
      </c>
      <c r="AO181" s="31">
        <f t="shared" si="163"/>
        <v>1.5164943432220213</v>
      </c>
      <c r="AP181" s="31" t="str">
        <f t="shared" si="144"/>
        <v>1+0.707593435527768i</v>
      </c>
      <c r="AQ181" s="31">
        <f t="shared" si="164"/>
        <v>1.2250259058493373</v>
      </c>
      <c r="AR181" s="31">
        <f t="shared" si="165"/>
        <v>0.61580407047430552</v>
      </c>
      <c r="AS181" s="58" t="str">
        <f t="shared" si="166"/>
        <v>-2.43318082143489+2.27961336013361i</v>
      </c>
      <c r="AT181" s="49">
        <f t="shared" si="167"/>
        <v>10.459878393329085</v>
      </c>
      <c r="AU181" s="61">
        <f t="shared" si="168"/>
        <v>136.8663355280641</v>
      </c>
      <c r="AV181" s="58" t="str">
        <f t="shared" si="145"/>
        <v>5.35449616615838+4.88280853344702i</v>
      </c>
      <c r="AW181" s="64">
        <f t="shared" si="169"/>
        <v>17.202622675309453</v>
      </c>
      <c r="AX181" s="61">
        <f t="shared" si="170"/>
        <v>42.36194134445109</v>
      </c>
    </row>
    <row r="182" spans="14:50" x14ac:dyDescent="0.25">
      <c r="N182" s="10">
        <v>64</v>
      </c>
      <c r="O182" s="50">
        <f t="shared" si="135"/>
        <v>436.51583224016622</v>
      </c>
      <c r="P182" s="48" t="str">
        <f t="shared" si="136"/>
        <v>304.285714285714</v>
      </c>
      <c r="Q182" s="17" t="str">
        <f t="shared" si="137"/>
        <v>1+142.816820748491i</v>
      </c>
      <c r="R182" s="17">
        <f t="shared" si="146"/>
        <v>142.82032169375131</v>
      </c>
      <c r="S182" s="17">
        <f t="shared" si="147"/>
        <v>1.5637944648805764</v>
      </c>
      <c r="T182" s="17" t="str">
        <f t="shared" si="138"/>
        <v>1+0.00296212665256129i</v>
      </c>
      <c r="U182" s="17">
        <f t="shared" si="148"/>
        <v>1.0000043870875297</v>
      </c>
      <c r="V182" s="17">
        <f t="shared" si="149"/>
        <v>2.9621179891819623E-3</v>
      </c>
      <c r="W182" s="31" t="str">
        <f t="shared" si="139"/>
        <v>1-0.00925664578925405i</v>
      </c>
      <c r="X182" s="17">
        <f t="shared" si="150"/>
        <v>1.0000428418279228</v>
      </c>
      <c r="Y182" s="17">
        <f t="shared" si="151"/>
        <v>-9.2563814160983686E-3</v>
      </c>
      <c r="Z182" s="31" t="str">
        <f t="shared" si="140"/>
        <v>0.999988035865404+0.0816570299775189i</v>
      </c>
      <c r="AA182" s="17">
        <f t="shared" si="152"/>
        <v>1.003316471717024</v>
      </c>
      <c r="AB182" s="17">
        <f t="shared" si="153"/>
        <v>8.1477230300718032E-2</v>
      </c>
      <c r="AC182" s="66" t="str">
        <f t="shared" si="154"/>
        <v>-0.171336512192263-2.11668372918639i</v>
      </c>
      <c r="AD182" s="64">
        <f t="shared" si="155"/>
        <v>6.5414825016772138</v>
      </c>
      <c r="AE182" s="61">
        <f t="shared" si="156"/>
        <v>-94.627759015728472</v>
      </c>
      <c r="AF182" s="31" t="str">
        <f t="shared" si="141"/>
        <v>-1512.12121212121</v>
      </c>
      <c r="AG182" s="31" t="str">
        <f t="shared" si="157"/>
        <v>2742.70986348268i</v>
      </c>
      <c r="AH182" s="31">
        <f t="shared" si="158"/>
        <v>2742.7098634826798</v>
      </c>
      <c r="AI182" s="31">
        <f t="shared" si="159"/>
        <v>1.5707963267948966</v>
      </c>
      <c r="AJ182" s="31" t="str">
        <f t="shared" si="142"/>
        <v>0.967297711235139+3.78018649541269i</v>
      </c>
      <c r="AK182" s="31">
        <f t="shared" si="160"/>
        <v>3.901983444642124</v>
      </c>
      <c r="AL182" s="31">
        <f t="shared" si="161"/>
        <v>1.3202853911803687</v>
      </c>
      <c r="AM182" s="31" t="str">
        <f t="shared" si="143"/>
        <v>1+18.8259605029451i</v>
      </c>
      <c r="AN182" s="31">
        <f t="shared" si="162"/>
        <v>18.852500864830876</v>
      </c>
      <c r="AO182" s="31">
        <f t="shared" si="163"/>
        <v>1.5177280609499395</v>
      </c>
      <c r="AP182" s="31" t="str">
        <f t="shared" si="144"/>
        <v>1+0.724075403959427i</v>
      </c>
      <c r="AQ182" s="31">
        <f t="shared" si="164"/>
        <v>1.2346194517417128</v>
      </c>
      <c r="AR182" s="31">
        <f t="shared" si="165"/>
        <v>0.62670188184125875</v>
      </c>
      <c r="AS182" s="58" t="str">
        <f t="shared" si="166"/>
        <v>-2.41379264099463+2.23363157167405i</v>
      </c>
      <c r="AT182" s="49">
        <f t="shared" si="167"/>
        <v>10.340467988787774</v>
      </c>
      <c r="AU182" s="61">
        <f t="shared" si="168"/>
        <v>137.22000451600218</v>
      </c>
      <c r="AV182" s="58" t="str">
        <f t="shared" si="145"/>
        <v>5.14146241702286+4.72653296581002i</v>
      </c>
      <c r="AW182" s="64">
        <f t="shared" si="169"/>
        <v>16.881950490464991</v>
      </c>
      <c r="AX182" s="61">
        <f t="shared" si="170"/>
        <v>42.592245500273641</v>
      </c>
    </row>
    <row r="183" spans="14:50" x14ac:dyDescent="0.25">
      <c r="N183" s="10">
        <v>65</v>
      </c>
      <c r="O183" s="50">
        <f t="shared" si="135"/>
        <v>446.68359215096331</v>
      </c>
      <c r="P183" s="48" t="str">
        <f t="shared" si="136"/>
        <v>304.285714285714</v>
      </c>
      <c r="Q183" s="17" t="str">
        <f t="shared" si="137"/>
        <v>1+146.143451851748i</v>
      </c>
      <c r="R183" s="17">
        <f t="shared" si="146"/>
        <v>146.1468731076522</v>
      </c>
      <c r="S183" s="17">
        <f t="shared" si="147"/>
        <v>1.563953841683545</v>
      </c>
      <c r="T183" s="17" t="str">
        <f t="shared" si="138"/>
        <v>1+0.00303112344581402i</v>
      </c>
      <c r="U183" s="17">
        <f t="shared" si="148"/>
        <v>1.0000045938441202</v>
      </c>
      <c r="V183" s="17">
        <f t="shared" si="149"/>
        <v>3.031114162838125E-3</v>
      </c>
      <c r="W183" s="31" t="str">
        <f t="shared" si="139"/>
        <v>1-0.00947226076816882i</v>
      </c>
      <c r="X183" s="17">
        <f t="shared" si="150"/>
        <v>1.0000448608557819</v>
      </c>
      <c r="Y183" s="17">
        <f t="shared" si="151"/>
        <v>-9.4719774879150429E-3</v>
      </c>
      <c r="Z183" s="31" t="str">
        <f t="shared" si="140"/>
        <v>0.999987472013112+0.0835590665464545i</v>
      </c>
      <c r="AA183" s="17">
        <f t="shared" si="152"/>
        <v>1.0034725017584136</v>
      </c>
      <c r="AB183" s="17">
        <f t="shared" si="153"/>
        <v>8.3366443710616717E-2</v>
      </c>
      <c r="AC183" s="66" t="str">
        <f t="shared" si="154"/>
        <v>-0.171950597088437-2.06781489672597i</v>
      </c>
      <c r="AD183" s="64">
        <f t="shared" si="155"/>
        <v>6.3401607416645671</v>
      </c>
      <c r="AE183" s="61">
        <f t="shared" si="156"/>
        <v>-94.753534144319232</v>
      </c>
      <c r="AF183" s="31" t="str">
        <f t="shared" si="141"/>
        <v>-1512.12121212121</v>
      </c>
      <c r="AG183" s="31" t="str">
        <f t="shared" si="157"/>
        <v>2806.59578316113i</v>
      </c>
      <c r="AH183" s="31">
        <f t="shared" si="158"/>
        <v>2806.5957831611299</v>
      </c>
      <c r="AI183" s="31">
        <f t="shared" si="159"/>
        <v>1.5707963267948966</v>
      </c>
      <c r="AJ183" s="31" t="str">
        <f t="shared" si="142"/>
        <v>0.96575649984771+3.86823835027014i</v>
      </c>
      <c r="AK183" s="31">
        <f t="shared" si="160"/>
        <v>3.986972981034453</v>
      </c>
      <c r="AL183" s="31">
        <f t="shared" si="161"/>
        <v>1.3261347415127072</v>
      </c>
      <c r="AM183" s="31" t="str">
        <f t="shared" si="143"/>
        <v>1+19.264473455618i</v>
      </c>
      <c r="AN183" s="31">
        <f t="shared" si="162"/>
        <v>19.290410506835006</v>
      </c>
      <c r="AO183" s="31">
        <f t="shared" si="163"/>
        <v>1.5189338521003015</v>
      </c>
      <c r="AP183" s="31" t="str">
        <f t="shared" si="144"/>
        <v>1+0.740941286754538i</v>
      </c>
      <c r="AQ183" s="31">
        <f t="shared" si="164"/>
        <v>1.2445858710500737</v>
      </c>
      <c r="AR183" s="31">
        <f t="shared" si="165"/>
        <v>0.63767827911399722</v>
      </c>
      <c r="AS183" s="58" t="str">
        <f t="shared" si="166"/>
        <v>-2.39516410987502+2.18840048780735i</v>
      </c>
      <c r="AT183" s="49">
        <f t="shared" si="167"/>
        <v>10.222595619062771</v>
      </c>
      <c r="AU183" s="61">
        <f t="shared" si="168"/>
        <v>137.58284941094269</v>
      </c>
      <c r="AV183" s="58" t="str">
        <f t="shared" si="145"/>
        <v>4.93705702750822+4.57645925595586i</v>
      </c>
      <c r="AW183" s="64">
        <f t="shared" si="169"/>
        <v>16.562756360727331</v>
      </c>
      <c r="AX183" s="61">
        <f t="shared" si="170"/>
        <v>42.829315266623432</v>
      </c>
    </row>
    <row r="184" spans="14:50" x14ac:dyDescent="0.25">
      <c r="N184" s="10">
        <v>66</v>
      </c>
      <c r="O184" s="50">
        <f t="shared" ref="O184:O218" si="171">10^(2+(N184/100))</f>
        <v>457.0881896148756</v>
      </c>
      <c r="P184" s="48" t="str">
        <f t="shared" si="136"/>
        <v>304.285714285714</v>
      </c>
      <c r="Q184" s="17" t="str">
        <f t="shared" si="137"/>
        <v>1+149.547570147613i</v>
      </c>
      <c r="R184" s="17">
        <f t="shared" si="146"/>
        <v>149.55091352798627</v>
      </c>
      <c r="S184" s="17">
        <f t="shared" si="147"/>
        <v>1.5641095909634608</v>
      </c>
      <c r="T184" s="17" t="str">
        <f t="shared" si="138"/>
        <v>1+0.00310172738083938i</v>
      </c>
      <c r="U184" s="17">
        <f t="shared" si="148"/>
        <v>1.0000048103448029</v>
      </c>
      <c r="V184" s="17">
        <f t="shared" si="149"/>
        <v>3.1017174339540827E-3</v>
      </c>
      <c r="W184" s="31" t="str">
        <f t="shared" si="139"/>
        <v>1-0.00969289806512307i</v>
      </c>
      <c r="X184" s="17">
        <f t="shared" si="150"/>
        <v>1.0000469750331236</v>
      </c>
      <c r="Y184" s="17">
        <f t="shared" si="151"/>
        <v>-9.6925945256324166E-3</v>
      </c>
      <c r="Z184" s="31" t="str">
        <f t="shared" si="140"/>
        <v>0.99998688158728+0.0855054072385082i</v>
      </c>
      <c r="AA184" s="17">
        <f t="shared" si="152"/>
        <v>1.0036358592705203</v>
      </c>
      <c r="AB184" s="17">
        <f t="shared" si="153"/>
        <v>8.5299048513153577E-2</v>
      </c>
      <c r="AC184" s="66" t="str">
        <f t="shared" si="154"/>
        <v>-0.172531768219457-2.02004248372522i</v>
      </c>
      <c r="AD184" s="64">
        <f t="shared" si="155"/>
        <v>6.1387762561322035</v>
      </c>
      <c r="AE184" s="61">
        <f t="shared" si="156"/>
        <v>-94.881783175067781</v>
      </c>
      <c r="AF184" s="31" t="str">
        <f t="shared" si="141"/>
        <v>-1512.12121212121</v>
      </c>
      <c r="AG184" s="31" t="str">
        <f t="shared" si="157"/>
        <v>2871.9697970735i</v>
      </c>
      <c r="AH184" s="31">
        <f t="shared" si="158"/>
        <v>2871.9697970735001</v>
      </c>
      <c r="AI184" s="31">
        <f t="shared" si="159"/>
        <v>1.5707963267948966</v>
      </c>
      <c r="AJ184" s="31" t="str">
        <f t="shared" si="142"/>
        <v>0.964142653405352+3.95834119630311i</v>
      </c>
      <c r="AK184" s="31">
        <f t="shared" si="160"/>
        <v>4.0740687380634419</v>
      </c>
      <c r="AL184" s="31">
        <f t="shared" si="161"/>
        <v>1.3318762612208563</v>
      </c>
      <c r="AM184" s="31" t="str">
        <f t="shared" si="143"/>
        <v>1+19.7132006871125i</v>
      </c>
      <c r="AN184" s="31">
        <f t="shared" si="162"/>
        <v>19.738548105936587</v>
      </c>
      <c r="AO184" s="31">
        <f t="shared" si="163"/>
        <v>1.5201123419664708</v>
      </c>
      <c r="AP184" s="31" t="str">
        <f t="shared" si="144"/>
        <v>1+0.758200026427404i</v>
      </c>
      <c r="AQ184" s="31">
        <f t="shared" si="164"/>
        <v>1.2549371618031384</v>
      </c>
      <c r="AR184" s="31">
        <f t="shared" si="165"/>
        <v>0.6487285028157318</v>
      </c>
      <c r="AS184" s="58" t="str">
        <f t="shared" si="166"/>
        <v>-2.37726997998779+2.14392145415851i</v>
      </c>
      <c r="AT184" s="49">
        <f t="shared" si="167"/>
        <v>10.106311393141658</v>
      </c>
      <c r="AU184" s="61">
        <f t="shared" si="168"/>
        <v>137.9545382399896</v>
      </c>
      <c r="AV184" s="58" t="str">
        <f t="shared" si="145"/>
        <v>4.74096701235247+4.43229179545034i</v>
      </c>
      <c r="AW184" s="64">
        <f t="shared" si="169"/>
        <v>16.245087649273859</v>
      </c>
      <c r="AX184" s="61">
        <f t="shared" si="170"/>
        <v>43.072755064921765</v>
      </c>
    </row>
    <row r="185" spans="14:50" x14ac:dyDescent="0.25">
      <c r="N185" s="10">
        <v>67</v>
      </c>
      <c r="O185" s="50">
        <f t="shared" si="171"/>
        <v>467.7351412871983</v>
      </c>
      <c r="P185" s="48" t="str">
        <f t="shared" si="136"/>
        <v>304.285714285714</v>
      </c>
      <c r="Q185" s="17" t="str">
        <f t="shared" si="137"/>
        <v>1+153.030980544667i</v>
      </c>
      <c r="R185" s="17">
        <f t="shared" si="146"/>
        <v>153.03424782205533</v>
      </c>
      <c r="S185" s="17">
        <f t="shared" si="147"/>
        <v>1.564261795270411</v>
      </c>
      <c r="T185" s="17" t="str">
        <f t="shared" si="138"/>
        <v>1+0.00317397589277827i</v>
      </c>
      <c r="U185" s="17">
        <f t="shared" si="148"/>
        <v>1.0000050370487981</v>
      </c>
      <c r="V185" s="17">
        <f t="shared" si="149"/>
        <v>3.1739652345015466E-3</v>
      </c>
      <c r="W185" s="31" t="str">
        <f t="shared" si="139"/>
        <v>1-0.00991867466493211i</v>
      </c>
      <c r="X185" s="17">
        <f t="shared" si="150"/>
        <v>1.0000491888437832</v>
      </c>
      <c r="Y185" s="17">
        <f t="shared" si="151"/>
        <v>-9.9183494173719911E-3</v>
      </c>
      <c r="Z185" s="31" t="str">
        <f t="shared" si="140"/>
        <v>0.999986263335535+0.0874970840292774i</v>
      </c>
      <c r="AA185" s="17">
        <f t="shared" si="152"/>
        <v>1.0038068870920305</v>
      </c>
      <c r="AB185" s="17">
        <f t="shared" si="153"/>
        <v>8.7276011936460077E-2</v>
      </c>
      <c r="AC185" s="66" t="str">
        <f t="shared" si="154"/>
        <v>-0.173081263352359-1.97334121998782i</v>
      </c>
      <c r="AD185" s="64">
        <f t="shared" si="155"/>
        <v>5.9373261717454682</v>
      </c>
      <c r="AE185" s="61">
        <f t="shared" si="156"/>
        <v>-95.0125708083376</v>
      </c>
      <c r="AF185" s="31" t="str">
        <f t="shared" si="141"/>
        <v>-1512.12121212121</v>
      </c>
      <c r="AG185" s="31" t="str">
        <f t="shared" si="157"/>
        <v>2938.86656738729i</v>
      </c>
      <c r="AH185" s="31">
        <f t="shared" si="158"/>
        <v>2938.8665673872902</v>
      </c>
      <c r="AI185" s="31">
        <f t="shared" si="159"/>
        <v>1.5707963267948966</v>
      </c>
      <c r="AJ185" s="31" t="str">
        <f t="shared" si="142"/>
        <v>0.962452748723388+4.05054280723318i</v>
      </c>
      <c r="AK185" s="31">
        <f t="shared" si="160"/>
        <v>4.1633174664867507</v>
      </c>
      <c r="AL185" s="31">
        <f t="shared" si="161"/>
        <v>1.3375116374222966</v>
      </c>
      <c r="AM185" s="31" t="str">
        <f t="shared" si="143"/>
        <v>1+20.1723801185463i</v>
      </c>
      <c r="AN185" s="31">
        <f t="shared" si="162"/>
        <v>20.197151275541856</v>
      </c>
      <c r="AO185" s="31">
        <f t="shared" si="163"/>
        <v>1.5212641422980862</v>
      </c>
      <c r="AP185" s="31" t="str">
        <f t="shared" si="144"/>
        <v>1+0.775860773790244i</v>
      </c>
      <c r="AQ185" s="31">
        <f t="shared" si="164"/>
        <v>1.2656855613881342</v>
      </c>
      <c r="AR185" s="31">
        <f t="shared" si="165"/>
        <v>0.65984761779525913</v>
      </c>
      <c r="AS185" s="58" t="str">
        <f t="shared" si="166"/>
        <v>-2.36008545763082+2.10019487978005i</v>
      </c>
      <c r="AT185" s="49">
        <f t="shared" si="167"/>
        <v>9.9916630602686336</v>
      </c>
      <c r="AU185" s="61">
        <f t="shared" si="168"/>
        <v>138.33472662576958</v>
      </c>
      <c r="AV185" s="58" t="str">
        <f t="shared" si="145"/>
        <v>4.55288769890361+4.29374953315823i</v>
      </c>
      <c r="AW185" s="64">
        <f t="shared" si="169"/>
        <v>15.928989232014104</v>
      </c>
      <c r="AX185" s="61">
        <f t="shared" si="170"/>
        <v>43.32215581743197</v>
      </c>
    </row>
    <row r="186" spans="14:50" x14ac:dyDescent="0.25">
      <c r="N186" s="10">
        <v>68</v>
      </c>
      <c r="O186" s="50">
        <f t="shared" si="171"/>
        <v>478.63009232263886</v>
      </c>
      <c r="P186" s="48" t="str">
        <f t="shared" si="136"/>
        <v>304.285714285714</v>
      </c>
      <c r="Q186" s="17" t="str">
        <f t="shared" si="137"/>
        <v>1+156.59552999321i</v>
      </c>
      <c r="R186" s="17">
        <f t="shared" si="146"/>
        <v>156.59872289981911</v>
      </c>
      <c r="S186" s="17">
        <f t="shared" si="147"/>
        <v>1.56441053527691</v>
      </c>
      <c r="T186" s="17" t="str">
        <f t="shared" si="138"/>
        <v>1+0.00324790728874806i</v>
      </c>
      <c r="U186" s="17">
        <f t="shared" si="148"/>
        <v>1.0000052744369683</v>
      </c>
      <c r="V186" s="17">
        <f t="shared" si="149"/>
        <v>3.2478958682020439E-3</v>
      </c>
      <c r="W186" s="31" t="str">
        <f t="shared" si="139"/>
        <v>1-0.0101497102773377i</v>
      </c>
      <c r="X186" s="17">
        <f t="shared" si="150"/>
        <v>1.0000515069828724</v>
      </c>
      <c r="Y186" s="17">
        <f t="shared" si="151"/>
        <v>-1.0149361769267489E-2</v>
      </c>
      <c r="Z186" s="31" t="str">
        <f t="shared" si="140"/>
        <v>0.999985615946484+0.0895351529321599i</v>
      </c>
      <c r="AA186" s="17">
        <f t="shared" si="152"/>
        <v>1.0039859439805194</v>
      </c>
      <c r="AB186" s="17">
        <f t="shared" si="153"/>
        <v>8.9298320679935539E-2</v>
      </c>
      <c r="AC186" s="66" t="str">
        <f t="shared" si="154"/>
        <v>-0.173600253611044-1.92768640362547i</v>
      </c>
      <c r="AD186" s="64">
        <f t="shared" si="155"/>
        <v>5.7358074820763738</v>
      </c>
      <c r="AE186" s="61">
        <f t="shared" si="156"/>
        <v>-95.14596285831955</v>
      </c>
      <c r="AF186" s="31" t="str">
        <f t="shared" si="141"/>
        <v>-1512.12121212121</v>
      </c>
      <c r="AG186" s="31" t="str">
        <f t="shared" si="157"/>
        <v>3007.32156365561i</v>
      </c>
      <c r="AH186" s="31">
        <f t="shared" si="158"/>
        <v>3007.3215636556101</v>
      </c>
      <c r="AI186" s="31">
        <f t="shared" si="159"/>
        <v>1.5707963267948966</v>
      </c>
      <c r="AJ186" s="31" t="str">
        <f t="shared" si="142"/>
        <v>0.960683201287419+4.14489206957493i</v>
      </c>
      <c r="AK186" s="31">
        <f t="shared" si="160"/>
        <v>4.2547670302451337</v>
      </c>
      <c r="AL186" s="31">
        <f t="shared" si="161"/>
        <v>1.3430425809309712</v>
      </c>
      <c r="AM186" s="31" t="str">
        <f t="shared" si="143"/>
        <v>1+20.6422552129321i</v>
      </c>
      <c r="AN186" s="31">
        <f t="shared" si="162"/>
        <v>20.666463177714334</v>
      </c>
      <c r="AO186" s="31">
        <f t="shared" si="163"/>
        <v>1.5223898515637564</v>
      </c>
      <c r="AP186" s="31" t="str">
        <f t="shared" si="144"/>
        <v>1+0.793932892805081i</v>
      </c>
      <c r="AQ186" s="31">
        <f t="shared" si="164"/>
        <v>1.2768435449489668</v>
      </c>
      <c r="AR186" s="31">
        <f t="shared" si="165"/>
        <v>0.67103052236714511</v>
      </c>
      <c r="AS186" s="58" t="str">
        <f t="shared" si="166"/>
        <v>-2.34358623028224+2.05722029299398i</v>
      </c>
      <c r="AT186" s="49">
        <f t="shared" si="167"/>
        <v>9.8786959191790569</v>
      </c>
      <c r="AU186" s="61">
        <f t="shared" si="168"/>
        <v>138.72305853054553</v>
      </c>
      <c r="AV186" s="58" t="str">
        <f t="shared" si="145"/>
        <v>4.37252275200325+4.1605653472414i</v>
      </c>
      <c r="AW186" s="64">
        <f t="shared" si="169"/>
        <v>15.61450340125543</v>
      </c>
      <c r="AX186" s="61">
        <f t="shared" si="170"/>
        <v>43.577095672225965</v>
      </c>
    </row>
    <row r="187" spans="14:50" x14ac:dyDescent="0.25">
      <c r="N187" s="10">
        <v>69</v>
      </c>
      <c r="O187" s="50">
        <f t="shared" si="171"/>
        <v>489.77881936844625</v>
      </c>
      <c r="P187" s="48" t="str">
        <f t="shared" si="136"/>
        <v>304.285714285714</v>
      </c>
      <c r="Q187" s="17" t="str">
        <f t="shared" si="137"/>
        <v>1+160.243108464543i</v>
      </c>
      <c r="R187" s="17">
        <f t="shared" si="146"/>
        <v>160.24622869315616</v>
      </c>
      <c r="S187" s="17">
        <f t="shared" si="147"/>
        <v>1.5645558898205372</v>
      </c>
      <c r="T187" s="17" t="str">
        <f t="shared" si="138"/>
        <v>1+0.00332356076815348i</v>
      </c>
      <c r="U187" s="17">
        <f t="shared" si="148"/>
        <v>1.000005523012838</v>
      </c>
      <c r="V187" s="17">
        <f t="shared" si="149"/>
        <v>3.3235485308215976E-3</v>
      </c>
      <c r="W187" s="31" t="str">
        <f t="shared" si="139"/>
        <v>1-0.0103861274004796i</v>
      </c>
      <c r="X187" s="17">
        <f t="shared" si="150"/>
        <v>1.0000539343667316</v>
      </c>
      <c r="Y187" s="17">
        <f t="shared" si="151"/>
        <v>-1.0385753968442055E-2</v>
      </c>
      <c r="Z187" s="31" t="str">
        <f t="shared" si="140"/>
        <v>0.999984938046927+0.091620694558265i</v>
      </c>
      <c r="AA187" s="17">
        <f t="shared" si="152"/>
        <v>1.004173405339962</v>
      </c>
      <c r="AB187" s="17">
        <f t="shared" si="153"/>
        <v>9.1366981155296026E-2</v>
      </c>
      <c r="AC187" s="66" t="str">
        <f t="shared" si="154"/>
        <v>-0.174089846005819-1.88305388823492i</v>
      </c>
      <c r="AD187" s="64">
        <f t="shared" si="155"/>
        <v>5.5342170418001828</v>
      </c>
      <c r="AE187" s="61">
        <f t="shared" si="156"/>
        <v>-95.282026271731624</v>
      </c>
      <c r="AF187" s="31" t="str">
        <f t="shared" si="141"/>
        <v>-1512.12121212121</v>
      </c>
      <c r="AG187" s="31" t="str">
        <f t="shared" si="157"/>
        <v>3077.37108162359i</v>
      </c>
      <c r="AH187" s="31">
        <f t="shared" si="158"/>
        <v>3077.3710816235898</v>
      </c>
      <c r="AI187" s="31">
        <f t="shared" si="159"/>
        <v>1.5707963267948966</v>
      </c>
      <c r="AJ187" s="31" t="str">
        <f t="shared" si="142"/>
        <v>0.958830257650086+4.2414390085561i</v>
      </c>
      <c r="AK187" s="31">
        <f t="shared" si="160"/>
        <v>4.3484664338461529</v>
      </c>
      <c r="AL187" s="31">
        <f t="shared" si="161"/>
        <v>1.3484708228747355</v>
      </c>
      <c r="AM187" s="31" t="str">
        <f t="shared" si="143"/>
        <v>1+21.1230751042643i</v>
      </c>
      <c r="AN187" s="31">
        <f t="shared" si="162"/>
        <v>21.146732652123596</v>
      </c>
      <c r="AO187" s="31">
        <f t="shared" si="163"/>
        <v>1.5234900552107675</v>
      </c>
      <c r="AP187" s="31" t="str">
        <f t="shared" si="144"/>
        <v>1+0.812425965548627i</v>
      </c>
      <c r="AQ187" s="31">
        <f t="shared" si="164"/>
        <v>1.2884238237077188</v>
      </c>
      <c r="AR187" s="31">
        <f t="shared" si="165"/>
        <v>0.6822719583893655</v>
      </c>
      <c r="AS187" s="58" t="str">
        <f t="shared" si="166"/>
        <v>-2.32774848942247+2.01499639601133i</v>
      </c>
      <c r="AT187" s="49">
        <f t="shared" si="167"/>
        <v>9.7674527328994589</v>
      </c>
      <c r="AU187" s="61">
        <f t="shared" si="168"/>
        <v>139.11916704231007</v>
      </c>
      <c r="AV187" s="58" t="str">
        <f t="shared" si="145"/>
        <v>4.19958417435232+4.03248543155605i</v>
      </c>
      <c r="AW187" s="64">
        <f t="shared" si="169"/>
        <v>15.301669774699638</v>
      </c>
      <c r="AX187" s="61">
        <f t="shared" si="170"/>
        <v>43.837140770578451</v>
      </c>
    </row>
    <row r="188" spans="14:50" x14ac:dyDescent="0.25">
      <c r="N188" s="10">
        <v>70</v>
      </c>
      <c r="O188" s="50">
        <f t="shared" si="171"/>
        <v>501.18723362727269</v>
      </c>
      <c r="P188" s="48" t="str">
        <f t="shared" si="136"/>
        <v>304.285714285714</v>
      </c>
      <c r="Q188" s="17" t="str">
        <f t="shared" si="137"/>
        <v>1+163.975649953051i</v>
      </c>
      <c r="R188" s="17">
        <f t="shared" si="146"/>
        <v>163.97869915792575</v>
      </c>
      <c r="S188" s="17">
        <f t="shared" si="147"/>
        <v>1.5646979359456135</v>
      </c>
      <c r="T188" s="17" t="str">
        <f t="shared" si="138"/>
        <v>1+0.00340097644347069i</v>
      </c>
      <c r="U188" s="17">
        <f t="shared" si="148"/>
        <v>1.0000057833036611</v>
      </c>
      <c r="V188" s="17">
        <f t="shared" si="149"/>
        <v>3.4009633309374288E-3</v>
      </c>
      <c r="W188" s="31" t="str">
        <f t="shared" si="139"/>
        <v>1-0.0106280513858459i</v>
      </c>
      <c r="X188" s="17">
        <f t="shared" si="150"/>
        <v>1.0000564761433528</v>
      </c>
      <c r="Y188" s="17">
        <f t="shared" si="151"/>
        <v>-1.0627651247428909E-2</v>
      </c>
      <c r="Z188" s="31" t="str">
        <f t="shared" si="140"/>
        <v>0.999984228198948+0.0937548146893679i</v>
      </c>
      <c r="AA188" s="17">
        <f t="shared" si="152"/>
        <v>1.004369663980391</v>
      </c>
      <c r="AB188" s="17">
        <f t="shared" si="153"/>
        <v>9.3483019718787794E-2</v>
      </c>
      <c r="AC188" s="66" t="str">
        <f t="shared" si="154"/>
        <v>-0.174551085831727-1.8394200703718i</v>
      </c>
      <c r="AD188" s="64">
        <f t="shared" si="155"/>
        <v>5.3325515606535321</v>
      </c>
      <c r="AE188" s="61">
        <f t="shared" si="156"/>
        <v>-95.420829146012807</v>
      </c>
      <c r="AF188" s="31" t="str">
        <f t="shared" si="141"/>
        <v>-1512.12121212121</v>
      </c>
      <c r="AG188" s="31" t="str">
        <f t="shared" si="157"/>
        <v>3149.05226247286i</v>
      </c>
      <c r="AH188" s="31">
        <f t="shared" si="158"/>
        <v>3149.0522624728601</v>
      </c>
      <c r="AI188" s="31">
        <f t="shared" si="159"/>
        <v>1.5707963267948966</v>
      </c>
      <c r="AJ188" s="31" t="str">
        <f t="shared" si="142"/>
        <v>0.956889987469505+4.34023481464169i</v>
      </c>
      <c r="AK188" s="31">
        <f t="shared" si="160"/>
        <v>4.4444658502847307</v>
      </c>
      <c r="AL188" s="31">
        <f t="shared" si="161"/>
        <v>1.3537981115099678</v>
      </c>
      <c r="AM188" s="31" t="str">
        <f t="shared" si="143"/>
        <v>1+21.6150947296137i</v>
      </c>
      <c r="AN188" s="31">
        <f t="shared" si="162"/>
        <v>21.63821434800418</v>
      </c>
      <c r="AO188" s="31">
        <f t="shared" si="163"/>
        <v>1.5245653259216851</v>
      </c>
      <c r="AP188" s="31" t="str">
        <f t="shared" si="144"/>
        <v>1+0.831349797292835i</v>
      </c>
      <c r="AQ188" s="31">
        <f t="shared" si="164"/>
        <v>1.3004393432447503</v>
      </c>
      <c r="AR188" s="31">
        <f t="shared" si="165"/>
        <v>0.69356652224157134</v>
      </c>
      <c r="AS188" s="58" t="str">
        <f t="shared" si="166"/>
        <v>-2.31254894965918+1.97352111817598i</v>
      </c>
      <c r="AT188" s="49">
        <f t="shared" si="167"/>
        <v>9.6579736497531687</v>
      </c>
      <c r="AU188" s="61">
        <f t="shared" si="168"/>
        <v>139.52267520100537</v>
      </c>
      <c r="AV188" s="58" t="str">
        <f t="shared" si="145"/>
        <v>4.03379228427752+3.90926869763086i</v>
      </c>
      <c r="AW188" s="64">
        <f t="shared" si="169"/>
        <v>14.990525210406698</v>
      </c>
      <c r="AX188" s="61">
        <f t="shared" si="170"/>
        <v>44.101846054992592</v>
      </c>
    </row>
    <row r="189" spans="14:50" x14ac:dyDescent="0.25">
      <c r="N189" s="10">
        <v>71</v>
      </c>
      <c r="O189" s="50">
        <f t="shared" si="171"/>
        <v>512.86138399136519</v>
      </c>
      <c r="P189" s="48" t="str">
        <f t="shared" si="136"/>
        <v>304.285714285714</v>
      </c>
      <c r="Q189" s="17" t="str">
        <f t="shared" si="137"/>
        <v>1+167.795133501639i</v>
      </c>
      <c r="R189" s="17">
        <f t="shared" si="146"/>
        <v>167.79811329938383</v>
      </c>
      <c r="S189" s="17">
        <f t="shared" si="147"/>
        <v>1.5648367489439325</v>
      </c>
      <c r="T189" s="17" t="str">
        <f t="shared" si="138"/>
        <v>1+0.00348019536151548i</v>
      </c>
      <c r="U189" s="17">
        <f t="shared" si="148"/>
        <v>1.0000060558615405</v>
      </c>
      <c r="V189" s="17">
        <f t="shared" si="149"/>
        <v>3.4801813111875455E-3</v>
      </c>
      <c r="W189" s="31" t="str">
        <f t="shared" si="139"/>
        <v>1-0.0108756105047359i</v>
      </c>
      <c r="X189" s="17">
        <f t="shared" si="150"/>
        <v>1.0000591377032915</v>
      </c>
      <c r="Y189" s="17">
        <f t="shared" si="151"/>
        <v>-1.0875181750066666E-2</v>
      </c>
      <c r="Z189" s="31" t="str">
        <f t="shared" si="140"/>
        <v>0.999983484896864+0.0959386448642108i</v>
      </c>
      <c r="AA189" s="17">
        <f t="shared" si="152"/>
        <v>1.0045751309110023</v>
      </c>
      <c r="AB189" s="17">
        <f t="shared" si="153"/>
        <v>9.5647482893415653E-2</v>
      </c>
      <c r="AC189" s="66" t="str">
        <f t="shared" si="154"/>
        <v>-0.174984958941082-1.7967618773149i</v>
      </c>
      <c r="AD189" s="64">
        <f t="shared" si="155"/>
        <v>5.1308075971423817</v>
      </c>
      <c r="AE189" s="61">
        <f t="shared" si="156"/>
        <v>-95.562440746947715</v>
      </c>
      <c r="AF189" s="31" t="str">
        <f t="shared" si="141"/>
        <v>-1512.12121212121</v>
      </c>
      <c r="AG189" s="31" t="str">
        <f t="shared" si="157"/>
        <v>3222.40311251433i</v>
      </c>
      <c r="AH189" s="31">
        <f t="shared" si="158"/>
        <v>3222.4031125143301</v>
      </c>
      <c r="AI189" s="31">
        <f t="shared" si="159"/>
        <v>1.5707963267948966</v>
      </c>
      <c r="AJ189" s="31" t="str">
        <f t="shared" si="142"/>
        <v>0.954858275172487+4.44133187067579i</v>
      </c>
      <c r="AK189" s="31">
        <f t="shared" si="160"/>
        <v>4.5428166495188735</v>
      </c>
      <c r="AL189" s="31">
        <f t="shared" si="161"/>
        <v>1.3590262092281469</v>
      </c>
      <c r="AM189" s="31" t="str">
        <f t="shared" si="143"/>
        <v>1+22.1185749642983i</v>
      </c>
      <c r="AN189" s="31">
        <f t="shared" si="162"/>
        <v>22.141168859192675</v>
      </c>
      <c r="AO189" s="31">
        <f t="shared" si="163"/>
        <v>1.5256162238677318</v>
      </c>
      <c r="AP189" s="31" t="str">
        <f t="shared" si="144"/>
        <v>1+0.850714421703783i</v>
      </c>
      <c r="AQ189" s="31">
        <f t="shared" si="164"/>
        <v>1.3129032817747093</v>
      </c>
      <c r="AR189" s="31">
        <f t="shared" si="165"/>
        <v>0.70490867665786572</v>
      </c>
      <c r="AS189" s="58" t="str">
        <f t="shared" si="166"/>
        <v>-2.29796486442226+1.93279166770407i</v>
      </c>
      <c r="AT189" s="49">
        <f t="shared" si="167"/>
        <v>9.5502961311909118</v>
      </c>
      <c r="AU189" s="61">
        <f t="shared" si="168"/>
        <v>139.93319686251851</v>
      </c>
      <c r="AV189" s="58" t="str">
        <f t="shared" si="145"/>
        <v>3.87487567277154+3.79068619318816i</v>
      </c>
      <c r="AW189" s="64">
        <f t="shared" si="169"/>
        <v>14.681103728333298</v>
      </c>
      <c r="AX189" s="61">
        <f t="shared" si="170"/>
        <v>44.370756115570792</v>
      </c>
    </row>
    <row r="190" spans="14:50" x14ac:dyDescent="0.25">
      <c r="N190" s="10">
        <v>72</v>
      </c>
      <c r="O190" s="50">
        <f t="shared" si="171"/>
        <v>524.80746024977248</v>
      </c>
      <c r="P190" s="48" t="str">
        <f t="shared" si="136"/>
        <v>304.285714285714</v>
      </c>
      <c r="Q190" s="17" t="str">
        <f t="shared" si="137"/>
        <v>1+171.703584251042i</v>
      </c>
      <c r="R190" s="17">
        <f t="shared" si="146"/>
        <v>171.70649622147286</v>
      </c>
      <c r="S190" s="17">
        <f t="shared" si="147"/>
        <v>1.5649724023945732</v>
      </c>
      <c r="T190" s="17" t="str">
        <f t="shared" si="138"/>
        <v>1+0.00356125952520678i</v>
      </c>
      <c r="U190" s="17">
        <f t="shared" si="148"/>
        <v>1.000006341264597</v>
      </c>
      <c r="V190" s="17">
        <f t="shared" si="149"/>
        <v>3.5612444700143095E-3</v>
      </c>
      <c r="W190" s="31" t="str">
        <f t="shared" si="139"/>
        <v>1-0.0111289360162712i</v>
      </c>
      <c r="X190" s="17">
        <f t="shared" si="150"/>
        <v>1.0000619246910933</v>
      </c>
      <c r="Y190" s="17">
        <f t="shared" si="151"/>
        <v>-1.1128476598902315E-2</v>
      </c>
      <c r="Z190" s="31" t="str">
        <f t="shared" si="140"/>
        <v>0.999982706564032+0.098173342978459i</v>
      </c>
      <c r="AA190" s="17">
        <f t="shared" si="152"/>
        <v>1.0047902361680736</v>
      </c>
      <c r="AB190" s="17">
        <f t="shared" si="153"/>
        <v>9.7861437579947946E-2</v>
      </c>
      <c r="AC190" s="66" t="str">
        <f t="shared" si="154"/>
        <v>-0.175392393895488-1.75505675511627i</v>
      </c>
      <c r="AD190" s="64">
        <f t="shared" si="155"/>
        <v>4.928981551994994</v>
      </c>
      <c r="AE190" s="61">
        <f t="shared" si="156"/>
        <v>-95.706931525653246</v>
      </c>
      <c r="AF190" s="31" t="str">
        <f t="shared" si="141"/>
        <v>-1512.12121212121</v>
      </c>
      <c r="AG190" s="31" t="str">
        <f t="shared" si="157"/>
        <v>3297.46252333961i</v>
      </c>
      <c r="AH190" s="31">
        <f t="shared" si="158"/>
        <v>3297.46252333961</v>
      </c>
      <c r="AI190" s="31">
        <f t="shared" si="159"/>
        <v>1.5707963267948966</v>
      </c>
      <c r="AJ190" s="31" t="str">
        <f t="shared" si="142"/>
        <v>0.952730811224853+4.54478377965571i</v>
      </c>
      <c r="AK190" s="31">
        <f t="shared" si="160"/>
        <v>4.6435714275198565</v>
      </c>
      <c r="AL190" s="31">
        <f t="shared" si="161"/>
        <v>1.3641568897488376</v>
      </c>
      <c r="AM190" s="31" t="str">
        <f t="shared" si="143"/>
        <v>1+22.633782760203i</v>
      </c>
      <c r="AN190" s="31">
        <f t="shared" si="162"/>
        <v>22.65586286231585</v>
      </c>
      <c r="AO190" s="31">
        <f t="shared" si="163"/>
        <v>1.5266432969588457</v>
      </c>
      <c r="AP190" s="31" t="str">
        <f t="shared" si="144"/>
        <v>1+0.870530106161657i</v>
      </c>
      <c r="AQ190" s="31">
        <f t="shared" si="164"/>
        <v>1.3258290484575399</v>
      </c>
      <c r="AR190" s="31">
        <f t="shared" si="165"/>
        <v>0.71629276335897796</v>
      </c>
      <c r="AS190" s="58" t="str">
        <f t="shared" si="166"/>
        <v>-2.28397403848967+1.89280458181553i</v>
      </c>
      <c r="AT190" s="49">
        <f t="shared" si="167"/>
        <v>9.4444548870466765</v>
      </c>
      <c r="AU190" s="61">
        <f t="shared" si="168"/>
        <v>140.35033759760989</v>
      </c>
      <c r="AV190" s="58" t="str">
        <f t="shared" si="145"/>
        <v>3.72257114163622+3.67652053798051i</v>
      </c>
      <c r="AW190" s="64">
        <f t="shared" si="169"/>
        <v>14.373436439041672</v>
      </c>
      <c r="AX190" s="61">
        <f t="shared" si="170"/>
        <v>44.643406071956647</v>
      </c>
    </row>
    <row r="191" spans="14:50" x14ac:dyDescent="0.25">
      <c r="N191" s="10">
        <v>73</v>
      </c>
      <c r="O191" s="50">
        <f t="shared" si="171"/>
        <v>537.03179637025301</v>
      </c>
      <c r="P191" s="48" t="str">
        <f t="shared" si="136"/>
        <v>304.285714285714</v>
      </c>
      <c r="Q191" s="17" t="str">
        <f t="shared" si="137"/>
        <v>1+175.703074513579i</v>
      </c>
      <c r="R191" s="17">
        <f t="shared" si="146"/>
        <v>175.70592020055639</v>
      </c>
      <c r="S191" s="17">
        <f t="shared" si="147"/>
        <v>1.5651049682028086</v>
      </c>
      <c r="T191" s="17" t="str">
        <f t="shared" si="138"/>
        <v>1+0.00364421191583718i</v>
      </c>
      <c r="U191" s="17">
        <f t="shared" si="148"/>
        <v>1.0000066401181982</v>
      </c>
      <c r="V191" s="17">
        <f t="shared" si="149"/>
        <v>3.6441957839135888E-3</v>
      </c>
      <c r="W191" s="31" t="str">
        <f t="shared" si="139"/>
        <v>1-0.0113881622369912i</v>
      </c>
      <c r="X191" s="17">
        <f t="shared" si="150"/>
        <v>1.0000648430172596</v>
      </c>
      <c r="Y191" s="17">
        <f t="shared" si="151"/>
        <v>-1.1387669964135145E-2</v>
      </c>
      <c r="Z191" s="31" t="str">
        <f t="shared" si="140"/>
        <v>0.999981891549504+0.100460093898632i</v>
      </c>
      <c r="AA191" s="17">
        <f t="shared" si="152"/>
        <v>1.0050154296790901</v>
      </c>
      <c r="AB191" s="17">
        <f t="shared" si="153"/>
        <v>0.10012597125537738</v>
      </c>
      <c r="AC191" s="66" t="str">
        <f t="shared" si="154"/>
        <v>-0.175774264002375-1.71428265693168i</v>
      </c>
      <c r="AD191" s="64">
        <f t="shared" si="155"/>
        <v>4.7270696613508392</v>
      </c>
      <c r="AE191" s="61">
        <f t="shared" si="156"/>
        <v>-95.854373134854384</v>
      </c>
      <c r="AF191" s="31" t="str">
        <f t="shared" si="141"/>
        <v>-1512.12121212121</v>
      </c>
      <c r="AG191" s="31" t="str">
        <f t="shared" si="157"/>
        <v>3374.27029244183i</v>
      </c>
      <c r="AH191" s="31">
        <f t="shared" si="158"/>
        <v>3374.27029244183</v>
      </c>
      <c r="AI191" s="31">
        <f t="shared" si="159"/>
        <v>1.5707963267948966</v>
      </c>
      <c r="AJ191" s="31" t="str">
        <f t="shared" si="142"/>
        <v>0.950503082990336+4.65064539315293i</v>
      </c>
      <c r="AK191" s="31">
        <f t="shared" si="160"/>
        <v>4.7467840359161801</v>
      </c>
      <c r="AL191" s="31">
        <f t="shared" si="161"/>
        <v>1.3691919354931936</v>
      </c>
      <c r="AM191" s="31" t="str">
        <f t="shared" si="143"/>
        <v>1+23.1609912873207i</v>
      </c>
      <c r="AN191" s="31">
        <f t="shared" si="162"/>
        <v>23.182569258202278</v>
      </c>
      <c r="AO191" s="31">
        <f t="shared" si="163"/>
        <v>1.5276470810903373</v>
      </c>
      <c r="AP191" s="31" t="str">
        <f t="shared" si="144"/>
        <v>1+0.890807357204643i</v>
      </c>
      <c r="AQ191" s="31">
        <f t="shared" si="164"/>
        <v>1.3392302817849961</v>
      </c>
      <c r="AR191" s="31">
        <f t="shared" si="165"/>
        <v>0.7277130164200587</v>
      </c>
      <c r="AS191" s="58" t="str">
        <f t="shared" si="166"/>
        <v>-2.27055483759414+1.85355577517467i</v>
      </c>
      <c r="AT191" s="49">
        <f t="shared" si="167"/>
        <v>9.3404818187776897</v>
      </c>
      <c r="AU191" s="61">
        <f t="shared" si="168"/>
        <v>140.77369562245107</v>
      </c>
      <c r="AV191" s="58" t="str">
        <f t="shared" si="145"/>
        <v>3.57662362449264+3.56656537753128i</v>
      </c>
      <c r="AW191" s="64">
        <f t="shared" si="169"/>
        <v>14.067551480128531</v>
      </c>
      <c r="AX191" s="61">
        <f t="shared" si="170"/>
        <v>44.919322487596645</v>
      </c>
    </row>
    <row r="192" spans="14:50" x14ac:dyDescent="0.25">
      <c r="N192" s="10">
        <v>74</v>
      </c>
      <c r="O192" s="50">
        <f t="shared" si="171"/>
        <v>549.54087385762534</v>
      </c>
      <c r="P192" s="48" t="str">
        <f t="shared" si="136"/>
        <v>304.285714285714</v>
      </c>
      <c r="Q192" s="17" t="str">
        <f t="shared" si="137"/>
        <v>1+179.795724871928i</v>
      </c>
      <c r="R192" s="17">
        <f t="shared" si="146"/>
        <v>179.79850578417506</v>
      </c>
      <c r="S192" s="17">
        <f t="shared" si="147"/>
        <v>1.565234516638137</v>
      </c>
      <c r="T192" s="17" t="str">
        <f t="shared" si="138"/>
        <v>1+0.00372909651586221i</v>
      </c>
      <c r="U192" s="17">
        <f t="shared" si="148"/>
        <v>1.0000069530562399</v>
      </c>
      <c r="V192" s="17">
        <f t="shared" si="149"/>
        <v>3.7290792302011426E-3</v>
      </c>
      <c r="W192" s="31" t="str">
        <f t="shared" si="139"/>
        <v>1-0.0116534266120694i</v>
      </c>
      <c r="X192" s="17">
        <f t="shared" si="150"/>
        <v>1.0000678988707732</v>
      </c>
      <c r="Y192" s="17">
        <f t="shared" si="151"/>
        <v>-1.1652899134134885E-2</v>
      </c>
      <c r="Z192" s="31" t="str">
        <f t="shared" si="140"/>
        <v>0.999981038124525+0.102800110090337i</v>
      </c>
      <c r="AA192" s="17">
        <f t="shared" si="152"/>
        <v>1.0052511821645316</v>
      </c>
      <c r="AB192" s="17">
        <f t="shared" si="153"/>
        <v>0.10244219215742158</v>
      </c>
      <c r="AC192" s="66" t="str">
        <f t="shared" si="154"/>
        <v>-0.176131389240856-1.67441803162626i</v>
      </c>
      <c r="AD192" s="64">
        <f t="shared" si="155"/>
        <v>4.5250679896765877</v>
      </c>
      <c r="AE192" s="61">
        <f t="shared" si="156"/>
        <v>-96.004838444370264</v>
      </c>
      <c r="AF192" s="31" t="str">
        <f t="shared" si="141"/>
        <v>-1512.12121212121</v>
      </c>
      <c r="AG192" s="31" t="str">
        <f t="shared" si="157"/>
        <v>3452.86714431686i</v>
      </c>
      <c r="AH192" s="31">
        <f t="shared" si="158"/>
        <v>3452.86714431686</v>
      </c>
      <c r="AI192" s="31">
        <f t="shared" si="159"/>
        <v>1.5707963267948966</v>
      </c>
      <c r="AJ192" s="31" t="str">
        <f t="shared" si="142"/>
        <v>0.948170365158675+4.75897284039617i</v>
      </c>
      <c r="AK192" s="31">
        <f t="shared" si="160"/>
        <v>4.8525096122515343</v>
      </c>
      <c r="AL192" s="31">
        <f t="shared" si="161"/>
        <v>1.3741331351318609</v>
      </c>
      <c r="AM192" s="31" t="str">
        <f t="shared" si="143"/>
        <v>1+23.7004800785909i</v>
      </c>
      <c r="AN192" s="31">
        <f t="shared" si="162"/>
        <v>23.721567316593649</v>
      </c>
      <c r="AO192" s="31">
        <f t="shared" si="163"/>
        <v>1.5286281003860689</v>
      </c>
      <c r="AP192" s="31" t="str">
        <f t="shared" si="144"/>
        <v>1+0.911556926099651i</v>
      </c>
      <c r="AQ192" s="31">
        <f t="shared" si="164"/>
        <v>1.3531208480842518</v>
      </c>
      <c r="AR192" s="31">
        <f t="shared" si="165"/>
        <v>0.73916357630219698</v>
      </c>
      <c r="AS192" s="58" t="str">
        <f t="shared" si="166"/>
        <v>-2.25768619535224+1.81504058657752i</v>
      </c>
      <c r="AT192" s="49">
        <f t="shared" si="167"/>
        <v>9.2384059712079765</v>
      </c>
      <c r="AU192" s="61">
        <f t="shared" si="168"/>
        <v>141.20286275699843</v>
      </c>
      <c r="AV192" s="58" t="str">
        <f t="shared" si="145"/>
        <v>3.4367860923562+3.46062485520904i</v>
      </c>
      <c r="AW192" s="64">
        <f t="shared" si="169"/>
        <v>13.763473960884568</v>
      </c>
      <c r="AX192" s="61">
        <f t="shared" si="170"/>
        <v>45.198024312628114</v>
      </c>
    </row>
    <row r="193" spans="14:50" x14ac:dyDescent="0.25">
      <c r="N193" s="10">
        <v>75</v>
      </c>
      <c r="O193" s="50">
        <f t="shared" si="171"/>
        <v>562.34132519034927</v>
      </c>
      <c r="P193" s="48" t="str">
        <f t="shared" si="136"/>
        <v>304.285714285714</v>
      </c>
      <c r="Q193" s="17" t="str">
        <f t="shared" si="137"/>
        <v>1+183.983705303483i</v>
      </c>
      <c r="R193" s="17">
        <f t="shared" si="146"/>
        <v>183.98642291538494</v>
      </c>
      <c r="S193" s="17">
        <f t="shared" si="147"/>
        <v>1.56536111637145</v>
      </c>
      <c r="T193" s="17" t="str">
        <f t="shared" si="138"/>
        <v>1+0.00381595833222037i</v>
      </c>
      <c r="U193" s="17">
        <f t="shared" si="148"/>
        <v>1.000007280742492</v>
      </c>
      <c r="V193" s="17">
        <f t="shared" si="149"/>
        <v>3.8159398103081157E-3</v>
      </c>
      <c r="W193" s="31" t="str">
        <f t="shared" si="139"/>
        <v>1-0.0119248697881887i</v>
      </c>
      <c r="X193" s="17">
        <f t="shared" si="150"/>
        <v>1.0000710987322179</v>
      </c>
      <c r="Y193" s="17">
        <f t="shared" si="151"/>
        <v>-1.1924304587568962E-2</v>
      </c>
      <c r="Z193" s="31" t="str">
        <f t="shared" si="140"/>
        <v>0.999980144478866+0.105194632261132i</v>
      </c>
      <c r="AA193" s="17">
        <f t="shared" si="152"/>
        <v>1.0054979860788027</v>
      </c>
      <c r="AB193" s="17">
        <f t="shared" si="153"/>
        <v>0.10481122945354135</v>
      </c>
      <c r="AC193" s="66" t="str">
        <f t="shared" si="154"/>
        <v>-0.176464538081573-1.63544181265082i</v>
      </c>
      <c r="AD193" s="64">
        <f t="shared" si="155"/>
        <v>4.3229724224030939</v>
      </c>
      <c r="AE193" s="61">
        <f t="shared" si="156"/>
        <v>-96.15840155572576</v>
      </c>
      <c r="AF193" s="31" t="str">
        <f t="shared" si="141"/>
        <v>-1512.12121212121</v>
      </c>
      <c r="AG193" s="31" t="str">
        <f t="shared" si="157"/>
        <v>3533.2947520559i</v>
      </c>
      <c r="AH193" s="31">
        <f t="shared" si="158"/>
        <v>3533.2947520559001</v>
      </c>
      <c r="AI193" s="31">
        <f t="shared" si="159"/>
        <v>1.5707963267948966</v>
      </c>
      <c r="AJ193" s="31" t="str">
        <f t="shared" si="142"/>
        <v>0.945727709722595+4.86982355803183i</v>
      </c>
      <c r="AK193" s="31">
        <f t="shared" si="160"/>
        <v>4.9608046108770436</v>
      </c>
      <c r="AL193" s="31">
        <f t="shared" si="161"/>
        <v>1.3789822813009756</v>
      </c>
      <c r="AM193" s="31" t="str">
        <f t="shared" si="143"/>
        <v>1+24.2525351781116i</v>
      </c>
      <c r="AN193" s="31">
        <f t="shared" si="162"/>
        <v>24.273142824231492</v>
      </c>
      <c r="AO193" s="31">
        <f t="shared" si="163"/>
        <v>1.5295868674380986</v>
      </c>
      <c r="AP193" s="31" t="str">
        <f t="shared" si="144"/>
        <v>1+0.932789814542757i</v>
      </c>
      <c r="AQ193" s="31">
        <f t="shared" si="164"/>
        <v>1.3675148401807971</v>
      </c>
      <c r="AR193" s="31">
        <f t="shared" si="165"/>
        <v>0.75063850446821567</v>
      </c>
      <c r="AS193" s="58" t="str">
        <f t="shared" si="166"/>
        <v>-2.24534761774539+1.77725382384006i</v>
      </c>
      <c r="AT193" s="49">
        <f t="shared" si="167"/>
        <v>9.1382534932360517</v>
      </c>
      <c r="AU193" s="61">
        <f t="shared" si="168"/>
        <v>141.63742540701236</v>
      </c>
      <c r="AV193" s="58" t="str">
        <f t="shared" si="145"/>
        <v>3.30281944539959+3.35851310291908i</v>
      </c>
      <c r="AW193" s="64">
        <f t="shared" si="169"/>
        <v>13.461225915639153</v>
      </c>
      <c r="AX193" s="61">
        <f t="shared" si="170"/>
        <v>45.479023851286634</v>
      </c>
    </row>
    <row r="194" spans="14:50" x14ac:dyDescent="0.25">
      <c r="N194" s="10">
        <v>76</v>
      </c>
      <c r="O194" s="50">
        <f t="shared" si="171"/>
        <v>575.43993733715706</v>
      </c>
      <c r="P194" s="48" t="str">
        <f t="shared" si="136"/>
        <v>304.285714285714</v>
      </c>
      <c r="Q194" s="17" t="str">
        <f t="shared" si="137"/>
        <v>1+188.269236330901i</v>
      </c>
      <c r="R194" s="17">
        <f t="shared" si="146"/>
        <v>188.27189208328645</v>
      </c>
      <c r="S194" s="17">
        <f t="shared" si="147"/>
        <v>1.5654848345113601</v>
      </c>
      <c r="T194" s="17" t="str">
        <f t="shared" si="138"/>
        <v>1+0.00390484342019646i</v>
      </c>
      <c r="U194" s="17">
        <f t="shared" si="148"/>
        <v>1.0000076238720064</v>
      </c>
      <c r="V194" s="17">
        <f t="shared" si="149"/>
        <v>3.9048235736180814E-3</v>
      </c>
      <c r="W194" s="31" t="str">
        <f t="shared" si="139"/>
        <v>1-0.012202635688114i</v>
      </c>
      <c r="X194" s="17">
        <f t="shared" si="150"/>
        <v>1.0000744493875127</v>
      </c>
      <c r="Y194" s="17">
        <f t="shared" si="151"/>
        <v>-1.220203006717358E-2</v>
      </c>
      <c r="Z194" s="31" t="str">
        <f t="shared" si="140"/>
        <v>0.999979208716984+0.107644930018367i</v>
      </c>
      <c r="AA194" s="17">
        <f t="shared" si="152"/>
        <v>1.0057563565918459</v>
      </c>
      <c r="AB194" s="17">
        <f t="shared" si="153"/>
        <v>0.10723423339286324</v>
      </c>
      <c r="AC194" s="66" t="str">
        <f t="shared" si="154"/>
        <v>-0.176774429204991-1.59733340718395i</v>
      </c>
      <c r="AD194" s="64">
        <f t="shared" si="155"/>
        <v>4.1207786582746015</v>
      </c>
      <c r="AE194" s="61">
        <f t="shared" si="156"/>
        <v>-96.315137815798238</v>
      </c>
      <c r="AF194" s="31" t="str">
        <f t="shared" si="141"/>
        <v>-1512.12121212121</v>
      </c>
      <c r="AG194" s="31" t="str">
        <f t="shared" si="157"/>
        <v>3615.59575944117i</v>
      </c>
      <c r="AH194" s="31">
        <f t="shared" si="158"/>
        <v>3615.5957594411698</v>
      </c>
      <c r="AI194" s="31">
        <f t="shared" si="159"/>
        <v>1.5707963267948966</v>
      </c>
      <c r="AJ194" s="31" t="str">
        <f t="shared" si="142"/>
        <v>0.943169935482424+4.9832563205777i</v>
      </c>
      <c r="AK194" s="31">
        <f t="shared" si="160"/>
        <v>5.0717268344988291</v>
      </c>
      <c r="AL194" s="31">
        <f t="shared" si="161"/>
        <v>1.3837411684798331</v>
      </c>
      <c r="AM194" s="31" t="str">
        <f t="shared" si="143"/>
        <v>1+24.8174492928041i</v>
      </c>
      <c r="AN194" s="31">
        <f t="shared" si="162"/>
        <v>24.837588236398936</v>
      </c>
      <c r="AO194" s="31">
        <f t="shared" si="163"/>
        <v>1.5305238835427382</v>
      </c>
      <c r="AP194" s="31" t="str">
        <f t="shared" si="144"/>
        <v>1+0.954517280492468i</v>
      </c>
      <c r="AQ194" s="31">
        <f t="shared" si="164"/>
        <v>1.3824265762631796</v>
      </c>
      <c r="AR194" s="31">
        <f t="shared" si="165"/>
        <v>0.76213179849667878</v>
      </c>
      <c r="AS194" s="58" t="str">
        <f t="shared" si="166"/>
        <v>-2.23351918537256+1.74018980685867i</v>
      </c>
      <c r="AT194" s="49">
        <f t="shared" si="167"/>
        <v>9.0400476079106049</v>
      </c>
      <c r="AU194" s="61">
        <f t="shared" si="168"/>
        <v>142.07696556515037</v>
      </c>
      <c r="AV194" s="58" t="str">
        <f t="shared" si="145"/>
        <v>3.17449239244897+3.26005375056609i</v>
      </c>
      <c r="AW194" s="64">
        <f t="shared" si="169"/>
        <v>13.160826266185211</v>
      </c>
      <c r="AX194" s="61">
        <f t="shared" si="170"/>
        <v>45.76182774935215</v>
      </c>
    </row>
    <row r="195" spans="14:50" x14ac:dyDescent="0.25">
      <c r="N195" s="10">
        <v>77</v>
      </c>
      <c r="O195" s="50">
        <f t="shared" si="171"/>
        <v>588.84365535558959</v>
      </c>
      <c r="P195" s="48" t="str">
        <f t="shared" si="136"/>
        <v>304.285714285714</v>
      </c>
      <c r="Q195" s="17" t="str">
        <f t="shared" si="137"/>
        <v>1+192.654590199461i</v>
      </c>
      <c r="R195" s="17">
        <f t="shared" si="146"/>
        <v>192.65718550036553</v>
      </c>
      <c r="S195" s="17">
        <f t="shared" si="147"/>
        <v>1.5656057366397049</v>
      </c>
      <c r="T195" s="17" t="str">
        <f t="shared" si="138"/>
        <v>1+0.00399579890784065i</v>
      </c>
      <c r="U195" s="17">
        <f t="shared" si="148"/>
        <v>1.0000079831725903</v>
      </c>
      <c r="V195" s="17">
        <f t="shared" si="149"/>
        <v>3.9957776418579434E-3</v>
      </c>
      <c r="W195" s="31" t="str">
        <f t="shared" si="139"/>
        <v>1-0.0124868715870021i</v>
      </c>
      <c r="X195" s="17">
        <f t="shared" si="150"/>
        <v>1.0000779579422947</v>
      </c>
      <c r="Y195" s="17">
        <f t="shared" si="151"/>
        <v>-1.2486222655204828E-2</v>
      </c>
      <c r="Z195" s="31" t="str">
        <f t="shared" si="140"/>
        <v>0.999978228854003+0.110152302542347i</v>
      </c>
      <c r="AA195" s="17">
        <f t="shared" si="152"/>
        <v>1.0060268326130122</v>
      </c>
      <c r="AB195" s="17">
        <f t="shared" si="153"/>
        <v>0.10971237543927002</v>
      </c>
      <c r="AC195" s="66" t="str">
        <f t="shared" si="154"/>
        <v>-0.177061733122442-1.56007268553528i</v>
      </c>
      <c r="AD195" s="64">
        <f t="shared" si="155"/>
        <v>3.9184822014020053</v>
      </c>
      <c r="AE195" s="61">
        <f t="shared" si="156"/>
        <v>-96.475123829402946</v>
      </c>
      <c r="AF195" s="31" t="str">
        <f t="shared" si="141"/>
        <v>-1512.12121212121</v>
      </c>
      <c r="AG195" s="31" t="str">
        <f t="shared" si="157"/>
        <v>3699.81380355616i</v>
      </c>
      <c r="AH195" s="31">
        <f t="shared" si="158"/>
        <v>3699.8138035561601</v>
      </c>
      <c r="AI195" s="31">
        <f t="shared" si="159"/>
        <v>1.5707963267948966</v>
      </c>
      <c r="AJ195" s="31" t="str">
        <f t="shared" si="142"/>
        <v>0.940491617056071+5.09933127158594i</v>
      </c>
      <c r="AK195" s="31">
        <f t="shared" si="160"/>
        <v>5.185335466402055</v>
      </c>
      <c r="AL195" s="31">
        <f t="shared" si="161"/>
        <v>1.3884115910237307</v>
      </c>
      <c r="AM195" s="31" t="str">
        <f t="shared" si="143"/>
        <v>1+25.3955219476094i</v>
      </c>
      <c r="AN195" s="31">
        <f t="shared" si="162"/>
        <v>25.415202831996258</v>
      </c>
      <c r="AO195" s="31">
        <f t="shared" si="163"/>
        <v>1.5314396389329816</v>
      </c>
      <c r="AP195" s="31" t="str">
        <f t="shared" si="144"/>
        <v>1+0.976750844138826i</v>
      </c>
      <c r="AQ195" s="31">
        <f t="shared" si="164"/>
        <v>1.3978705989918769</v>
      </c>
      <c r="AR195" s="31">
        <f t="shared" si="165"/>
        <v>0.77363740760216437</v>
      </c>
      <c r="AS195" s="58" t="str">
        <f t="shared" si="166"/>
        <v>-2.22218155368211+1.70384240882689i</v>
      </c>
      <c r="AT195" s="49">
        <f t="shared" si="167"/>
        <v>8.9438085922041832</v>
      </c>
      <c r="AU195" s="61">
        <f t="shared" si="168"/>
        <v>142.52106182624132</v>
      </c>
      <c r="AV195" s="58" t="str">
        <f t="shared" si="145"/>
        <v>3.05158131967514+3.1650794543254i</v>
      </c>
      <c r="AW195" s="64">
        <f t="shared" si="169"/>
        <v>12.862290793606178</v>
      </c>
      <c r="AX195" s="61">
        <f t="shared" si="170"/>
        <v>46.045937996838376</v>
      </c>
    </row>
    <row r="196" spans="14:50" x14ac:dyDescent="0.25">
      <c r="N196" s="10">
        <v>78</v>
      </c>
      <c r="O196" s="50">
        <f t="shared" si="171"/>
        <v>602.55958607435832</v>
      </c>
      <c r="P196" s="48" t="str">
        <f t="shared" si="136"/>
        <v>304.285714285714</v>
      </c>
      <c r="Q196" s="17" t="str">
        <f t="shared" si="137"/>
        <v>1+197.142092081828i</v>
      </c>
      <c r="R196" s="17">
        <f t="shared" si="146"/>
        <v>197.14462830724034</v>
      </c>
      <c r="S196" s="17">
        <f t="shared" si="147"/>
        <v>1.5657238868462466</v>
      </c>
      <c r="T196" s="17" t="str">
        <f t="shared" si="138"/>
        <v>1+0.00408887302095643i</v>
      </c>
      <c r="U196" s="17">
        <f t="shared" si="148"/>
        <v>1.0000083594063509</v>
      </c>
      <c r="V196" s="17">
        <f t="shared" si="149"/>
        <v>4.0888502340557034E-3</v>
      </c>
      <c r="W196" s="31" t="str">
        <f t="shared" si="139"/>
        <v>1-0.0127777281904889i</v>
      </c>
      <c r="X196" s="17">
        <f t="shared" si="150"/>
        <v>1.0000816318369765</v>
      </c>
      <c r="Y196" s="17">
        <f t="shared" si="151"/>
        <v>-1.2777032850605712E-2</v>
      </c>
      <c r="Z196" s="31" t="str">
        <f t="shared" si="140"/>
        <v>0.999977202811503+0.112718079275173i</v>
      </c>
      <c r="AA196" s="17">
        <f t="shared" si="152"/>
        <v>1.0063099778588116</v>
      </c>
      <c r="AB196" s="17">
        <f t="shared" si="153"/>
        <v>0.11224684838381235</v>
      </c>
      <c r="AC196" s="66" t="str">
        <f t="shared" si="154"/>
        <v>-0.177327073704078-1.52363997080557i</v>
      </c>
      <c r="AD196" s="64">
        <f t="shared" si="155"/>
        <v>3.7160783530129331</v>
      </c>
      <c r="AE196" s="61">
        <f t="shared" si="156"/>
        <v>-96.638437470713342</v>
      </c>
      <c r="AF196" s="31" t="str">
        <f t="shared" si="141"/>
        <v>-1512.12121212121</v>
      </c>
      <c r="AG196" s="31" t="str">
        <f t="shared" si="157"/>
        <v>3785.99353792262i</v>
      </c>
      <c r="AH196" s="31">
        <f t="shared" si="158"/>
        <v>3785.9935379226199</v>
      </c>
      <c r="AI196" s="31">
        <f t="shared" si="159"/>
        <v>1.5707963267948966</v>
      </c>
      <c r="AJ196" s="31" t="str">
        <f t="shared" si="142"/>
        <v>0.937687073371067+5.218109955532i</v>
      </c>
      <c r="AK196" s="31">
        <f t="shared" si="160"/>
        <v>5.3016911033734662</v>
      </c>
      <c r="AL196" s="31">
        <f t="shared" si="161"/>
        <v>1.392995341345469</v>
      </c>
      <c r="AM196" s="31" t="str">
        <f t="shared" si="143"/>
        <v>1+25.9870596443008i</v>
      </c>
      <c r="AN196" s="31">
        <f t="shared" si="162"/>
        <v>26.006292872234734</v>
      </c>
      <c r="AO196" s="31">
        <f t="shared" si="163"/>
        <v>1.5323346130072766</v>
      </c>
      <c r="AP196" s="31" t="str">
        <f t="shared" si="144"/>
        <v>1+0.999502294011571i</v>
      </c>
      <c r="AQ196" s="31">
        <f t="shared" si="164"/>
        <v>1.4138616748941153</v>
      </c>
      <c r="AR196" s="31">
        <f t="shared" si="165"/>
        <v>0.78514924846514711</v>
      </c>
      <c r="AS196" s="58" t="str">
        <f t="shared" si="166"/>
        <v>-2.21131595137957+1.66820509560624i</v>
      </c>
      <c r="AT196" s="49">
        <f t="shared" si="167"/>
        <v>8.8495537667433837</v>
      </c>
      <c r="AU196" s="61">
        <f t="shared" si="168"/>
        <v>142.96929041156974</v>
      </c>
      <c r="AV196" s="58" t="str">
        <f t="shared" si="145"/>
        <v>2.93387014986048+3.07343144365977i</v>
      </c>
      <c r="AW196" s="64">
        <f t="shared" si="169"/>
        <v>12.565632119756307</v>
      </c>
      <c r="AX196" s="61">
        <f t="shared" si="170"/>
        <v>46.330852940856417</v>
      </c>
    </row>
    <row r="197" spans="14:50" x14ac:dyDescent="0.25">
      <c r="N197" s="10">
        <v>79</v>
      </c>
      <c r="O197" s="50">
        <f t="shared" si="171"/>
        <v>616.59500186148273</v>
      </c>
      <c r="P197" s="48" t="str">
        <f t="shared" si="136"/>
        <v>304.285714285714</v>
      </c>
      <c r="Q197" s="17" t="str">
        <f t="shared" si="137"/>
        <v>1+201.734121310902i</v>
      </c>
      <c r="R197" s="17">
        <f t="shared" si="146"/>
        <v>201.73659980549323</v>
      </c>
      <c r="S197" s="17">
        <f t="shared" si="147"/>
        <v>1.5658393477625869</v>
      </c>
      <c r="T197" s="17" t="str">
        <f t="shared" si="138"/>
        <v>1+0.00418411510867056i</v>
      </c>
      <c r="U197" s="17">
        <f t="shared" si="148"/>
        <v>1.0000087533713105</v>
      </c>
      <c r="V197" s="17">
        <f t="shared" si="149"/>
        <v>4.1840906920780673E-3</v>
      </c>
      <c r="W197" s="31" t="str">
        <f t="shared" si="139"/>
        <v>1-0.0130753597145955i</v>
      </c>
      <c r="X197" s="17">
        <f t="shared" si="150"/>
        <v>1.0000854788625151</v>
      </c>
      <c r="Y197" s="17">
        <f t="shared" si="151"/>
        <v>-1.3074614647926332E-2</v>
      </c>
      <c r="Z197" s="31" t="str">
        <f t="shared" si="140"/>
        <v>0.999976128413109+0.115343620625631i</v>
      </c>
      <c r="AA197" s="17">
        <f t="shared" si="152"/>
        <v>1.0066063819662083</v>
      </c>
      <c r="AB197" s="17">
        <f t="shared" si="153"/>
        <v>0.1148388664344776</v>
      </c>
      <c r="AC197" s="66" t="str">
        <f t="shared" si="154"/>
        <v>-0.177571029617766-1.48801602879944i</v>
      </c>
      <c r="AD197" s="64">
        <f t="shared" si="155"/>
        <v>3.5135622028914355</v>
      </c>
      <c r="AE197" s="61">
        <f t="shared" si="156"/>
        <v>-96.80515789340599</v>
      </c>
      <c r="AF197" s="31" t="str">
        <f t="shared" si="141"/>
        <v>-1512.12121212121</v>
      </c>
      <c r="AG197" s="31" t="str">
        <f t="shared" si="157"/>
        <v>3874.18065617644i</v>
      </c>
      <c r="AH197" s="31">
        <f t="shared" si="158"/>
        <v>3874.1806561764402</v>
      </c>
      <c r="AI197" s="31">
        <f t="shared" si="159"/>
        <v>1.5707963267948966</v>
      </c>
      <c r="AJ197" s="31" t="str">
        <f t="shared" si="142"/>
        <v>0.934750355614243+5.33965535044633i</v>
      </c>
      <c r="AK197" s="31">
        <f t="shared" si="160"/>
        <v>5.4208557893446194</v>
      </c>
      <c r="AL197" s="31">
        <f t="shared" si="161"/>
        <v>1.3974942082390065</v>
      </c>
      <c r="AM197" s="31" t="str">
        <f t="shared" si="143"/>
        <v>1+26.592376023995i</v>
      </c>
      <c r="AN197" s="31">
        <f t="shared" si="162"/>
        <v>26.611171763031106</v>
      </c>
      <c r="AO197" s="31">
        <f t="shared" si="163"/>
        <v>1.5332092745546118</v>
      </c>
      <c r="AP197" s="31" t="str">
        <f t="shared" si="144"/>
        <v>1+1.02278369323058i</v>
      </c>
      <c r="AQ197" s="31">
        <f t="shared" si="164"/>
        <v>1.4304147940854028</v>
      </c>
      <c r="AR197" s="31">
        <f t="shared" si="165"/>
        <v>0.79666122127112216</v>
      </c>
      <c r="AS197" s="58" t="str">
        <f t="shared" si="166"/>
        <v>-2.20090417719611+1.63327096325872i</v>
      </c>
      <c r="AT197" s="49">
        <f t="shared" si="167"/>
        <v>8.7572974956700929</v>
      </c>
      <c r="AU197" s="61">
        <f t="shared" si="168"/>
        <v>143.42122619679532</v>
      </c>
      <c r="AV197" s="58" t="str">
        <f t="shared" si="145"/>
        <v>2.82115019353643+2.9849590869288i</v>
      </c>
      <c r="AW197" s="64">
        <f t="shared" si="169"/>
        <v>12.270859698561523</v>
      </c>
      <c r="AX197" s="61">
        <f t="shared" si="170"/>
        <v>46.616068303389291</v>
      </c>
    </row>
    <row r="198" spans="14:50" x14ac:dyDescent="0.25">
      <c r="N198" s="10">
        <v>80</v>
      </c>
      <c r="O198" s="50">
        <f t="shared" si="171"/>
        <v>630.95734448019323</v>
      </c>
      <c r="P198" s="48" t="str">
        <f t="shared" si="136"/>
        <v>304.285714285714</v>
      </c>
      <c r="Q198" s="17" t="str">
        <f t="shared" si="137"/>
        <v>1+206.433112641362i</v>
      </c>
      <c r="R198" s="17">
        <f t="shared" si="146"/>
        <v>206.4355347191981</v>
      </c>
      <c r="S198" s="17">
        <f t="shared" si="147"/>
        <v>1.5659521805953109</v>
      </c>
      <c r="T198" s="17" t="str">
        <f t="shared" si="138"/>
        <v>1+0.0042815756695986i</v>
      </c>
      <c r="U198" s="17">
        <f t="shared" si="148"/>
        <v>1.0000091659031003</v>
      </c>
      <c r="V198" s="17">
        <f t="shared" si="149"/>
        <v>4.2815495067613273E-3</v>
      </c>
      <c r="W198" s="31" t="str">
        <f t="shared" si="139"/>
        <v>1-0.0133799239674956i</v>
      </c>
      <c r="X198" s="17">
        <f t="shared" si="150"/>
        <v>1.0000895071769207</v>
      </c>
      <c r="Y198" s="17">
        <f t="shared" si="151"/>
        <v>-1.3379125618034886E-2</v>
      </c>
      <c r="Z198" s="31" t="str">
        <f t="shared" si="140"/>
        <v>0.999975003379879+0.118030318690498i</v>
      </c>
      <c r="AA198" s="17">
        <f t="shared" si="152"/>
        <v>1.0069166616531724</v>
      </c>
      <c r="AB198" s="17">
        <f t="shared" si="153"/>
        <v>0.11748966528121459</v>
      </c>
      <c r="AC198" s="66" t="str">
        <f t="shared" si="154"/>
        <v>-0.177794135682829-1.45318205818658i</v>
      </c>
      <c r="AD198" s="64">
        <f t="shared" si="155"/>
        <v>3.3109286204997366</v>
      </c>
      <c r="AE198" s="61">
        <f t="shared" si="156"/>
        <v>-96.975365539412721</v>
      </c>
      <c r="AF198" s="31" t="str">
        <f t="shared" si="141"/>
        <v>-1512.12121212121</v>
      </c>
      <c r="AG198" s="31" t="str">
        <f t="shared" si="157"/>
        <v>3964.421916295i</v>
      </c>
      <c r="AH198" s="31">
        <f t="shared" si="158"/>
        <v>3964.4219162949998</v>
      </c>
      <c r="AI198" s="31">
        <f t="shared" si="159"/>
        <v>1.5707963267948966</v>
      </c>
      <c r="AJ198" s="31" t="str">
        <f t="shared" si="142"/>
        <v>0.931675234613505+5.46403190130616i</v>
      </c>
      <c r="AK198" s="31">
        <f t="shared" si="160"/>
        <v>5.5428930497785664</v>
      </c>
      <c r="AL198" s="31">
        <f t="shared" si="161"/>
        <v>1.4019099753388107</v>
      </c>
      <c r="AM198" s="31" t="str">
        <f t="shared" si="143"/>
        <v>1+27.2117920334488i</v>
      </c>
      <c r="AN198" s="31">
        <f t="shared" si="162"/>
        <v>27.230160221189799</v>
      </c>
      <c r="AO198" s="31">
        <f t="shared" si="163"/>
        <v>1.5340640819759033</v>
      </c>
      <c r="AP198" s="31" t="str">
        <f t="shared" si="144"/>
        <v>1+1.04660738590188i</v>
      </c>
      <c r="AQ198" s="31">
        <f t="shared" si="164"/>
        <v>1.4475451703571696</v>
      </c>
      <c r="AR198" s="31">
        <f t="shared" si="165"/>
        <v>0.80816722585610579</v>
      </c>
      <c r="AS198" s="58" t="str">
        <f t="shared" si="166"/>
        <v>-2.1909285951914+1.59903277375905i</v>
      </c>
      <c r="AT198" s="49">
        <f t="shared" si="167"/>
        <v>8.6670511967262556</v>
      </c>
      <c r="AU198" s="61">
        <f t="shared" si="168"/>
        <v>143.87644373797812</v>
      </c>
      <c r="AV198" s="58" t="str">
        <f t="shared" si="145"/>
        <v>2.71321999320382+2.89951947536106i</v>
      </c>
      <c r="AW198" s="64">
        <f t="shared" si="169"/>
        <v>11.977979817225982</v>
      </c>
      <c r="AX198" s="61">
        <f t="shared" si="170"/>
        <v>46.901078198565337</v>
      </c>
    </row>
    <row r="199" spans="14:50" x14ac:dyDescent="0.25">
      <c r="N199" s="10">
        <v>81</v>
      </c>
      <c r="O199" s="50">
        <f t="shared" si="171"/>
        <v>645.65422903465594</v>
      </c>
      <c r="P199" s="48" t="str">
        <f t="shared" si="136"/>
        <v>304.285714285714</v>
      </c>
      <c r="Q199" s="17" t="str">
        <f t="shared" si="137"/>
        <v>1+211.241557540609i</v>
      </c>
      <c r="R199" s="17">
        <f t="shared" si="146"/>
        <v>211.24392448584743</v>
      </c>
      <c r="S199" s="17">
        <f t="shared" si="147"/>
        <v>1.5660624451583813</v>
      </c>
      <c r="T199" s="17" t="str">
        <f t="shared" si="138"/>
        <v>1+0.00438130637862002i</v>
      </c>
      <c r="U199" s="17">
        <f t="shared" si="148"/>
        <v>1.000009597876732</v>
      </c>
      <c r="V199" s="17">
        <f t="shared" si="149"/>
        <v>4.3812783446493348E-3</v>
      </c>
      <c r="W199" s="31" t="str">
        <f t="shared" si="139"/>
        <v>1-0.0136915824331876i</v>
      </c>
      <c r="X199" s="17">
        <f t="shared" si="150"/>
        <v>1.0000937253225444</v>
      </c>
      <c r="Y199" s="17">
        <f t="shared" si="151"/>
        <v>-1.3690726990657928E-2</v>
      </c>
      <c r="Z199" s="31" t="str">
        <f t="shared" si="140"/>
        <v>0.999973825325467+0.120779597992651i</v>
      </c>
      <c r="AA199" s="17">
        <f t="shared" si="152"/>
        <v>1.0072414619282282</v>
      </c>
      <c r="AB199" s="17">
        <f t="shared" si="153"/>
        <v>0.12020050213398958</v>
      </c>
      <c r="AC199" s="66" t="str">
        <f t="shared" si="154"/>
        <v>-0.177996884142414-1.41911968090744i</v>
      </c>
      <c r="AD199" s="64">
        <f t="shared" si="155"/>
        <v>3.1081722457747238</v>
      </c>
      <c r="AE199" s="61">
        <f t="shared" si="156"/>
        <v>-97.149142146154119</v>
      </c>
      <c r="AF199" s="31" t="str">
        <f t="shared" si="141"/>
        <v>-1512.12121212121</v>
      </c>
      <c r="AG199" s="31" t="str">
        <f t="shared" si="157"/>
        <v>4056.76516538891i</v>
      </c>
      <c r="AH199" s="31">
        <f t="shared" si="158"/>
        <v>4056.7651653889102</v>
      </c>
      <c r="AI199" s="31">
        <f t="shared" si="159"/>
        <v>1.5707963267948966</v>
      </c>
      <c r="AJ199" s="31" t="str">
        <f t="shared" si="142"/>
        <v>0.928455187624921+5.59130555420508i</v>
      </c>
      <c r="AK199" s="31">
        <f t="shared" si="160"/>
        <v>5.6678679268232957</v>
      </c>
      <c r="AL199" s="31">
        <f t="shared" si="161"/>
        <v>1.4062444197085335</v>
      </c>
      <c r="AM199" s="31" t="str">
        <f t="shared" si="143"/>
        <v>1+27.8456360952294i</v>
      </c>
      <c r="AN199" s="31">
        <f t="shared" si="162"/>
        <v>27.86358644446085</v>
      </c>
      <c r="AO199" s="31">
        <f t="shared" si="163"/>
        <v>1.5348994835016756</v>
      </c>
      <c r="AP199" s="31" t="str">
        <f t="shared" si="144"/>
        <v>1+1.07098600366267i</v>
      </c>
      <c r="AQ199" s="31">
        <f t="shared" si="164"/>
        <v>1.4652682416681719</v>
      </c>
      <c r="AR199" s="31">
        <f t="shared" si="165"/>
        <v>0.81966117785440673</v>
      </c>
      <c r="AS199" s="58" t="str">
        <f t="shared" si="166"/>
        <v>-2.18137212875335+1.56548298891222i</v>
      </c>
      <c r="AT199" s="49">
        <f t="shared" si="167"/>
        <v>8.5788233615662328</v>
      </c>
      <c r="AU199" s="61">
        <f t="shared" si="168"/>
        <v>144.33451829011292</v>
      </c>
      <c r="AV199" s="58" t="str">
        <f t="shared" si="145"/>
        <v>2.60988516176434+2.81697702509251i</v>
      </c>
      <c r="AW199" s="64">
        <f t="shared" si="169"/>
        <v>11.686995607340966</v>
      </c>
      <c r="AX199" s="61">
        <f t="shared" si="170"/>
        <v>47.185376143958777</v>
      </c>
    </row>
    <row r="200" spans="14:50" x14ac:dyDescent="0.25">
      <c r="N200" s="10">
        <v>82</v>
      </c>
      <c r="O200" s="50">
        <f t="shared" si="171"/>
        <v>660.69344800759643</v>
      </c>
      <c r="P200" s="48" t="str">
        <f t="shared" si="136"/>
        <v>304.285714285714</v>
      </c>
      <c r="Q200" s="17" t="str">
        <f t="shared" si="137"/>
        <v>1+216.162005509777i</v>
      </c>
      <c r="R200" s="17">
        <f t="shared" si="146"/>
        <v>216.16431857734722</v>
      </c>
      <c r="S200" s="17">
        <f t="shared" si="147"/>
        <v>1.5661701999047977</v>
      </c>
      <c r="T200" s="17" t="str">
        <f t="shared" si="138"/>
        <v>1+0.00448336011427684i</v>
      </c>
      <c r="U200" s="17">
        <f t="shared" si="148"/>
        <v>1.0000100502084539</v>
      </c>
      <c r="V200" s="17">
        <f t="shared" si="149"/>
        <v>4.4833300753523535E-3</v>
      </c>
      <c r="W200" s="31" t="str">
        <f t="shared" si="139"/>
        <v>1-0.0140105003571151i</v>
      </c>
      <c r="X200" s="17">
        <f t="shared" si="150"/>
        <v>1.0000981422441784</v>
      </c>
      <c r="Y200" s="17">
        <f t="shared" si="151"/>
        <v>-1.4009583738788099E-2</v>
      </c>
      <c r="Z200" s="31" t="str">
        <f t="shared" si="140"/>
        <v>0.99997259175106+0.123592916236366i</v>
      </c>
      <c r="AA200" s="17">
        <f t="shared" si="152"/>
        <v>1.0075814573507897</v>
      </c>
      <c r="AB200" s="17">
        <f t="shared" si="153"/>
        <v>0.12297265573149906</v>
      </c>
      <c r="AC200" s="66" t="str">
        <f t="shared" si="154"/>
        <v>-0.178179725858206-1.38581093281975i</v>
      </c>
      <c r="AD200" s="64">
        <f t="shared" si="155"/>
        <v>2.9052874795934147</v>
      </c>
      <c r="AE200" s="61">
        <f t="shared" si="156"/>
        <v>-97.326570752121384</v>
      </c>
      <c r="AF200" s="31" t="str">
        <f t="shared" si="141"/>
        <v>-1512.12121212121</v>
      </c>
      <c r="AG200" s="31" t="str">
        <f t="shared" si="157"/>
        <v>4151.25936507115i</v>
      </c>
      <c r="AH200" s="31">
        <f t="shared" si="158"/>
        <v>4151.2593650711497</v>
      </c>
      <c r="AI200" s="31">
        <f t="shared" si="159"/>
        <v>1.5707963267948966</v>
      </c>
      <c r="AJ200" s="31" t="str">
        <f t="shared" si="142"/>
        <v>0.92508338449711+5.72154379131852i</v>
      </c>
      <c r="AK200" s="31">
        <f t="shared" si="160"/>
        <v>5.7958470152556769</v>
      </c>
      <c r="AL200" s="31">
        <f t="shared" si="161"/>
        <v>1.4104993105527404</v>
      </c>
      <c r="AM200" s="31" t="str">
        <f t="shared" si="143"/>
        <v>1+28.4942442818483i</v>
      </c>
      <c r="AN200" s="31">
        <f t="shared" si="162"/>
        <v>28.511786285563456</v>
      </c>
      <c r="AO200" s="31">
        <f t="shared" si="163"/>
        <v>1.5357159174060271</v>
      </c>
      <c r="AP200" s="31" t="str">
        <f t="shared" si="144"/>
        <v>1+1.09593247237878i</v>
      </c>
      <c r="AQ200" s="31">
        <f t="shared" si="164"/>
        <v>1.4835996710751405</v>
      </c>
      <c r="AR200" s="31">
        <f t="shared" si="165"/>
        <v>0.83113702474448681</v>
      </c>
      <c r="AS200" s="58" t="str">
        <f t="shared" si="166"/>
        <v>-2.17221825344603+1.53261380250922i</v>
      </c>
      <c r="AT200" s="49">
        <f t="shared" si="167"/>
        <v>8.4926195862127258</v>
      </c>
      <c r="AU200" s="61">
        <f t="shared" si="168"/>
        <v>144.79502681256156</v>
      </c>
      <c r="AV200" s="58" t="str">
        <f t="shared" si="145"/>
        <v>2.51095821621093+2.73720309691854i</v>
      </c>
      <c r="AW200" s="64">
        <f t="shared" si="169"/>
        <v>11.397907065806145</v>
      </c>
      <c r="AX200" s="61">
        <f t="shared" si="170"/>
        <v>47.468456060440204</v>
      </c>
    </row>
    <row r="201" spans="14:50" x14ac:dyDescent="0.25">
      <c r="N201" s="10">
        <v>83</v>
      </c>
      <c r="O201" s="50">
        <f t="shared" si="171"/>
        <v>676.08297539198213</v>
      </c>
      <c r="P201" s="48" t="str">
        <f t="shared" si="136"/>
        <v>304.285714285714</v>
      </c>
      <c r="Q201" s="17" t="str">
        <f t="shared" si="137"/>
        <v>1+221.197065435508i</v>
      </c>
      <c r="R201" s="17">
        <f t="shared" si="146"/>
        <v>221.19932585177648</v>
      </c>
      <c r="S201" s="17">
        <f t="shared" si="147"/>
        <v>1.5662755019575381</v>
      </c>
      <c r="T201" s="17" t="str">
        <f t="shared" si="138"/>
        <v>1+0.00458779098681053i</v>
      </c>
      <c r="U201" s="17">
        <f t="shared" si="148"/>
        <v>1.0000105238576935</v>
      </c>
      <c r="V201" s="17">
        <f t="shared" si="149"/>
        <v>4.5877587995413281E-3</v>
      </c>
      <c r="W201" s="31" t="str">
        <f t="shared" si="139"/>
        <v>1-0.0143368468337829i</v>
      </c>
      <c r="X201" s="17">
        <f t="shared" si="150"/>
        <v>1.0001027673080078</v>
      </c>
      <c r="Y201" s="17">
        <f t="shared" si="151"/>
        <v>-1.4335864665000753E-2</v>
      </c>
      <c r="Z201" s="31" t="str">
        <f t="shared" si="140"/>
        <v>0.999971300040083+0.126471765080216i</v>
      </c>
      <c r="AA201" s="17">
        <f t="shared" si="152"/>
        <v>1.0079373533441247</v>
      </c>
      <c r="AB201" s="17">
        <f t="shared" si="153"/>
        <v>0.1258074263180318</v>
      </c>
      <c r="AC201" s="66" t="str">
        <f t="shared" si="154"/>
        <v>-0.178343071431098-1.35323825458203i</v>
      </c>
      <c r="AD201" s="64">
        <f t="shared" si="155"/>
        <v>2.7022684738999758</v>
      </c>
      <c r="AE201" s="61">
        <f t="shared" si="156"/>
        <v>-97.507735700665265</v>
      </c>
      <c r="AF201" s="31" t="str">
        <f t="shared" si="141"/>
        <v>-1512.12121212121</v>
      </c>
      <c r="AG201" s="31" t="str">
        <f t="shared" si="157"/>
        <v>4247.95461741716i</v>
      </c>
      <c r="AH201" s="31">
        <f t="shared" si="158"/>
        <v>4247.9546174171601</v>
      </c>
      <c r="AI201" s="31">
        <f t="shared" si="159"/>
        <v>1.5707963267948966</v>
      </c>
      <c r="AJ201" s="31" t="str">
        <f t="shared" si="142"/>
        <v>0.921552673183571+5.8548156666837i</v>
      </c>
      <c r="AK201" s="31">
        <f t="shared" si="160"/>
        <v>5.9268984992402798</v>
      </c>
      <c r="AL201" s="31">
        <f t="shared" si="161"/>
        <v>1.4146764080455574</v>
      </c>
      <c r="AM201" s="31" t="str">
        <f t="shared" si="143"/>
        <v>1+29.1579604939513i</v>
      </c>
      <c r="AN201" s="31">
        <f t="shared" si="162"/>
        <v>29.175103430267814</v>
      </c>
      <c r="AO201" s="31">
        <f t="shared" si="163"/>
        <v>1.5365138122168878</v>
      </c>
      <c r="AP201" s="31" t="str">
        <f t="shared" si="144"/>
        <v>1+1.12146001899813i</v>
      </c>
      <c r="AQ201" s="31">
        <f t="shared" si="164"/>
        <v>1.5025553481357303</v>
      </c>
      <c r="AR201" s="31">
        <f t="shared" si="165"/>
        <v>0.8425887616899842</v>
      </c>
      <c r="AS201" s="58" t="str">
        <f t="shared" si="166"/>
        <v>-2.16345098884694+1.50041717075992i</v>
      </c>
      <c r="AT201" s="49">
        <f t="shared" si="167"/>
        <v>8.4084426114859987</v>
      </c>
      <c r="AU201" s="61">
        <f t="shared" si="168"/>
        <v>145.25754895583736</v>
      </c>
      <c r="AV201" s="58" t="str">
        <f t="shared" si="145"/>
        <v>2.41625840754567+2.66007563335972i</v>
      </c>
      <c r="AW201" s="64">
        <f t="shared" si="169"/>
        <v>11.110711085385976</v>
      </c>
      <c r="AX201" s="61">
        <f t="shared" si="170"/>
        <v>47.749813255172143</v>
      </c>
    </row>
    <row r="202" spans="14:50" x14ac:dyDescent="0.25">
      <c r="N202" s="10">
        <v>84</v>
      </c>
      <c r="O202" s="50">
        <f t="shared" si="171"/>
        <v>691.83097091893671</v>
      </c>
      <c r="P202" s="48" t="str">
        <f t="shared" si="136"/>
        <v>304.285714285714</v>
      </c>
      <c r="Q202" s="17" t="str">
        <f t="shared" si="137"/>
        <v>1+226.349406973223i</v>
      </c>
      <c r="R202" s="17">
        <f t="shared" si="146"/>
        <v>226.35161593664344</v>
      </c>
      <c r="S202" s="17">
        <f t="shared" si="147"/>
        <v>1.5663784071397984</v>
      </c>
      <c r="T202" s="17" t="str">
        <f t="shared" si="138"/>
        <v>1+0.00469465436685202i</v>
      </c>
      <c r="U202" s="17">
        <f t="shared" si="148"/>
        <v>1.0000110198290939</v>
      </c>
      <c r="V202" s="17">
        <f t="shared" si="149"/>
        <v>4.6946198775922139E-3</v>
      </c>
      <c r="W202" s="31" t="str">
        <f t="shared" si="139"/>
        <v>1-0.0146707948964126i</v>
      </c>
      <c r="X202" s="17">
        <f t="shared" si="150"/>
        <v>1.0001076103214557</v>
      </c>
      <c r="Y202" s="17">
        <f t="shared" si="151"/>
        <v>-1.4669742489717304E-2</v>
      </c>
      <c r="Z202" s="31" t="str">
        <f t="shared" si="140"/>
        <v>0.999969947452643+0.129417670927963i</v>
      </c>
      <c r="AA202" s="17">
        <f t="shared" si="152"/>
        <v>1.008309887562777</v>
      </c>
      <c r="AB202" s="17">
        <f t="shared" si="153"/>
        <v>0.12870613558580063</v>
      </c>
      <c r="AC202" s="66" t="str">
        <f t="shared" si="154"/>
        <v>-0.178487292251366-1.32138448277083i</v>
      </c>
      <c r="AD202" s="64">
        <f t="shared" si="155"/>
        <v>2.4991091214900623</v>
      </c>
      <c r="AE202" s="61">
        <f t="shared" si="156"/>
        <v>-97.69272264184012</v>
      </c>
      <c r="AF202" s="31" t="str">
        <f t="shared" si="141"/>
        <v>-1512.12121212121</v>
      </c>
      <c r="AG202" s="31" t="str">
        <f t="shared" si="157"/>
        <v>4346.90219152965i</v>
      </c>
      <c r="AH202" s="31">
        <f t="shared" si="158"/>
        <v>4346.9021915296498</v>
      </c>
      <c r="AI202" s="31">
        <f t="shared" si="159"/>
        <v>1.5707963267948966</v>
      </c>
      <c r="AJ202" s="31" t="str">
        <f t="shared" si="142"/>
        <v>0.917855564572238+5.991191842813i</v>
      </c>
      <c r="AK202" s="31">
        <f t="shared" si="160"/>
        <v>6.0610921899279226</v>
      </c>
      <c r="AL202" s="31">
        <f t="shared" si="161"/>
        <v>1.4187774622702352</v>
      </c>
      <c r="AM202" s="31" t="str">
        <f t="shared" si="143"/>
        <v>1+29.8371366426594i</v>
      </c>
      <c r="AN202" s="31">
        <f t="shared" si="162"/>
        <v>29.853889579629794</v>
      </c>
      <c r="AO202" s="31">
        <f t="shared" si="163"/>
        <v>1.5372935869225772</v>
      </c>
      <c r="AP202" s="31" t="str">
        <f t="shared" si="144"/>
        <v>1+1.14758217856383i</v>
      </c>
      <c r="AQ202" s="31">
        <f t="shared" si="164"/>
        <v>1.5221513908141024</v>
      </c>
      <c r="AR202" s="31">
        <f t="shared" si="165"/>
        <v>0.85401044707541041</v>
      </c>
      <c r="AS202" s="58" t="str">
        <f t="shared" si="166"/>
        <v>-2.15505488950383+1.46888484104663i</v>
      </c>
      <c r="AT202" s="49">
        <f t="shared" si="167"/>
        <v>8.3262923731477763</v>
      </c>
      <c r="AU202" s="61">
        <f t="shared" si="168"/>
        <v>145.72166802432716</v>
      </c>
      <c r="AV202" s="58" t="str">
        <f t="shared" si="145"/>
        <v>2.32561154781692+2.58547881260228i</v>
      </c>
      <c r="AW202" s="64">
        <f t="shared" si="169"/>
        <v>10.825401494637848</v>
      </c>
      <c r="AX202" s="61">
        <f t="shared" si="170"/>
        <v>48.028945382487073</v>
      </c>
    </row>
    <row r="203" spans="14:50" x14ac:dyDescent="0.25">
      <c r="N203" s="10">
        <v>85</v>
      </c>
      <c r="O203" s="50">
        <f t="shared" si="171"/>
        <v>707.94578438413873</v>
      </c>
      <c r="P203" s="48" t="str">
        <f t="shared" si="136"/>
        <v>304.285714285714</v>
      </c>
      <c r="Q203" s="17" t="str">
        <f t="shared" si="137"/>
        <v>1+231.621761962604i</v>
      </c>
      <c r="R203" s="17">
        <f t="shared" si="146"/>
        <v>231.62392064435227</v>
      </c>
      <c r="S203" s="17">
        <f t="shared" si="147"/>
        <v>1.5664789700045452</v>
      </c>
      <c r="T203" s="17" t="str">
        <f t="shared" si="138"/>
        <v>1+0.00480400691477992i</v>
      </c>
      <c r="U203" s="17">
        <f t="shared" si="148"/>
        <v>1.0000115391746425</v>
      </c>
      <c r="V203" s="17">
        <f t="shared" si="149"/>
        <v>4.8039699588952461E-3</v>
      </c>
      <c r="W203" s="31" t="str">
        <f t="shared" si="139"/>
        <v>1-0.0150125216086873i</v>
      </c>
      <c r="X203" s="17">
        <f t="shared" si="150"/>
        <v>1.0001126815539594</v>
      </c>
      <c r="Y203" s="17">
        <f t="shared" si="151"/>
        <v>-1.5011393941458248E-2</v>
      </c>
      <c r="Z203" s="31" t="str">
        <f t="shared" si="140"/>
        <v>0.999968531119721+0.132432195737881i</v>
      </c>
      <c r="AA203" s="17">
        <f t="shared" si="152"/>
        <v>1.0086998313163775</v>
      </c>
      <c r="AB203" s="17">
        <f t="shared" si="153"/>
        <v>0.13167012657993263</v>
      </c>
      <c r="AC203" s="66" t="str">
        <f t="shared" si="154"/>
        <v>-0.178612721481867-1.29023284122819i</v>
      </c>
      <c r="AD203" s="64">
        <f t="shared" si="155"/>
        <v>2.2958030454463785</v>
      </c>
      <c r="AE203" s="61">
        <f t="shared" si="156"/>
        <v>-97.881618532145666</v>
      </c>
      <c r="AF203" s="31" t="str">
        <f t="shared" si="141"/>
        <v>-1512.12121212121</v>
      </c>
      <c r="AG203" s="31" t="str">
        <f t="shared" si="157"/>
        <v>4448.15455072215i</v>
      </c>
      <c r="AH203" s="31">
        <f t="shared" si="158"/>
        <v>4448.1545507221499</v>
      </c>
      <c r="AI203" s="31">
        <f t="shared" si="159"/>
        <v>1.5707963267948966</v>
      </c>
      <c r="AJ203" s="31" t="str">
        <f t="shared" si="142"/>
        <v>0.913984216600067+6.13074462816016i</v>
      </c>
      <c r="AK203" s="31">
        <f t="shared" si="160"/>
        <v>6.198499563919377</v>
      </c>
      <c r="AL203" s="31">
        <f t="shared" si="161"/>
        <v>1.4228042122638058</v>
      </c>
      <c r="AM203" s="31" t="str">
        <f t="shared" si="143"/>
        <v>1+30.5321328361568i</v>
      </c>
      <c r="AN203" s="31">
        <f t="shared" si="162"/>
        <v>30.548504636474835</v>
      </c>
      <c r="AO203" s="31">
        <f t="shared" si="163"/>
        <v>1.5380556511746712</v>
      </c>
      <c r="AP203" s="31" t="str">
        <f t="shared" si="144"/>
        <v>1+1.17431280139065i</v>
      </c>
      <c r="AQ203" s="31">
        <f t="shared" si="164"/>
        <v>1.5424041479164778</v>
      </c>
      <c r="AR203" s="31">
        <f t="shared" si="165"/>
        <v>0.86539621763965913</v>
      </c>
      <c r="AS203" s="58" t="str">
        <f t="shared" si="166"/>
        <v>-2.14701503513224+1.43800837904608i</v>
      </c>
      <c r="AT203" s="49">
        <f t="shared" si="167"/>
        <v>8.2461660614209684</v>
      </c>
      <c r="AU203" s="61">
        <f t="shared" si="168"/>
        <v>146.18697190973967</v>
      </c>
      <c r="AV203" s="58" t="str">
        <f t="shared" si="145"/>
        <v>2.23884983509402+2.51330271884316i</v>
      </c>
      <c r="AW203" s="64">
        <f t="shared" si="169"/>
        <v>10.541969106867333</v>
      </c>
      <c r="AX203" s="61">
        <f t="shared" si="170"/>
        <v>48.305353377594024</v>
      </c>
    </row>
    <row r="204" spans="14:50" x14ac:dyDescent="0.25">
      <c r="N204" s="10">
        <v>86</v>
      </c>
      <c r="O204" s="50">
        <f t="shared" si="171"/>
        <v>724.43596007499025</v>
      </c>
      <c r="P204" s="48" t="str">
        <f t="shared" si="136"/>
        <v>304.285714285714</v>
      </c>
      <c r="Q204" s="17" t="str">
        <f t="shared" si="137"/>
        <v>1+237.016925876053i</v>
      </c>
      <c r="R204" s="17">
        <f t="shared" si="146"/>
        <v>237.01903542064804</v>
      </c>
      <c r="S204" s="17">
        <f t="shared" si="147"/>
        <v>1.5665772438634005</v>
      </c>
      <c r="T204" s="17" t="str">
        <f t="shared" si="138"/>
        <v>1+0.00491590661076258i</v>
      </c>
      <c r="U204" s="17">
        <f t="shared" si="148"/>
        <v>1.0000120829959034</v>
      </c>
      <c r="V204" s="17">
        <f t="shared" si="149"/>
        <v>4.9158670118445514E-3</v>
      </c>
      <c r="W204" s="31" t="str">
        <f t="shared" si="139"/>
        <v>1-0.0153622081586331i</v>
      </c>
      <c r="X204" s="17">
        <f t="shared" si="150"/>
        <v>1.0001179917587271</v>
      </c>
      <c r="Y204" s="17">
        <f t="shared" si="151"/>
        <v>-1.5360999849126375E-2</v>
      </c>
      <c r="Z204" s="31" t="str">
        <f t="shared" si="140"/>
        <v>0.999967048037085+0.135516937850927i</v>
      </c>
      <c r="AA204" s="17">
        <f t="shared" si="152"/>
        <v>1.0091079910517475</v>
      </c>
      <c r="AB204" s="17">
        <f t="shared" si="153"/>
        <v>0.13470076356311933</v>
      </c>
      <c r="AC204" s="66" t="str">
        <f t="shared" si="154"/>
        <v>-0.178719654977694-1.25976693263615i</v>
      </c>
      <c r="AD204" s="64">
        <f t="shared" si="155"/>
        <v>2.0923435882212207</v>
      </c>
      <c r="AE204" s="61">
        <f t="shared" si="156"/>
        <v>-98.074511631995662</v>
      </c>
      <c r="AF204" s="31" t="str">
        <f t="shared" si="141"/>
        <v>-1512.12121212121</v>
      </c>
      <c r="AG204" s="31" t="str">
        <f t="shared" si="157"/>
        <v>4551.76538033572i</v>
      </c>
      <c r="AH204" s="31">
        <f t="shared" si="158"/>
        <v>4551.7653803357198</v>
      </c>
      <c r="AI204" s="31">
        <f t="shared" si="159"/>
        <v>1.5707963267948966</v>
      </c>
      <c r="AJ204" s="31" t="str">
        <f t="shared" si="142"/>
        <v>0.909930417618967+6.27354801545917i</v>
      </c>
      <c r="AK204" s="31">
        <f t="shared" si="160"/>
        <v>6.3391938026203229</v>
      </c>
      <c r="AL204" s="31">
        <f t="shared" si="161"/>
        <v>1.4267583851611672</v>
      </c>
      <c r="AM204" s="31" t="str">
        <f t="shared" si="143"/>
        <v>1+31.2433175706243i</v>
      </c>
      <c r="AN204" s="31">
        <f t="shared" si="162"/>
        <v>31.259316896229212</v>
      </c>
      <c r="AO204" s="31">
        <f t="shared" si="163"/>
        <v>1.5388004054871978</v>
      </c>
      <c r="AP204" s="31" t="str">
        <f t="shared" si="144"/>
        <v>1+1.20166606040863i</v>
      </c>
      <c r="AQ204" s="31">
        <f t="shared" si="164"/>
        <v>1.5633302020808006</v>
      </c>
      <c r="AR204" s="31">
        <f t="shared" si="165"/>
        <v>0.8767403031151777</v>
      </c>
      <c r="AS204" s="58" t="str">
        <f t="shared" si="166"/>
        <v>-2.13931702016453+1.4077791942708i</v>
      </c>
      <c r="AT204" s="49">
        <f t="shared" si="167"/>
        <v>8.1680581894655209</v>
      </c>
      <c r="AU204" s="61">
        <f t="shared" si="168"/>
        <v>146.65305399032067</v>
      </c>
      <c r="AV204" s="58" t="str">
        <f t="shared" si="145"/>
        <v>2.15581167712723+2.44344302854413i</v>
      </c>
      <c r="AW204" s="64">
        <f t="shared" si="169"/>
        <v>10.260401777686752</v>
      </c>
      <c r="AX204" s="61">
        <f t="shared" si="170"/>
        <v>48.578542358325052</v>
      </c>
    </row>
    <row r="205" spans="14:50" x14ac:dyDescent="0.25">
      <c r="N205" s="10">
        <v>87</v>
      </c>
      <c r="O205" s="50">
        <f t="shared" si="171"/>
        <v>741.31024130091828</v>
      </c>
      <c r="P205" s="48" t="str">
        <f t="shared" si="136"/>
        <v>304.285714285714</v>
      </c>
      <c r="Q205" s="17" t="str">
        <f t="shared" si="137"/>
        <v>1+242.537759300892i</v>
      </c>
      <c r="R205" s="17">
        <f t="shared" si="146"/>
        <v>242.53982082680241</v>
      </c>
      <c r="S205" s="17">
        <f t="shared" si="147"/>
        <v>1.5666732808148673</v>
      </c>
      <c r="T205" s="17" t="str">
        <f t="shared" si="138"/>
        <v>1+0.00503041278549997i</v>
      </c>
      <c r="U205" s="17">
        <f t="shared" si="148"/>
        <v>1.000012652446354</v>
      </c>
      <c r="V205" s="17">
        <f t="shared" si="149"/>
        <v>5.0303703545238306E-3</v>
      </c>
      <c r="W205" s="31" t="str">
        <f t="shared" si="139"/>
        <v>1-0.0157200399546874i</v>
      </c>
      <c r="X205" s="17">
        <f t="shared" si="150"/>
        <v>1.0001235521955161</v>
      </c>
      <c r="Y205" s="17">
        <f t="shared" si="151"/>
        <v>-1.5718745236362623E-2</v>
      </c>
      <c r="Z205" s="31" t="str">
        <f t="shared" si="140"/>
        <v>0.999965495058917+0.1386735328382i</v>
      </c>
      <c r="AA205" s="17">
        <f t="shared" si="152"/>
        <v>1.0095352098952528</v>
      </c>
      <c r="AB205" s="17">
        <f t="shared" si="153"/>
        <v>0.13779943183676571</v>
      </c>
      <c r="AC205" s="66" t="str">
        <f t="shared" si="154"/>
        <v>-0.178808352145728-1.22997073031517i</v>
      </c>
      <c r="AD205" s="64">
        <f t="shared" si="155"/>
        <v>1.888723800361837</v>
      </c>
      <c r="AE205" s="61">
        <f t="shared" si="156"/>
        <v>-98.271491500736289</v>
      </c>
      <c r="AF205" s="31" t="str">
        <f t="shared" si="141"/>
        <v>-1512.12121212121</v>
      </c>
      <c r="AG205" s="31" t="str">
        <f t="shared" si="157"/>
        <v>4657.78961620368i</v>
      </c>
      <c r="AH205" s="31">
        <f t="shared" si="158"/>
        <v>4657.7896162036805</v>
      </c>
      <c r="AI205" s="31">
        <f t="shared" si="159"/>
        <v>1.5707963267948966</v>
      </c>
      <c r="AJ205" s="31" t="str">
        <f t="shared" si="142"/>
        <v>0.905685568977799+6.4196777209562i</v>
      </c>
      <c r="AK205" s="31">
        <f t="shared" si="160"/>
        <v>6.4832498325142476</v>
      </c>
      <c r="AL205" s="31">
        <f t="shared" si="161"/>
        <v>1.430641695433124</v>
      </c>
      <c r="AM205" s="31" t="str">
        <f t="shared" si="143"/>
        <v>1+31.971067925622i</v>
      </c>
      <c r="AN205" s="31">
        <f t="shared" si="162"/>
        <v>31.986703242202623</v>
      </c>
      <c r="AO205" s="31">
        <f t="shared" si="163"/>
        <v>1.5395282414321847</v>
      </c>
      <c r="AP205" s="31" t="str">
        <f t="shared" si="144"/>
        <v>1+1.22965645867777i</v>
      </c>
      <c r="AQ205" s="31">
        <f t="shared" si="164"/>
        <v>1.5849463733413678</v>
      </c>
      <c r="AR205" s="31">
        <f t="shared" si="165"/>
        <v>0.88803704028644004</v>
      </c>
      <c r="AS205" s="58" t="str">
        <f t="shared" si="166"/>
        <v>-2.13194694275306+1.3781885640833i</v>
      </c>
      <c r="AT205" s="49">
        <f t="shared" si="167"/>
        <v>8.0919606703203844</v>
      </c>
      <c r="AU205" s="61">
        <f t="shared" si="168"/>
        <v>147.11951399120537</v>
      </c>
      <c r="AV205" s="58" t="str">
        <f t="shared" si="145"/>
        <v>2.07634151437335+2.37580071208135i</v>
      </c>
      <c r="AW205" s="64">
        <f t="shared" si="169"/>
        <v>9.9806844706822169</v>
      </c>
      <c r="AX205" s="61">
        <f t="shared" si="170"/>
        <v>48.848022490469049</v>
      </c>
    </row>
    <row r="206" spans="14:50" x14ac:dyDescent="0.25">
      <c r="N206" s="10">
        <v>88</v>
      </c>
      <c r="O206" s="50">
        <f t="shared" si="171"/>
        <v>758.57757502918378</v>
      </c>
      <c r="P206" s="48" t="str">
        <f t="shared" si="136"/>
        <v>304.285714285714</v>
      </c>
      <c r="Q206" s="17" t="str">
        <f t="shared" si="137"/>
        <v>1+248.187189456079i</v>
      </c>
      <c r="R206" s="17">
        <f t="shared" si="146"/>
        <v>248.18920405631602</v>
      </c>
      <c r="S206" s="17">
        <f t="shared" si="147"/>
        <v>1.5667671317719187</v>
      </c>
      <c r="T206" s="17" t="str">
        <f t="shared" si="138"/>
        <v>1+0.00514758615168163i</v>
      </c>
      <c r="U206" s="17">
        <f t="shared" si="148"/>
        <v>1.00001324873383</v>
      </c>
      <c r="V206" s="17">
        <f t="shared" si="149"/>
        <v>5.1475406861040893E-3</v>
      </c>
      <c r="W206" s="31" t="str">
        <f t="shared" si="139"/>
        <v>1-0.0160862067240051i</v>
      </c>
      <c r="X206" s="17">
        <f t="shared" si="150"/>
        <v>1.000129374654483</v>
      </c>
      <c r="Y206" s="17">
        <f t="shared" si="151"/>
        <v>-1.6084819418017527E-2</v>
      </c>
      <c r="Z206" s="31" t="str">
        <f t="shared" si="140"/>
        <v>0.999963868891143+0.141903654368145i</v>
      </c>
      <c r="AA206" s="17">
        <f t="shared" si="152"/>
        <v>1.009982369257393</v>
      </c>
      <c r="AB206" s="17">
        <f t="shared" si="153"/>
        <v>0.14096753751531074</v>
      </c>
      <c r="AC206" s="66" t="str">
        <f t="shared" si="154"/>
        <v>-0.178879036747538-1.20082857024382i</v>
      </c>
      <c r="AD206" s="64">
        <f t="shared" si="155"/>
        <v>1.6849364288778017</v>
      </c>
      <c r="AE206" s="61">
        <f t="shared" si="156"/>
        <v>-98.472648989024449</v>
      </c>
      <c r="AF206" s="31" t="str">
        <f t="shared" si="141"/>
        <v>-1512.12121212121</v>
      </c>
      <c r="AG206" s="31" t="str">
        <f t="shared" si="157"/>
        <v>4766.28347377929i</v>
      </c>
      <c r="AH206" s="31">
        <f t="shared" si="158"/>
        <v>4766.28347377929</v>
      </c>
      <c r="AI206" s="31">
        <f t="shared" si="159"/>
        <v>1.5707963267948966</v>
      </c>
      <c r="AJ206" s="31" t="str">
        <f t="shared" si="142"/>
        <v>0.901240666783475+6.56921122455536i</v>
      </c>
      <c r="AK206" s="31">
        <f t="shared" si="160"/>
        <v>6.6307443663806298</v>
      </c>
      <c r="AL206" s="31">
        <f t="shared" si="161"/>
        <v>1.4344558442131017</v>
      </c>
      <c r="AM206" s="31" t="str">
        <f t="shared" si="143"/>
        <v>1+32.715769764021i</v>
      </c>
      <c r="AN206" s="31">
        <f t="shared" si="162"/>
        <v>32.731049345421702</v>
      </c>
      <c r="AO206" s="31">
        <f t="shared" si="163"/>
        <v>1.54023954183158</v>
      </c>
      <c r="AP206" s="31" t="str">
        <f t="shared" si="144"/>
        <v>1+1.25829883707773i</v>
      </c>
      <c r="AQ206" s="31">
        <f t="shared" si="164"/>
        <v>1.607269723285786</v>
      </c>
      <c r="AR206" s="31">
        <f t="shared" si="165"/>
        <v>0.89928088638798276</v>
      </c>
      <c r="AS206" s="58" t="str">
        <f t="shared" si="166"/>
        <v>-2.12489139332089+1.34922765623827i</v>
      </c>
      <c r="AT206" s="49">
        <f t="shared" si="167"/>
        <v>8.0178629017535616</v>
      </c>
      <c r="AU206" s="61">
        <f t="shared" si="168"/>
        <v>147.58595880164214</v>
      </c>
      <c r="AV206" s="58" t="str">
        <f t="shared" si="145"/>
        <v>2.0002896430044+2.31028175026388i</v>
      </c>
      <c r="AW206" s="64">
        <f t="shared" si="169"/>
        <v>9.7027993306313647</v>
      </c>
      <c r="AX206" s="61">
        <f t="shared" si="170"/>
        <v>49.113309812617615</v>
      </c>
    </row>
    <row r="207" spans="14:50" x14ac:dyDescent="0.25">
      <c r="N207" s="10">
        <v>89</v>
      </c>
      <c r="O207" s="50">
        <f t="shared" si="171"/>
        <v>776.24711662869231</v>
      </c>
      <c r="P207" s="48" t="str">
        <f t="shared" si="136"/>
        <v>304.285714285714</v>
      </c>
      <c r="Q207" s="17" t="str">
        <f t="shared" si="137"/>
        <v>1+253.968211744262i</v>
      </c>
      <c r="R207" s="17">
        <f t="shared" si="146"/>
        <v>253.97018048695855</v>
      </c>
      <c r="S207" s="17">
        <f t="shared" si="147"/>
        <v>1.5668588464889575</v>
      </c>
      <c r="T207" s="17" t="str">
        <f t="shared" si="138"/>
        <v>1+0.00526748883617727i</v>
      </c>
      <c r="U207" s="17">
        <f t="shared" si="148"/>
        <v>1.0000138731230879</v>
      </c>
      <c r="V207" s="17">
        <f t="shared" si="149"/>
        <v>5.2674401189697125E-3</v>
      </c>
      <c r="W207" s="31" t="str">
        <f t="shared" si="139"/>
        <v>1-0.016460902613054i</v>
      </c>
      <c r="X207" s="17">
        <f t="shared" si="150"/>
        <v>1.000135471481157</v>
      </c>
      <c r="Y207" s="17">
        <f t="shared" si="151"/>
        <v>-1.6459416098780759E-2</v>
      </c>
      <c r="Z207" s="31" t="str">
        <f t="shared" si="140"/>
        <v>0.999962166084444+0.145209015093953i</v>
      </c>
      <c r="AA207" s="17">
        <f t="shared" si="152"/>
        <v>1.0104503905016065</v>
      </c>
      <c r="AB207" s="17">
        <f t="shared" si="153"/>
        <v>0.14420650725019551</v>
      </c>
      <c r="AC207" s="66" t="str">
        <f t="shared" si="154"/>
        <v>-0.178931897649007-1.17232514329653i</v>
      </c>
      <c r="AD207" s="64">
        <f t="shared" si="155"/>
        <v>1.4809739052458424</v>
      </c>
      <c r="AE207" s="61">
        <f t="shared" si="156"/>
        <v>-98.678076228367644</v>
      </c>
      <c r="AF207" s="31" t="str">
        <f t="shared" si="141"/>
        <v>-1512.12121212121</v>
      </c>
      <c r="AG207" s="31" t="str">
        <f t="shared" si="157"/>
        <v>4877.30447794192i</v>
      </c>
      <c r="AH207" s="31">
        <f t="shared" si="158"/>
        <v>4877.3044779419197</v>
      </c>
      <c r="AI207" s="31">
        <f t="shared" si="159"/>
        <v>1.5707963267948966</v>
      </c>
      <c r="AJ207" s="31" t="str">
        <f t="shared" si="142"/>
        <v>0.896586282802506+6.72222781089958i</v>
      </c>
      <c r="AK207" s="31">
        <f t="shared" si="160"/>
        <v>6.7817559454864904</v>
      </c>
      <c r="AL207" s="31">
        <f t="shared" si="161"/>
        <v>1.4382025187074428</v>
      </c>
      <c r="AM207" s="31" t="str">
        <f t="shared" si="143"/>
        <v>1+33.4778179365933i</v>
      </c>
      <c r="AN207" s="31">
        <f t="shared" si="162"/>
        <v>33.492749869123735</v>
      </c>
      <c r="AO207" s="31">
        <f t="shared" si="163"/>
        <v>1.540934680945574</v>
      </c>
      <c r="AP207" s="31" t="str">
        <f t="shared" si="144"/>
        <v>1+1.28760838217667i</v>
      </c>
      <c r="AQ207" s="31">
        <f t="shared" si="164"/>
        <v>1.6303175598182158</v>
      </c>
      <c r="AR207" s="31">
        <f t="shared" si="165"/>
        <v>0.9104664317697736</v>
      </c>
      <c r="AS207" s="58" t="str">
        <f t="shared" si="166"/>
        <v>-2.11813744274577+1.32088755000933i</v>
      </c>
      <c r="AT207" s="49">
        <f t="shared" si="167"/>
        <v>7.945751858405238</v>
      </c>
      <c r="AU207" s="61">
        <f t="shared" si="168"/>
        <v>148.05200324524202</v>
      </c>
      <c r="AV207" s="58" t="str">
        <f t="shared" si="145"/>
        <v>1.92751203845521+2.24679686518456i</v>
      </c>
      <c r="AW207" s="64">
        <f t="shared" si="169"/>
        <v>9.4267257636510813</v>
      </c>
      <c r="AX207" s="61">
        <f t="shared" si="170"/>
        <v>49.373927016874283</v>
      </c>
    </row>
    <row r="208" spans="14:50" x14ac:dyDescent="0.25">
      <c r="N208" s="10">
        <v>90</v>
      </c>
      <c r="O208" s="50">
        <f t="shared" si="171"/>
        <v>794.32823472428208</v>
      </c>
      <c r="P208" s="48" t="str">
        <f t="shared" si="136"/>
        <v>304.285714285714</v>
      </c>
      <c r="Q208" s="17" t="str">
        <f t="shared" si="137"/>
        <v>1+259.883891339978i</v>
      </c>
      <c r="R208" s="17">
        <f t="shared" si="146"/>
        <v>259.88581526895518</v>
      </c>
      <c r="S208" s="17">
        <f t="shared" si="147"/>
        <v>1.5669484735881654</v>
      </c>
      <c r="T208" s="17" t="str">
        <f t="shared" si="138"/>
        <v>1+0.00539018441297731i</v>
      </c>
      <c r="U208" s="17">
        <f t="shared" si="148"/>
        <v>1.000014526938487</v>
      </c>
      <c r="V208" s="17">
        <f t="shared" si="149"/>
        <v>5.3901322115898704E-3</v>
      </c>
      <c r="W208" s="31" t="str">
        <f t="shared" si="139"/>
        <v>1-0.0168443262905541i</v>
      </c>
      <c r="X208" s="17">
        <f t="shared" si="150"/>
        <v>1.0001418556025854</v>
      </c>
      <c r="Y208" s="17">
        <f t="shared" si="151"/>
        <v>-1.6842733474014229E-2</v>
      </c>
      <c r="Z208" s="31" t="str">
        <f t="shared" si="140"/>
        <v>0.999960383026936+0.148591367561632i</v>
      </c>
      <c r="AA208" s="17">
        <f t="shared" si="152"/>
        <v>1.0109402366793068</v>
      </c>
      <c r="AB208" s="17">
        <f t="shared" si="153"/>
        <v>0.14751778789978026</v>
      </c>
      <c r="AC208" s="66" t="str">
        <f t="shared" si="154"/>
        <v>-0.178967089520173-1.14444548769712i</v>
      </c>
      <c r="AD208" s="64">
        <f t="shared" si="155"/>
        <v>1.2768283330542107</v>
      </c>
      <c r="AE208" s="61">
        <f t="shared" si="156"/>
        <v>-98.887866617614989</v>
      </c>
      <c r="AF208" s="31" t="str">
        <f t="shared" si="141"/>
        <v>-1512.12121212121</v>
      </c>
      <c r="AG208" s="31" t="str">
        <f t="shared" si="157"/>
        <v>4990.91149349751i</v>
      </c>
      <c r="AH208" s="31">
        <f t="shared" si="158"/>
        <v>4990.9114934975096</v>
      </c>
      <c r="AI208" s="31">
        <f t="shared" si="159"/>
        <v>1.5707963267948966</v>
      </c>
      <c r="AJ208" s="31" t="str">
        <f t="shared" si="142"/>
        <v>0.891712544462442+6.87880861140833i</v>
      </c>
      <c r="AK208" s="31">
        <f t="shared" si="160"/>
        <v>6.9363649827800362</v>
      </c>
      <c r="AL208" s="31">
        <f t="shared" si="161"/>
        <v>1.4418833916843987</v>
      </c>
      <c r="AM208" s="31" t="str">
        <f t="shared" si="143"/>
        <v>1+34.2576164913668i</v>
      </c>
      <c r="AN208" s="31">
        <f t="shared" si="162"/>
        <v>34.272208678017329</v>
      </c>
      <c r="AO208" s="31">
        <f t="shared" si="163"/>
        <v>1.5416140246573569</v>
      </c>
      <c r="AP208" s="31" t="str">
        <f t="shared" si="144"/>
        <v>1+1.31760063428334i</v>
      </c>
      <c r="AQ208" s="31">
        <f t="shared" si="164"/>
        <v>1.6541074425392868</v>
      </c>
      <c r="AR208" s="31">
        <f t="shared" si="165"/>
        <v>0.92158841176574691</v>
      </c>
      <c r="AS208" s="58" t="str">
        <f t="shared" si="166"/>
        <v>-2.11167263025522+1.29315925595758i</v>
      </c>
      <c r="AT208" s="49">
        <f t="shared" si="167"/>
        <v>7.8756121905580221</v>
      </c>
      <c r="AU208" s="61">
        <f t="shared" si="168"/>
        <v>148.51727079986065</v>
      </c>
      <c r="AV208" s="58" t="str">
        <f t="shared" si="145"/>
        <v>1.8578701800106+2.18526126486429i</v>
      </c>
      <c r="AW208" s="64">
        <f t="shared" si="169"/>
        <v>9.152440523612217</v>
      </c>
      <c r="AX208" s="61">
        <f t="shared" si="170"/>
        <v>49.629404182245644</v>
      </c>
    </row>
    <row r="209" spans="14:50" x14ac:dyDescent="0.25">
      <c r="N209" s="10">
        <v>91</v>
      </c>
      <c r="O209" s="50">
        <f t="shared" si="171"/>
        <v>812.83051616409978</v>
      </c>
      <c r="P209" s="48" t="str">
        <f t="shared" si="136"/>
        <v>304.285714285714</v>
      </c>
      <c r="Q209" s="17" t="str">
        <f t="shared" si="137"/>
        <v>1+265.937364814852i</v>
      </c>
      <c r="R209" s="17">
        <f t="shared" si="146"/>
        <v>265.93924495017222</v>
      </c>
      <c r="S209" s="17">
        <f t="shared" si="147"/>
        <v>1.5670360605852531</v>
      </c>
      <c r="T209" s="17" t="str">
        <f t="shared" si="138"/>
        <v>1+0.00551573793690063i</v>
      </c>
      <c r="U209" s="17">
        <f t="shared" si="148"/>
        <v>1.0000152115667984</v>
      </c>
      <c r="V209" s="17">
        <f t="shared" si="149"/>
        <v>5.5156820021521813E-3</v>
      </c>
      <c r="W209" s="31" t="str">
        <f t="shared" si="139"/>
        <v>1-0.0172366810528145i</v>
      </c>
      <c r="X209" s="17">
        <f t="shared" si="150"/>
        <v>1.0001485405547099</v>
      </c>
      <c r="Y209" s="17">
        <f t="shared" si="151"/>
        <v>-1.7234974332832283E-2</v>
      </c>
      <c r="Z209" s="31" t="str">
        <f t="shared" si="140"/>
        <v>0.999958515936518+0.152052505139232i</v>
      </c>
      <c r="AA209" s="17">
        <f t="shared" si="152"/>
        <v>1.0114529143331785</v>
      </c>
      <c r="AB209" s="17">
        <f t="shared" si="153"/>
        <v>0.15090284614131752</v>
      </c>
      <c r="AC209" s="66" t="str">
        <f t="shared" si="154"/>
        <v>-0.178984733488733-1.11717498168528i</v>
      </c>
      <c r="AD209" s="64">
        <f t="shared" si="155"/>
        <v>1.0724914752853403</v>
      </c>
      <c r="AE209" s="61">
        <f t="shared" si="156"/>
        <v>-99.102114806179301</v>
      </c>
      <c r="AF209" s="31" t="str">
        <f t="shared" si="141"/>
        <v>-1512.12121212121</v>
      </c>
      <c r="AG209" s="31" t="str">
        <f t="shared" si="157"/>
        <v>5107.16475638947i</v>
      </c>
      <c r="AH209" s="31">
        <f t="shared" si="158"/>
        <v>5107.1647563894703</v>
      </c>
      <c r="AI209" s="31">
        <f t="shared" si="159"/>
        <v>1.5707963267948966</v>
      </c>
      <c r="AJ209" s="31" t="str">
        <f t="shared" si="142"/>
        <v>0.88660911391083+7.03903664729465i</v>
      </c>
      <c r="AK209" s="31">
        <f t="shared" si="160"/>
        <v>7.0946538071160923</v>
      </c>
      <c r="AL209" s="31">
        <f t="shared" si="161"/>
        <v>1.4455001210371325</v>
      </c>
      <c r="AM209" s="31" t="str">
        <f t="shared" si="143"/>
        <v>1+35.0555788878572i</v>
      </c>
      <c r="AN209" s="31">
        <f t="shared" si="162"/>
        <v>35.069839052421941</v>
      </c>
      <c r="AO209" s="31">
        <f t="shared" si="163"/>
        <v>1.5422779306543417</v>
      </c>
      <c r="AP209" s="31" t="str">
        <f t="shared" si="144"/>
        <v>1+1.34829149568682i</v>
      </c>
      <c r="AQ209" s="31">
        <f t="shared" si="164"/>
        <v>1.6786571887498059</v>
      </c>
      <c r="AR209" s="31">
        <f t="shared" si="165"/>
        <v>0.93264171771005733</v>
      </c>
      <c r="AS209" s="58" t="str">
        <f t="shared" si="166"/>
        <v>-2.10548495110359+1.2660337343995i</v>
      </c>
      <c r="AT209" s="49">
        <f t="shared" si="167"/>
        <v>7.8074263288278534</v>
      </c>
      <c r="AU209" s="61">
        <f t="shared" si="168"/>
        <v>148.98139426420457</v>
      </c>
      <c r="AV209" s="58" t="str">
        <f t="shared" si="145"/>
        <v>1.79123087687852+2.12559440114855i</v>
      </c>
      <c r="AW209" s="64">
        <f t="shared" si="169"/>
        <v>8.8799178041131999</v>
      </c>
      <c r="AX209" s="61">
        <f t="shared" si="170"/>
        <v>49.879279458025366</v>
      </c>
    </row>
    <row r="210" spans="14:50" x14ac:dyDescent="0.25">
      <c r="N210" s="10">
        <v>92</v>
      </c>
      <c r="O210" s="50">
        <f t="shared" si="171"/>
        <v>831.7637711026714</v>
      </c>
      <c r="P210" s="48" t="str">
        <f t="shared" si="136"/>
        <v>304.285714285714</v>
      </c>
      <c r="Q210" s="17" t="str">
        <f t="shared" si="137"/>
        <v>1+272.131841800649i</v>
      </c>
      <c r="R210" s="17">
        <f t="shared" si="146"/>
        <v>272.13367913915658</v>
      </c>
      <c r="S210" s="17">
        <f t="shared" si="147"/>
        <v>1.5671216539146282</v>
      </c>
      <c r="T210" s="17" t="str">
        <f t="shared" si="138"/>
        <v>1+0.00564421597808752i</v>
      </c>
      <c r="U210" s="17">
        <f t="shared" si="148"/>
        <v>1.0000159284601458</v>
      </c>
      <c r="V210" s="17">
        <f t="shared" si="149"/>
        <v>5.644156042976284E-3</v>
      </c>
      <c r="W210" s="31" t="str">
        <f t="shared" si="139"/>
        <v>1-0.0176381749315235i</v>
      </c>
      <c r="X210" s="17">
        <f t="shared" si="150"/>
        <v>1.0001555405110323</v>
      </c>
      <c r="Y210" s="17">
        <f t="shared" si="151"/>
        <v>-1.7636346163474006E-2</v>
      </c>
      <c r="Z210" s="31" t="str">
        <f t="shared" si="140"/>
        <v>0.999956560852838+0.15559426296771i</v>
      </c>
      <c r="AA210" s="17">
        <f t="shared" si="152"/>
        <v>1.0119894753707177</v>
      </c>
      <c r="AB210" s="17">
        <f t="shared" si="153"/>
        <v>0.154363168020893</v>
      </c>
      <c r="AC210" s="66" t="str">
        <f t="shared" si="154"/>
        <v>-0.178984917750757-1.09049933639369i</v>
      </c>
      <c r="AD210" s="64">
        <f t="shared" si="155"/>
        <v>0.86795474123973049</v>
      </c>
      <c r="AE210" s="61">
        <f t="shared" si="156"/>
        <v>-99.320916673758418</v>
      </c>
      <c r="AF210" s="31" t="str">
        <f t="shared" si="141"/>
        <v>-1512.12121212121</v>
      </c>
      <c r="AG210" s="31" t="str">
        <f t="shared" si="157"/>
        <v>5226.12590563659i</v>
      </c>
      <c r="AH210" s="31">
        <f t="shared" si="158"/>
        <v>5226.1259056365898</v>
      </c>
      <c r="AI210" s="31">
        <f t="shared" si="159"/>
        <v>1.5707963267948966</v>
      </c>
      <c r="AJ210" s="31" t="str">
        <f t="shared" si="142"/>
        <v>0.881265166087242+7.20299687358403i</v>
      </c>
      <c r="AK210" s="31">
        <f t="shared" si="160"/>
        <v>7.2567067085434882</v>
      </c>
      <c r="AL210" s="31">
        <f t="shared" si="161"/>
        <v>1.4490543494162385</v>
      </c>
      <c r="AM210" s="31" t="str">
        <f t="shared" si="143"/>
        <v>1+35.8721282162895i</v>
      </c>
      <c r="AN210" s="31">
        <f t="shared" si="162"/>
        <v>35.886063907398835</v>
      </c>
      <c r="AO210" s="31">
        <f t="shared" si="163"/>
        <v>1.5429267486058915</v>
      </c>
      <c r="AP210" s="31" t="str">
        <f t="shared" si="144"/>
        <v>1+1.37969723908806i</v>
      </c>
      <c r="AQ210" s="31">
        <f t="shared" si="164"/>
        <v>1.7039848800817496</v>
      </c>
      <c r="AR210" s="31">
        <f t="shared" si="165"/>
        <v>0.94362140705447706</v>
      </c>
      <c r="AS210" s="58" t="str">
        <f t="shared" si="166"/>
        <v>-2.09956284409478+1.23950191263179i</v>
      </c>
      <c r="AT210" s="49">
        <f t="shared" si="167"/>
        <v>7.7411745940359911</v>
      </c>
      <c r="AU210" s="61">
        <f t="shared" si="168"/>
        <v>149.44401636875213</v>
      </c>
      <c r="AV210" s="58" t="str">
        <f t="shared" si="145"/>
        <v>1.72746609614653+2.0677197403179i</v>
      </c>
      <c r="AW210" s="64">
        <f t="shared" si="169"/>
        <v>8.6091293352757337</v>
      </c>
      <c r="AX210" s="61">
        <f t="shared" si="170"/>
        <v>50.123099694993662</v>
      </c>
    </row>
    <row r="211" spans="14:50" x14ac:dyDescent="0.25">
      <c r="N211" s="10">
        <v>93</v>
      </c>
      <c r="O211" s="50">
        <f t="shared" si="171"/>
        <v>851.13803820237763</v>
      </c>
      <c r="P211" s="48" t="str">
        <f t="shared" ref="P211:P274" si="172">COMPLEX(Adc,0)</f>
        <v>304.285714285714</v>
      </c>
      <c r="Q211" s="17" t="str">
        <f t="shared" ref="Q211:Q274" si="173">IMSUM(COMPLEX(1,0),IMDIV(COMPLEX(0,2*PI()*O211),COMPLEX(wp_lf,0)))</f>
        <v>1+278.470606691059i</v>
      </c>
      <c r="R211" s="17">
        <f t="shared" si="146"/>
        <v>278.47240220690901</v>
      </c>
      <c r="S211" s="17">
        <f t="shared" si="147"/>
        <v>1.5672052989539869</v>
      </c>
      <c r="T211" s="17" t="str">
        <f t="shared" ref="T211:T274" si="174">IMSUM(COMPLEX(1,0),IMDIV(COMPLEX(0,2*PI()*O211),COMPLEX(wz_esr,0)))</f>
        <v>1+0.00577568665729603i</v>
      </c>
      <c r="U211" s="17">
        <f t="shared" si="148"/>
        <v>1.0000166791390848</v>
      </c>
      <c r="V211" s="17">
        <f t="shared" si="149"/>
        <v>5.7756224357251298E-3</v>
      </c>
      <c r="W211" s="31" t="str">
        <f t="shared" ref="W211:W274" si="175">IMSUB(COMPLEX(1,0),IMDIV(COMPLEX(0,2*PI()*O211),COMPLEX(wz_rhp,0)))</f>
        <v>1-0.0180490208040501i</v>
      </c>
      <c r="X211" s="17">
        <f t="shared" si="150"/>
        <v>1.0001628703126231</v>
      </c>
      <c r="Y211" s="17">
        <f t="shared" si="151"/>
        <v>-1.804706126101421E-2</v>
      </c>
      <c r="Z211" s="31" t="str">
        <f t="shared" ref="Z211:Z274" si="176">IMSUM(COMPLEX(1,0),IMDIV(COMPLEX(0,2*PI()*O211),COMPLEX(Q*(wsl/2),0)),IMDIV(IMPOWER(COMPLEX(0,2*PI()*O211),2),IMPOWER(COMPLEX(wsl/2,0),2)))</f>
        <v>0.999954513628904+0.159218518933946i</v>
      </c>
      <c r="AA211" s="17">
        <f t="shared" si="152"/>
        <v>1.0125510190100731</v>
      </c>
      <c r="AB211" s="17">
        <f t="shared" si="153"/>
        <v>0.15790025843705038</v>
      </c>
      <c r="AC211" s="66" t="str">
        <f t="shared" si="154"/>
        <v>-0.178967698142207-1.06440458893357i</v>
      </c>
      <c r="AD211" s="64">
        <f t="shared" si="155"/>
        <v>0.66320917310580296</v>
      </c>
      <c r="AE211" s="61">
        <f t="shared" si="156"/>
        <v>-99.544369306311907</v>
      </c>
      <c r="AF211" s="31" t="str">
        <f t="shared" ref="AF211:AF274" si="177">COMPLEX(Adc_ea_iso,0)</f>
        <v>-1512.12121212121</v>
      </c>
      <c r="AG211" s="31" t="str">
        <f t="shared" si="157"/>
        <v>5347.85801601484i</v>
      </c>
      <c r="AH211" s="31">
        <f t="shared" si="158"/>
        <v>5347.8580160148404</v>
      </c>
      <c r="AI211" s="31">
        <f t="shared" si="159"/>
        <v>1.5707963267948966</v>
      </c>
      <c r="AJ211" s="31" t="str">
        <f t="shared" ref="AJ211:AJ274" si="178">IMSUM(IMPRODUCT(COMPLEX(wpA_ea_iso,0),IMPOWER(COMPLEX(0,2*PI()*O211),2)),COMPLEX(0,wpB_ea_iso*2*PI()*O211),COMPLEX(1,0))</f>
        <v>0.875669365761869+7.37077622415872i</v>
      </c>
      <c r="AK211" s="31">
        <f t="shared" si="160"/>
        <v>7.4226099846857965</v>
      </c>
      <c r="AL211" s="31">
        <f t="shared" si="161"/>
        <v>1.4525477039275012</v>
      </c>
      <c r="AM211" s="31" t="str">
        <f t="shared" ref="AM211:AM274" si="179">IMSUM(COMPLEX(1,0),IMDIV(COMPLEX(0,2*PI()*O211),COMPLEX(wz1_ea_iso,0)))</f>
        <v>1+36.7076974219258i</v>
      </c>
      <c r="AN211" s="31">
        <f t="shared" si="162"/>
        <v>36.721316016990158</v>
      </c>
      <c r="AO211" s="31">
        <f t="shared" si="163"/>
        <v>1.5435608203375857</v>
      </c>
      <c r="AP211" s="31" t="str">
        <f t="shared" ref="AP211:AP274" si="180">IMSUM(COMPLEX(1,0),IMDIV(COMPLEX(0,2*PI()*O211),COMPLEX(wz2_ea_iso,0)))</f>
        <v>1+1.41183451622792i</v>
      </c>
      <c r="AQ211" s="31">
        <f t="shared" si="164"/>
        <v>1.7301088697571969</v>
      </c>
      <c r="AR211" s="31">
        <f t="shared" si="165"/>
        <v>0.95452271254976262</v>
      </c>
      <c r="AS211" s="58" t="str">
        <f t="shared" si="166"/>
        <v>-2.0938951790087+1.21355470096998i</v>
      </c>
      <c r="AT211" s="49">
        <f t="shared" si="167"/>
        <v>7.6768353115013443</v>
      </c>
      <c r="AU211" s="61">
        <f t="shared" si="168"/>
        <v>149.90479032911122</v>
      </c>
      <c r="AV211" s="58" t="str">
        <f t="shared" ref="AV211:AV274" si="181">IMPRODUCT(AC211,AS211)</f>
        <v>1.6664527929726+2.01156454588049i</v>
      </c>
      <c r="AW211" s="64">
        <f t="shared" si="169"/>
        <v>8.3400444846071426</v>
      </c>
      <c r="AX211" s="61">
        <f t="shared" si="170"/>
        <v>50.360421022799429</v>
      </c>
    </row>
    <row r="212" spans="14:50" x14ac:dyDescent="0.25">
      <c r="N212" s="10">
        <v>94</v>
      </c>
      <c r="O212" s="50">
        <f t="shared" si="171"/>
        <v>870.96358995608091</v>
      </c>
      <c r="P212" s="48" t="str">
        <f t="shared" si="172"/>
        <v>304.285714285714</v>
      </c>
      <c r="Q212" s="17" t="str">
        <f t="shared" si="173"/>
        <v>1+284.95702038313i</v>
      </c>
      <c r="R212" s="17">
        <f t="shared" ref="R212:R275" si="182">IMABS(Q212)</f>
        <v>284.95877502830399</v>
      </c>
      <c r="S212" s="17">
        <f t="shared" ref="S212:S275" si="183">IMARGUMENT(Q212)</f>
        <v>1.5672870400483516</v>
      </c>
      <c r="T212" s="17" t="str">
        <f t="shared" si="174"/>
        <v>1+0.00591021968202046i</v>
      </c>
      <c r="U212" s="17">
        <f t="shared" ref="U212:U275" si="184">IMABS(T212)</f>
        <v>1.0000174651958285</v>
      </c>
      <c r="V212" s="17">
        <f t="shared" ref="V212:V275" si="185">IMARGUMENT(T212)</f>
        <v>5.9101508674323381E-3</v>
      </c>
      <c r="W212" s="31" t="str">
        <f t="shared" si="175"/>
        <v>1-0.018469436506314i</v>
      </c>
      <c r="X212" s="17">
        <f t="shared" ref="X212:X275" si="186">IMABS(W212)</f>
        <v>1.0001705454995466</v>
      </c>
      <c r="Y212" s="17">
        <f t="shared" ref="Y212:Y275" si="187">IMARGUMENT(W212)</f>
        <v>-1.8467336837457993E-2</v>
      </c>
      <c r="Z212" s="31" t="str">
        <f t="shared" si="176"/>
        <v>0.999952369922278+0.162927194666428i</v>
      </c>
      <c r="AA212" s="17">
        <f t="shared" ref="AA212:AA275" si="188">IMABS(Z212)</f>
        <v>1.0131386938001392</v>
      </c>
      <c r="AB212" s="17">
        <f t="shared" ref="AB212:AB275" si="189">IMARGUMENT(Z212)</f>
        <v>0.16151564055362586</v>
      </c>
      <c r="AC212" s="66" t="str">
        <f t="shared" ref="AC212:AC275" si="190">(IMDIV(IMPRODUCT(P212,T212,W212),IMPRODUCT(Q212,Z212)))</f>
        <v>-0.178933098674924-1.03887709568617i</v>
      </c>
      <c r="AD212" s="64">
        <f t="shared" ref="AD212:AD275" si="191">20*LOG(IMABS(AC212))</f>
        <v>0.45824543217925812</v>
      </c>
      <c r="AE212" s="61">
        <f t="shared" ref="AE212:AE275" si="192">(180/PI())*IMARGUMENT(AC212)</f>
        <v>-99.772570968039901</v>
      </c>
      <c r="AF212" s="31" t="str">
        <f t="shared" si="177"/>
        <v>-1512.12121212121</v>
      </c>
      <c r="AG212" s="31" t="str">
        <f t="shared" ref="AG212:AG275" si="193">COMPLEX(0,1*2*PI()*O212)</f>
        <v>5472.42563150043i</v>
      </c>
      <c r="AH212" s="31">
        <f t="shared" ref="AH212:AH275" si="194">IMABS(AG212)</f>
        <v>5472.4256315004304</v>
      </c>
      <c r="AI212" s="31">
        <f t="shared" ref="AI212:AI275" si="195">IMARGUMENT(AG212)</f>
        <v>1.5707963267948966</v>
      </c>
      <c r="AJ212" s="31" t="str">
        <f t="shared" si="178"/>
        <v>0.869809843491979+7.54246365785121i</v>
      </c>
      <c r="AK212" s="31">
        <f t="shared" ref="AK212:AK275" si="196">IMABS(AJ212)</f>
        <v>7.592451988247392</v>
      </c>
      <c r="AL212" s="31">
        <f t="shared" ref="AL212:AL275" si="197">IMARGUMENT(AJ212)</f>
        <v>1.4559817958908017</v>
      </c>
      <c r="AM212" s="31" t="str">
        <f t="shared" si="179"/>
        <v>1+37.5627295346189i</v>
      </c>
      <c r="AN212" s="31">
        <f t="shared" ref="AN212:AN275" si="198">IMABS(AM212)</f>
        <v>37.576038243685709</v>
      </c>
      <c r="AO212" s="31">
        <f t="shared" ref="AO212:AO275" si="199">IMARGUMENT(AM212)</f>
        <v>1.5441804800020686</v>
      </c>
      <c r="AP212" s="31" t="str">
        <f t="shared" si="180"/>
        <v>1+1.44472036671611i</v>
      </c>
      <c r="AQ212" s="31">
        <f t="shared" ref="AQ212:AQ275" si="200">IMABS(AP212)</f>
        <v>1.7570477904725106</v>
      </c>
      <c r="AR212" s="31">
        <f t="shared" ref="AR212:AR275" si="201">IMARGUMENT(AP212)</f>
        <v>0.96534105046298446</v>
      </c>
      <c r="AS212" s="58" t="str">
        <f t="shared" ref="AS212:AS275" si="202">IMDIV(IMPRODUCT(AF212,AM212,AP212),IMPRODUCT(AG212,AJ212))</f>
        <v>-2.08847124398294+1.18818300765759i</v>
      </c>
      <c r="AT212" s="49">
        <f t="shared" ref="AT212:AT275" si="203">20*LOG(IMABS(AS212))</f>
        <v>7.614384928978243</v>
      </c>
      <c r="AU212" s="61">
        <f t="shared" ref="AU212:AU275" si="204">(180/PI())*IMARGUMENT(AS212)</f>
        <v>150.36338034043752</v>
      </c>
      <c r="AV212" s="58" t="str">
        <f t="shared" si="181"/>
        <v>1.60807274331832+1.95705967302002i</v>
      </c>
      <c r="AW212" s="64">
        <f t="shared" ref="AW212:AW275" si="205">20*LOG(IMABS(AV212))</f>
        <v>8.0726303611575219</v>
      </c>
      <c r="AX212" s="61">
        <f t="shared" ref="AX212:AX275" si="206">(180/PI())*IMARGUMENT(AV212)</f>
        <v>50.590809372397587</v>
      </c>
    </row>
    <row r="213" spans="14:50" x14ac:dyDescent="0.25">
      <c r="N213" s="10">
        <v>95</v>
      </c>
      <c r="O213" s="50">
        <f t="shared" si="171"/>
        <v>891.25093813374656</v>
      </c>
      <c r="P213" s="48" t="str">
        <f t="shared" si="172"/>
        <v>304.285714285714</v>
      </c>
      <c r="Q213" s="17" t="str">
        <f t="shared" si="173"/>
        <v>1+291.594522059262i</v>
      </c>
      <c r="R213" s="17">
        <f t="shared" si="182"/>
        <v>291.59623676407318</v>
      </c>
      <c r="S213" s="17">
        <f t="shared" si="183"/>
        <v>1.5673669205335612</v>
      </c>
      <c r="T213" s="17" t="str">
        <f t="shared" si="174"/>
        <v>1+0.00604788638345134i</v>
      </c>
      <c r="U213" s="17">
        <f t="shared" si="184"/>
        <v>1.0000182882976225</v>
      </c>
      <c r="V213" s="17">
        <f t="shared" si="185"/>
        <v>6.0478126473645158E-3</v>
      </c>
      <c r="W213" s="31" t="str">
        <f t="shared" si="175"/>
        <v>1-0.0188996449482855i</v>
      </c>
      <c r="X213" s="17">
        <f t="shared" si="186"/>
        <v>1.000178582343759</v>
      </c>
      <c r="Y213" s="17">
        <f t="shared" si="187"/>
        <v>-1.889739513426698E-2</v>
      </c>
      <c r="Z213" s="31" t="str">
        <f t="shared" si="176"/>
        <v>0.999950125185872+0.166722256554118i</v>
      </c>
      <c r="AA213" s="17">
        <f t="shared" si="188"/>
        <v>1.0137536997169176</v>
      </c>
      <c r="AB213" s="17">
        <f t="shared" si="189"/>
        <v>0.16521085513708683</v>
      </c>
      <c r="AC213" s="66" t="str">
        <f t="shared" si="190"/>
        <v>-0.178881112040857-1.01390352579827i</v>
      </c>
      <c r="AD213" s="64">
        <f t="shared" si="191"/>
        <v>0.25305378474111467</v>
      </c>
      <c r="AE213" s="61">
        <f t="shared" si="192"/>
        <v>-100.0056210690967</v>
      </c>
      <c r="AF213" s="31" t="str">
        <f t="shared" si="177"/>
        <v>-1512.12121212121</v>
      </c>
      <c r="AG213" s="31" t="str">
        <f t="shared" si="193"/>
        <v>5599.89479949198i</v>
      </c>
      <c r="AH213" s="31">
        <f t="shared" si="194"/>
        <v>5599.8947994919799</v>
      </c>
      <c r="AI213" s="31">
        <f t="shared" si="195"/>
        <v>1.5707963267948966</v>
      </c>
      <c r="AJ213" s="31" t="str">
        <f t="shared" si="178"/>
        <v>0.863674170445236+7.71815020561141i</v>
      </c>
      <c r="AK213" s="31">
        <f t="shared" si="196"/>
        <v>7.766323175678032</v>
      </c>
      <c r="AL213" s="31">
        <f t="shared" si="197"/>
        <v>1.4593582206562816</v>
      </c>
      <c r="AM213" s="31" t="str">
        <f t="shared" si="179"/>
        <v>1+38.4376779037129i</v>
      </c>
      <c r="AN213" s="31">
        <f t="shared" si="198"/>
        <v>38.450683773238403</v>
      </c>
      <c r="AO213" s="31">
        <f t="shared" si="199"/>
        <v>1.5447860542465208</v>
      </c>
      <c r="AP213" s="31" t="str">
        <f t="shared" si="180"/>
        <v>1+1.47837222706588i</v>
      </c>
      <c r="AQ213" s="31">
        <f t="shared" si="200"/>
        <v>1.7848205629025371</v>
      </c>
      <c r="AR213" s="31">
        <f t="shared" si="201"/>
        <v>0.97607202781218805</v>
      </c>
      <c r="AS213" s="58" t="str">
        <f t="shared" si="202"/>
        <v>-2.08328073289625+1.16337775270078i</v>
      </c>
      <c r="AT213" s="49">
        <f t="shared" si="203"/>
        <v>7.5537981374608387</v>
      </c>
      <c r="AU213" s="61">
        <f t="shared" si="204"/>
        <v>150.81946201208083</v>
      </c>
      <c r="AV213" s="58" t="str">
        <f t="shared" si="181"/>
        <v>1.55221237949236+1.9041393741844i</v>
      </c>
      <c r="AW213" s="64">
        <f t="shared" si="205"/>
        <v>7.8068519222019432</v>
      </c>
      <c r="AX213" s="61">
        <f t="shared" si="206"/>
        <v>50.813840942984108</v>
      </c>
    </row>
    <row r="214" spans="14:50" x14ac:dyDescent="0.25">
      <c r="N214" s="10">
        <v>96</v>
      </c>
      <c r="O214" s="50">
        <f t="shared" si="171"/>
        <v>912.01083935590987</v>
      </c>
      <c r="P214" s="48" t="str">
        <f t="shared" si="172"/>
        <v>304.285714285714</v>
      </c>
      <c r="Q214" s="17" t="str">
        <f t="shared" si="173"/>
        <v>1+298.386631010698i</v>
      </c>
      <c r="R214" s="17">
        <f t="shared" si="182"/>
        <v>298.38830668428426</v>
      </c>
      <c r="S214" s="17">
        <f t="shared" si="183"/>
        <v>1.5674449827592258</v>
      </c>
      <c r="T214" s="17" t="str">
        <f t="shared" si="174"/>
        <v>1+0.00618875975429594i</v>
      </c>
      <c r="U214" s="17">
        <f t="shared" si="184"/>
        <v>1.0000191501902833</v>
      </c>
      <c r="V214" s="17">
        <f t="shared" si="185"/>
        <v>6.1886807447371316E-3</v>
      </c>
      <c r="W214" s="31" t="str">
        <f t="shared" si="175"/>
        <v>1-0.0193398742321748i</v>
      </c>
      <c r="X214" s="17">
        <f t="shared" si="186"/>
        <v>1.000186997883554</v>
      </c>
      <c r="Y214" s="17">
        <f t="shared" si="187"/>
        <v>-1.9337463537362723E-2</v>
      </c>
      <c r="Z214" s="31" t="str">
        <f t="shared" si="176"/>
        <v>0.999947774658298+0.170605716789062i</v>
      </c>
      <c r="AA214" s="17">
        <f t="shared" si="188"/>
        <v>1.0143972903380567</v>
      </c>
      <c r="AB214" s="17">
        <f t="shared" si="189"/>
        <v>0.16898745981351723</v>
      </c>
      <c r="AC214" s="66" t="str">
        <f t="shared" si="190"/>
        <v>-0.178811700088445-0.989470854879617i</v>
      </c>
      <c r="AD214" s="64">
        <f t="shared" si="191"/>
        <v>4.7624087604155249E-2</v>
      </c>
      <c r="AE214" s="61">
        <f t="shared" si="192"/>
        <v>-100.24362012876253</v>
      </c>
      <c r="AF214" s="31" t="str">
        <f t="shared" si="177"/>
        <v>-1512.12121212121</v>
      </c>
      <c r="AG214" s="31" t="str">
        <f t="shared" si="193"/>
        <v>5730.33310582957i</v>
      </c>
      <c r="AH214" s="31">
        <f t="shared" si="194"/>
        <v>5730.3331058295698</v>
      </c>
      <c r="AI214" s="31">
        <f t="shared" si="195"/>
        <v>1.5707963267948966</v>
      </c>
      <c r="AJ214" s="31" t="str">
        <f t="shared" si="178"/>
        <v>0.857249332036486+7.89792901877241i</v>
      </c>
      <c r="AK214" s="31">
        <f t="shared" si="196"/>
        <v>7.9443161570297747</v>
      </c>
      <c r="AL214" s="31">
        <f t="shared" si="197"/>
        <v>1.4626785574740593</v>
      </c>
      <c r="AM214" s="31" t="str">
        <f t="shared" si="179"/>
        <v>1+39.3330064384141i</v>
      </c>
      <c r="AN214" s="31">
        <f t="shared" si="198"/>
        <v>39.345716354951847</v>
      </c>
      <c r="AO214" s="31">
        <f t="shared" si="199"/>
        <v>1.5453778623767949</v>
      </c>
      <c r="AP214" s="31" t="str">
        <f t="shared" si="180"/>
        <v>1+1.51280793993901i</v>
      </c>
      <c r="AQ214" s="31">
        <f t="shared" si="200"/>
        <v>1.8134464048166716</v>
      </c>
      <c r="AR214" s="31">
        <f t="shared" si="201"/>
        <v>0.98671144860868032</v>
      </c>
      <c r="AS214" s="58" t="str">
        <f t="shared" si="202"/>
        <v>-2.07831373279482+1.1391298806833i</v>
      </c>
      <c r="AT214" s="49">
        <f t="shared" si="203"/>
        <v>7.4950479940803607</v>
      </c>
      <c r="AU214" s="61">
        <f t="shared" si="204"/>
        <v>151.27272274210927</v>
      </c>
      <c r="AV214" s="58" t="str">
        <f t="shared" si="181"/>
        <v>1.49876262873682+1.85274111531001i</v>
      </c>
      <c r="AW214" s="64">
        <f t="shared" si="205"/>
        <v>7.5426720816845059</v>
      </c>
      <c r="AX214" s="61">
        <f t="shared" si="206"/>
        <v>51.029102613346815</v>
      </c>
    </row>
    <row r="215" spans="14:50" x14ac:dyDescent="0.25">
      <c r="N215" s="10">
        <v>97</v>
      </c>
      <c r="O215" s="50">
        <f t="shared" si="171"/>
        <v>933.25430079699106</v>
      </c>
      <c r="P215" s="48" t="str">
        <f t="shared" si="172"/>
        <v>304.285714285714</v>
      </c>
      <c r="Q215" s="17" t="str">
        <f t="shared" si="173"/>
        <v>1+305.33694850351i</v>
      </c>
      <c r="R215" s="17">
        <f t="shared" si="182"/>
        <v>305.33858603431548</v>
      </c>
      <c r="S215" s="17">
        <f t="shared" si="183"/>
        <v>1.5675212681111634</v>
      </c>
      <c r="T215" s="17" t="str">
        <f t="shared" si="174"/>
        <v>1+0.00633291448748019i</v>
      </c>
      <c r="U215" s="17">
        <f t="shared" si="184"/>
        <v>1.0000200527018974</v>
      </c>
      <c r="V215" s="17">
        <f t="shared" si="185"/>
        <v>6.3328298273043152E-3</v>
      </c>
      <c r="W215" s="31" t="str">
        <f t="shared" si="175"/>
        <v>1-0.0197903577733756i</v>
      </c>
      <c r="X215" s="17">
        <f t="shared" si="186"/>
        <v>1.0001958099596289</v>
      </c>
      <c r="Y215" s="17">
        <f t="shared" si="187"/>
        <v>-1.9787774694656875E-2</v>
      </c>
      <c r="Z215" s="31" t="str">
        <f t="shared" si="176"/>
        <v>0.999945313353772+0.174579634433283i</v>
      </c>
      <c r="AA215" s="17">
        <f t="shared" si="188"/>
        <v>1.0150707750974963</v>
      </c>
      <c r="AB215" s="17">
        <f t="shared" si="189"/>
        <v>0.17284702824014911</v>
      </c>
      <c r="AC215" s="66" t="str">
        <f t="shared" si="190"/>
        <v>-0.178724794275135-0.965566358900171i</v>
      </c>
      <c r="AD215" s="64">
        <f t="shared" si="191"/>
        <v>-0.1580542266610391</v>
      </c>
      <c r="AE215" s="61">
        <f t="shared" si="192"/>
        <v>-100.48666973378403</v>
      </c>
      <c r="AF215" s="31" t="str">
        <f t="shared" si="177"/>
        <v>-1512.12121212121</v>
      </c>
      <c r="AG215" s="31" t="str">
        <f t="shared" si="193"/>
        <v>5863.80971062981i</v>
      </c>
      <c r="AH215" s="31">
        <f t="shared" si="194"/>
        <v>5863.8097106298101</v>
      </c>
      <c r="AI215" s="31">
        <f t="shared" si="195"/>
        <v>1.5707963267948966</v>
      </c>
      <c r="AJ215" s="31" t="str">
        <f t="shared" si="178"/>
        <v>0.85052170032207+8.08189541844062i</v>
      </c>
      <c r="AK215" s="31">
        <f t="shared" si="196"/>
        <v>8.1265257470416117</v>
      </c>
      <c r="AL215" s="31">
        <f t="shared" si="197"/>
        <v>1.4659443694139955</v>
      </c>
      <c r="AM215" s="31" t="str">
        <f t="shared" si="179"/>
        <v>1+40.2491898537629i</v>
      </c>
      <c r="AN215" s="31">
        <f t="shared" si="198"/>
        <v>40.261610547570626</v>
      </c>
      <c r="AO215" s="31">
        <f t="shared" si="199"/>
        <v>1.5459562165182612</v>
      </c>
      <c r="AP215" s="31" t="str">
        <f t="shared" si="180"/>
        <v>1+1.54804576360627i</v>
      </c>
      <c r="AQ215" s="31">
        <f t="shared" si="200"/>
        <v>1.8429448407967397</v>
      </c>
      <c r="AR215" s="31">
        <f t="shared" si="201"/>
        <v>0.99725531910615683</v>
      </c>
      <c r="AS215" s="58" t="str">
        <f t="shared" si="202"/>
        <v>-2.07356071139805+1.11543037261425i</v>
      </c>
      <c r="AT215" s="49">
        <f t="shared" si="203"/>
        <v>7.4381060463340614</v>
      </c>
      <c r="AU215" s="61">
        <f t="shared" si="204"/>
        <v>151.72286203187545</v>
      </c>
      <c r="AV215" s="58" t="str">
        <f t="shared" si="181"/>
        <v>1.44761875505342+1.80280540218934i</v>
      </c>
      <c r="AW215" s="64">
        <f t="shared" si="205"/>
        <v>7.2800518196730053</v>
      </c>
      <c r="AX215" s="61">
        <f t="shared" si="206"/>
        <v>51.236192298091375</v>
      </c>
    </row>
    <row r="216" spans="14:50" x14ac:dyDescent="0.25">
      <c r="N216" s="10">
        <v>98</v>
      </c>
      <c r="O216" s="50">
        <f t="shared" si="171"/>
        <v>954.99258602143675</v>
      </c>
      <c r="P216" s="48" t="str">
        <f t="shared" si="172"/>
        <v>304.285714285714</v>
      </c>
      <c r="Q216" s="17" t="str">
        <f t="shared" si="173"/>
        <v>1+312.449159688032i</v>
      </c>
      <c r="R216" s="17">
        <f t="shared" si="182"/>
        <v>312.45075994427873</v>
      </c>
      <c r="S216" s="17">
        <f t="shared" si="183"/>
        <v>1.5675958170333237</v>
      </c>
      <c r="T216" s="17" t="str">
        <f t="shared" si="174"/>
        <v>1+0.00648042701575176i</v>
      </c>
      <c r="U216" s="17">
        <f t="shared" si="184"/>
        <v>1.0000209977467005</v>
      </c>
      <c r="V216" s="17">
        <f t="shared" si="185"/>
        <v>6.4803363008417991E-3</v>
      </c>
      <c r="W216" s="31" t="str">
        <f t="shared" si="175"/>
        <v>1-0.0202513344242243i</v>
      </c>
      <c r="X216" s="17">
        <f t="shared" si="186"/>
        <v>1.0002050372528433</v>
      </c>
      <c r="Y216" s="17">
        <f t="shared" si="187"/>
        <v>-2.0248566636153403E-2</v>
      </c>
      <c r="Z216" s="31" t="str">
        <f t="shared" si="176"/>
        <v>0.999942736051537+0.178646116510514i</v>
      </c>
      <c r="AA216" s="17">
        <f t="shared" si="188"/>
        <v>1.0157755216220374</v>
      </c>
      <c r="AB216" s="17">
        <f t="shared" si="189"/>
        <v>0.17679114918615432</v>
      </c>
      <c r="AC216" s="66" t="str">
        <f t="shared" si="190"/>
        <v>-0.178620296100214-0.942177608285301i</v>
      </c>
      <c r="AD216" s="64">
        <f t="shared" si="191"/>
        <v>-0.3639921648049339</v>
      </c>
      <c r="AE216" s="61">
        <f t="shared" si="192"/>
        <v>-100.73487249158315</v>
      </c>
      <c r="AF216" s="31" t="str">
        <f t="shared" si="177"/>
        <v>-1512.12121212121</v>
      </c>
      <c r="AG216" s="31" t="str">
        <f t="shared" si="193"/>
        <v>6000.39538495533i</v>
      </c>
      <c r="AH216" s="31">
        <f t="shared" si="194"/>
        <v>6000.39538495533</v>
      </c>
      <c r="AI216" s="31">
        <f t="shared" si="195"/>
        <v>1.5707963267948966</v>
      </c>
      <c r="AJ216" s="31" t="str">
        <f t="shared" si="178"/>
        <v>0.843477005093132+8.27014694603623i</v>
      </c>
      <c r="AK216" s="31">
        <f t="shared" si="196"/>
        <v>8.3130490174877014</v>
      </c>
      <c r="AL216" s="31">
        <f t="shared" si="197"/>
        <v>1.469157203332168</v>
      </c>
      <c r="AM216" s="31" t="str">
        <f t="shared" si="179"/>
        <v>1+41.1867139223333i</v>
      </c>
      <c r="AN216" s="31">
        <f t="shared" si="198"/>
        <v>41.198851970899916</v>
      </c>
      <c r="AO216" s="31">
        <f t="shared" si="199"/>
        <v>1.5465214217734085</v>
      </c>
      <c r="AP216" s="31" t="str">
        <f t="shared" si="180"/>
        <v>1+1.58410438162821i</v>
      </c>
      <c r="AQ216" s="31">
        <f t="shared" si="200"/>
        <v>1.8733357125442558</v>
      </c>
      <c r="AR216" s="31">
        <f t="shared" si="201"/>
        <v>1.0076998520640752</v>
      </c>
      <c r="AS216" s="58" t="str">
        <f t="shared" si="202"/>
        <v>-2.06901250471619+1.09227025686058i</v>
      </c>
      <c r="AT216" s="49">
        <f t="shared" si="203"/>
        <v>7.3829424569072835</v>
      </c>
      <c r="AU216" s="61">
        <f t="shared" si="204"/>
        <v>152.16959174124008</v>
      </c>
      <c r="AV216" s="58" t="str">
        <f t="shared" si="181"/>
        <v>1.39868020443752+1.75427561650399i</v>
      </c>
      <c r="AW216" s="64">
        <f t="shared" si="205"/>
        <v>7.0189502921023532</v>
      </c>
      <c r="AX216" s="61">
        <f t="shared" si="206"/>
        <v>51.434719249657086</v>
      </c>
    </row>
    <row r="217" spans="14:50" x14ac:dyDescent="0.25">
      <c r="N217" s="10">
        <v>99</v>
      </c>
      <c r="O217" s="50">
        <f t="shared" si="171"/>
        <v>977.23722095581138</v>
      </c>
      <c r="P217" s="48" t="str">
        <f t="shared" si="172"/>
        <v>304.285714285714</v>
      </c>
      <c r="Q217" s="17" t="str">
        <f t="shared" si="173"/>
        <v>1+319.727035552773i</v>
      </c>
      <c r="R217" s="17">
        <f t="shared" si="182"/>
        <v>319.72859938292061</v>
      </c>
      <c r="S217" s="17">
        <f t="shared" si="183"/>
        <v>1.5676686690492156</v>
      </c>
      <c r="T217" s="17" t="str">
        <f t="shared" si="174"/>
        <v>1+0.00663137555220565i</v>
      </c>
      <c r="U217" s="17">
        <f t="shared" si="184"/>
        <v>1.0000219873291358</v>
      </c>
      <c r="V217" s="17">
        <f t="shared" si="185"/>
        <v>6.6312783495437811E-3</v>
      </c>
      <c r="W217" s="31" t="str">
        <f t="shared" si="175"/>
        <v>1-0.0207230486006427i</v>
      </c>
      <c r="X217" s="17">
        <f t="shared" si="186"/>
        <v>1.0002146993237526</v>
      </c>
      <c r="Y217" s="17">
        <f t="shared" si="187"/>
        <v>-2.0720082896673195E-2</v>
      </c>
      <c r="Z217" s="31" t="str">
        <f t="shared" si="176"/>
        <v>0.999940037284791+0.18280731912338i</v>
      </c>
      <c r="AA217" s="17">
        <f t="shared" si="188"/>
        <v>1.0165129581516346</v>
      </c>
      <c r="AB217" s="17">
        <f t="shared" si="189"/>
        <v>0.18082142551725294</v>
      </c>
      <c r="AC217" s="66" t="str">
        <f t="shared" si="190"/>
        <v>-0.178498077522305-0.919292462207038i</v>
      </c>
      <c r="AD217" s="64">
        <f t="shared" si="191"/>
        <v>-0.57020118826460886</v>
      </c>
      <c r="AE217" s="61">
        <f t="shared" si="192"/>
        <v>-100.98833197802406</v>
      </c>
      <c r="AF217" s="31" t="str">
        <f t="shared" si="177"/>
        <v>-1512.12121212121</v>
      </c>
      <c r="AG217" s="31" t="str">
        <f t="shared" si="193"/>
        <v>6140.16254833857i</v>
      </c>
      <c r="AH217" s="31">
        <f t="shared" si="194"/>
        <v>6140.1625483385696</v>
      </c>
      <c r="AI217" s="31">
        <f t="shared" si="195"/>
        <v>1.5707963267948966</v>
      </c>
      <c r="AJ217" s="31" t="str">
        <f t="shared" si="178"/>
        <v>0.836100303606592+8.46278341501095i</v>
      </c>
      <c r="AK217" s="31">
        <f t="shared" si="196"/>
        <v>8.5039853508267189</v>
      </c>
      <c r="AL217" s="31">
        <f t="shared" si="197"/>
        <v>1.4723185898809066</v>
      </c>
      <c r="AM217" s="31" t="str">
        <f t="shared" si="179"/>
        <v>1+42.1460757317958i</v>
      </c>
      <c r="AN217" s="31">
        <f t="shared" si="198"/>
        <v>42.157937563290098</v>
      </c>
      <c r="AO217" s="31">
        <f t="shared" si="199"/>
        <v>1.5470737763762468</v>
      </c>
      <c r="AP217" s="31" t="str">
        <f t="shared" si="180"/>
        <v>1+1.62100291276138i</v>
      </c>
      <c r="AQ217" s="31">
        <f t="shared" si="200"/>
        <v>1.9046391897629531</v>
      </c>
      <c r="AR217" s="31">
        <f t="shared" si="201"/>
        <v>1.0180414700405418</v>
      </c>
      <c r="AS217" s="58" t="str">
        <f t="shared" si="202"/>
        <v>-2.06466030480767+1.06964061921394i</v>
      </c>
      <c r="AT217" s="49">
        <f t="shared" si="203"/>
        <v>7.3295261283748045</v>
      </c>
      <c r="AU217" s="61">
        <f t="shared" si="204"/>
        <v>152.61263628551353</v>
      </c>
      <c r="AV217" s="58" t="str">
        <f t="shared" si="181"/>
        <v>1.35185045365863+1.70709786105832i</v>
      </c>
      <c r="AW217" s="64">
        <f t="shared" si="205"/>
        <v>6.7593249401101971</v>
      </c>
      <c r="AX217" s="61">
        <f t="shared" si="206"/>
        <v>51.624304307489432</v>
      </c>
    </row>
    <row r="218" spans="14:50" x14ac:dyDescent="0.25">
      <c r="N218" s="10">
        <v>100</v>
      </c>
      <c r="O218" s="50">
        <f t="shared" si="171"/>
        <v>1000</v>
      </c>
      <c r="P218" s="48" t="str">
        <f t="shared" si="172"/>
        <v>304.285714285714</v>
      </c>
      <c r="Q218" s="17" t="str">
        <f t="shared" si="173"/>
        <v>1+327.174434923852i</v>
      </c>
      <c r="R218" s="17">
        <f t="shared" si="182"/>
        <v>327.1759631570477</v>
      </c>
      <c r="S218" s="17">
        <f t="shared" si="183"/>
        <v>1.5677398627828474</v>
      </c>
      <c r="T218" s="17" t="str">
        <f t="shared" si="174"/>
        <v>1+0.00678584013175396i</v>
      </c>
      <c r="U218" s="17">
        <f t="shared" si="184"/>
        <v>1.0000230235481049</v>
      </c>
      <c r="V218" s="17">
        <f t="shared" si="185"/>
        <v>6.7857359773547572E-3</v>
      </c>
      <c r="W218" s="31" t="str">
        <f t="shared" si="175"/>
        <v>1-0.0212057504117311i</v>
      </c>
      <c r="X218" s="17">
        <f t="shared" si="186"/>
        <v>1.0002248166539984</v>
      </c>
      <c r="Y218" s="17">
        <f t="shared" si="187"/>
        <v>-2.1202572641249483E-2</v>
      </c>
      <c r="Z218" s="31" t="str">
        <f t="shared" si="176"/>
        <v>0.999937211329085+0.187065448596587i</v>
      </c>
      <c r="AA218" s="17">
        <f t="shared" si="188"/>
        <v>1.0172845760450855</v>
      </c>
      <c r="AB218" s="17">
        <f t="shared" si="189"/>
        <v>0.18493947307845066</v>
      </c>
      <c r="AC218" s="66" t="str">
        <f t="shared" si="190"/>
        <v>-0.178357981365984-0.896899063069347i</v>
      </c>
      <c r="AD218" s="64">
        <f t="shared" si="191"/>
        <v>-0.77669322879641522</v>
      </c>
      <c r="AE218" s="61">
        <f t="shared" si="192"/>
        <v>-101.24715267941511</v>
      </c>
      <c r="AF218" s="31" t="str">
        <f t="shared" si="177"/>
        <v>-1512.12121212121</v>
      </c>
      <c r="AG218" s="31" t="str">
        <f t="shared" si="193"/>
        <v>6283.18530717959i</v>
      </c>
      <c r="AH218" s="31">
        <f t="shared" si="194"/>
        <v>6283.1853071795904</v>
      </c>
      <c r="AI218" s="31">
        <f t="shared" si="195"/>
        <v>1.5707963267948966</v>
      </c>
      <c r="AJ218" s="31" t="str">
        <f t="shared" si="178"/>
        <v>0.828375948889588+8.65990696377049i</v>
      </c>
      <c r="AK218" s="31">
        <f t="shared" si="196"/>
        <v>8.6994364951909002</v>
      </c>
      <c r="AL218" s="31">
        <f t="shared" si="197"/>
        <v>1.4754300435594103</v>
      </c>
      <c r="AM218" s="31" t="str">
        <f t="shared" si="179"/>
        <v>1+43.1277839484806i</v>
      </c>
      <c r="AN218" s="31">
        <f t="shared" si="198"/>
        <v>43.139375845123453</v>
      </c>
      <c r="AO218" s="31">
        <f t="shared" si="199"/>
        <v>1.5476135718435575</v>
      </c>
      <c r="AP218" s="31" t="str">
        <f t="shared" si="180"/>
        <v>1+1.65876092109541i</v>
      </c>
      <c r="AQ218" s="31">
        <f t="shared" si="200"/>
        <v>1.9368757816012088</v>
      </c>
      <c r="AR218" s="31">
        <f t="shared" si="201"/>
        <v>1.0282768077372604</v>
      </c>
      <c r="AS218" s="58" t="str">
        <f t="shared" si="202"/>
        <v>-2.06049564770103+1.04753261214056i</v>
      </c>
      <c r="AT218" s="49">
        <f t="shared" si="203"/>
        <v>7.2778248271054746</v>
      </c>
      <c r="AU218" s="61">
        <f t="shared" si="204"/>
        <v>153.05173277557509</v>
      </c>
      <c r="AV218" s="58" t="str">
        <f t="shared" si="181"/>
        <v>1.30703686270081+1.66122081376509i</v>
      </c>
      <c r="AW218" s="64">
        <f t="shared" si="205"/>
        <v>6.5011315983090556</v>
      </c>
      <c r="AX218" s="61">
        <f t="shared" si="206"/>
        <v>51.804580096159818</v>
      </c>
    </row>
    <row r="219" spans="14:50" x14ac:dyDescent="0.25">
      <c r="N219" s="10">
        <v>1</v>
      </c>
      <c r="O219" s="50">
        <f>10^(3+(N219/100))</f>
        <v>1023.2929922807547</v>
      </c>
      <c r="P219" s="48" t="str">
        <f t="shared" si="172"/>
        <v>304.285714285714</v>
      </c>
      <c r="Q219" s="17" t="str">
        <f t="shared" si="173"/>
        <v>1+334.795306510994i</v>
      </c>
      <c r="R219" s="17">
        <f t="shared" si="182"/>
        <v>334.79679995751218</v>
      </c>
      <c r="S219" s="17">
        <f t="shared" si="183"/>
        <v>1.5678094359791901</v>
      </c>
      <c r="T219" s="17" t="str">
        <f t="shared" si="174"/>
        <v>1+0.00694390265356133i</v>
      </c>
      <c r="U219" s="17">
        <f t="shared" si="184"/>
        <v>1.0000241086014188</v>
      </c>
      <c r="V219" s="17">
        <f t="shared" si="185"/>
        <v>6.9437910502571712E-3</v>
      </c>
      <c r="W219" s="31" t="str">
        <f t="shared" si="175"/>
        <v>1-0.0216996957923792i</v>
      </c>
      <c r="X219" s="17">
        <f t="shared" si="186"/>
        <v>1.0002354106896445</v>
      </c>
      <c r="Y219" s="17">
        <f t="shared" si="187"/>
        <v>-2.1696290793241479E-2</v>
      </c>
      <c r="Z219" s="31" t="str">
        <f t="shared" si="176"/>
        <v>0.999934252190191+0.191422762646743i</v>
      </c>
      <c r="AA219" s="17">
        <f t="shared" si="188"/>
        <v>1.018091932372744</v>
      </c>
      <c r="AB219" s="17">
        <f t="shared" si="189"/>
        <v>0.18914691946908743</v>
      </c>
      <c r="AC219" s="66" t="str">
        <f t="shared" si="190"/>
        <v>-0.178199821722253-0.874985831185622i</v>
      </c>
      <c r="AD219" s="64">
        <f t="shared" si="191"/>
        <v>-0.98348070435015267</v>
      </c>
      <c r="AE219" s="61">
        <f t="shared" si="192"/>
        <v>-101.51143992841403</v>
      </c>
      <c r="AF219" s="31" t="str">
        <f t="shared" si="177"/>
        <v>-1512.12121212121</v>
      </c>
      <c r="AG219" s="31" t="str">
        <f t="shared" si="193"/>
        <v>6429.53949403827i</v>
      </c>
      <c r="AH219" s="31">
        <f t="shared" si="194"/>
        <v>6429.5394940382703</v>
      </c>
      <c r="AI219" s="31">
        <f t="shared" si="195"/>
        <v>1.5707963267948966</v>
      </c>
      <c r="AJ219" s="31" t="str">
        <f t="shared" si="178"/>
        <v>0.820287556550141+8.86162210982965i</v>
      </c>
      <c r="AK219" s="31">
        <f t="shared" si="196"/>
        <v>8.8995066207544742</v>
      </c>
      <c r="AL219" s="31">
        <f t="shared" si="197"/>
        <v>1.478493062802128</v>
      </c>
      <c r="AM219" s="31" t="str">
        <f t="shared" si="179"/>
        <v>1+44.1323590870786i</v>
      </c>
      <c r="AN219" s="31">
        <f t="shared" si="198"/>
        <v>44.143687188440076</v>
      </c>
      <c r="AO219" s="31">
        <f t="shared" si="199"/>
        <v>1.5481410931230408</v>
      </c>
      <c r="AP219" s="31" t="str">
        <f t="shared" si="180"/>
        <v>1+1.6973984264261i</v>
      </c>
      <c r="AQ219" s="31">
        <f t="shared" si="200"/>
        <v>1.9700663486374768</v>
      </c>
      <c r="AR219" s="31">
        <f t="shared" si="201"/>
        <v>1.0384027134255409</v>
      </c>
      <c r="AS219" s="58" t="str">
        <f t="shared" si="202"/>
        <v>-2.05651040150245+1.02593746326048i</v>
      </c>
      <c r="AT219" s="49">
        <f t="shared" si="203"/>
        <v>7.2278053057308034</v>
      </c>
      <c r="AU219" s="61">
        <f t="shared" si="204"/>
        <v>153.48663110300353</v>
      </c>
      <c r="AV219" s="58" t="str">
        <f t="shared" si="181"/>
        <v>1.26415053095314+1.6165955899493i</v>
      </c>
      <c r="AW219" s="64">
        <f t="shared" si="205"/>
        <v>6.2443246013806668</v>
      </c>
      <c r="AX219" s="61">
        <f t="shared" si="206"/>
        <v>51.975191174589405</v>
      </c>
    </row>
    <row r="220" spans="14:50" x14ac:dyDescent="0.25">
      <c r="N220" s="10">
        <v>2</v>
      </c>
      <c r="O220" s="50">
        <f t="shared" ref="O220:O283" si="207">10^(3+(N220/100))</f>
        <v>1047.1285480509</v>
      </c>
      <c r="P220" s="48" t="str">
        <f t="shared" si="172"/>
        <v>304.285714285714</v>
      </c>
      <c r="Q220" s="17" t="str">
        <f t="shared" si="173"/>
        <v>1+342.593691001187i</v>
      </c>
      <c r="R220" s="17">
        <f t="shared" si="182"/>
        <v>342.59515045285855</v>
      </c>
      <c r="S220" s="17">
        <f t="shared" si="183"/>
        <v>1.5678774255241781</v>
      </c>
      <c r="T220" s="17" t="str">
        <f t="shared" si="174"/>
        <v>1+0.00710564692446905i</v>
      </c>
      <c r="U220" s="17">
        <f t="shared" si="184"/>
        <v>1.0000252447904578</v>
      </c>
      <c r="V220" s="17">
        <f t="shared" si="185"/>
        <v>7.1055273395371583E-3</v>
      </c>
      <c r="W220" s="31" t="str">
        <f t="shared" si="175"/>
        <v>1-0.0222051466389658i</v>
      </c>
      <c r="X220" s="17">
        <f t="shared" si="186"/>
        <v>1.000246503886546</v>
      </c>
      <c r="Y220" s="17">
        <f t="shared" si="187"/>
        <v>-2.2201498165215935E-2</v>
      </c>
      <c r="Z220" s="31" t="str">
        <f t="shared" si="176"/>
        <v>0.999931153591377+0.195881571579434i</v>
      </c>
      <c r="AA220" s="17">
        <f t="shared" si="188"/>
        <v>1.0189366525977024</v>
      </c>
      <c r="AB220" s="17">
        <f t="shared" si="189"/>
        <v>0.19344540270421118</v>
      </c>
      <c r="AC220" s="66" t="str">
        <f t="shared" si="190"/>
        <v>-0.178023384347774-0.853541459646387i</v>
      </c>
      <c r="AD220" s="64">
        <f t="shared" si="191"/>
        <v>-1.1905765351573192</v>
      </c>
      <c r="AE220" s="61">
        <f t="shared" si="192"/>
        <v>-101.78129983349639</v>
      </c>
      <c r="AF220" s="31" t="str">
        <f t="shared" si="177"/>
        <v>-1512.12121212121</v>
      </c>
      <c r="AG220" s="31" t="str">
        <f t="shared" si="193"/>
        <v>6579.30270784171i</v>
      </c>
      <c r="AH220" s="31">
        <f t="shared" si="194"/>
        <v>6579.3027078417099</v>
      </c>
      <c r="AI220" s="31">
        <f t="shared" si="195"/>
        <v>1.5707963267948966</v>
      </c>
      <c r="AJ220" s="31" t="str">
        <f t="shared" si="178"/>
        <v>0.811817970023669+9.06803580522887i</v>
      </c>
      <c r="AK220" s="31">
        <f t="shared" si="196"/>
        <v>9.1043023775227354</v>
      </c>
      <c r="AL220" s="31">
        <f t="shared" si="197"/>
        <v>1.4815091301022467</v>
      </c>
      <c r="AM220" s="31" t="str">
        <f t="shared" si="179"/>
        <v>1+45.1603337866254i</v>
      </c>
      <c r="AN220" s="31">
        <f t="shared" si="198"/>
        <v>45.171404092848604</v>
      </c>
      <c r="AO220" s="31">
        <f t="shared" si="199"/>
        <v>1.5486566187384045</v>
      </c>
      <c r="AP220" s="31" t="str">
        <f t="shared" si="180"/>
        <v>1+1.73693591487021i</v>
      </c>
      <c r="AQ220" s="31">
        <f t="shared" si="200"/>
        <v>2.0042321153913321</v>
      </c>
      <c r="AR220" s="31">
        <f t="shared" si="201"/>
        <v>1.048416249488344</v>
      </c>
      <c r="AS220" s="58" t="str">
        <f t="shared" si="202"/>
        <v>-2.05269675470695+1.00484648310116i</v>
      </c>
      <c r="AT220" s="49">
        <f t="shared" si="203"/>
        <v>7.1794334235834345</v>
      </c>
      <c r="AU220" s="61">
        <f t="shared" si="204"/>
        <v>153.91709397237125</v>
      </c>
      <c r="AV220" s="58" t="str">
        <f t="shared" si="181"/>
        <v>1.22310615721933+1.57317561255234i</v>
      </c>
      <c r="AW220" s="64">
        <f t="shared" si="205"/>
        <v>5.9888568884261071</v>
      </c>
      <c r="AX220" s="61">
        <f t="shared" si="206"/>
        <v>52.135794138874672</v>
      </c>
    </row>
    <row r="221" spans="14:50" x14ac:dyDescent="0.25">
      <c r="N221" s="10">
        <v>3</v>
      </c>
      <c r="O221" s="50">
        <f t="shared" si="207"/>
        <v>1071.5193052376069</v>
      </c>
      <c r="P221" s="48" t="str">
        <f t="shared" si="172"/>
        <v>304.285714285714</v>
      </c>
      <c r="Q221" s="17" t="str">
        <f t="shared" si="173"/>
        <v>1+350.573723201113i</v>
      </c>
      <c r="R221" s="17">
        <f t="shared" si="182"/>
        <v>350.57514943174539</v>
      </c>
      <c r="S221" s="17">
        <f t="shared" si="183"/>
        <v>1.5679438674642521</v>
      </c>
      <c r="T221" s="17" t="str">
        <f t="shared" si="174"/>
        <v>1+0.00727115870343047i</v>
      </c>
      <c r="U221" s="17">
        <f t="shared" si="184"/>
        <v>1.0000264345250531</v>
      </c>
      <c r="V221" s="17">
        <f t="shared" si="185"/>
        <v>7.2710305660502687E-3</v>
      </c>
      <c r="W221" s="31" t="str">
        <f t="shared" si="175"/>
        <v>1-0.0227223709482202i</v>
      </c>
      <c r="X221" s="17">
        <f t="shared" si="186"/>
        <v>1.0002581197578495</v>
      </c>
      <c r="Y221" s="17">
        <f t="shared" si="187"/>
        <v>-2.2718461592646601E-2</v>
      </c>
      <c r="Z221" s="31" t="str">
        <f t="shared" si="176"/>
        <v>0.999927908960101+0.200444239514176i</v>
      </c>
      <c r="AA221" s="17">
        <f t="shared" si="188"/>
        <v>1.0198204333468399</v>
      </c>
      <c r="AB221" s="17">
        <f t="shared" si="189"/>
        <v>0.19783656975611011</v>
      </c>
      <c r="AC221" s="66" t="str">
        <f t="shared" si="190"/>
        <v>-0.177828427067973-0.832554909375168i</v>
      </c>
      <c r="AD221" s="64">
        <f t="shared" si="191"/>
        <v>-1.3979941600015855</v>
      </c>
      <c r="AE221" s="61">
        <f t="shared" si="192"/>
        <v>-102.05683920163541</v>
      </c>
      <c r="AF221" s="31" t="str">
        <f t="shared" si="177"/>
        <v>-1512.12121212121</v>
      </c>
      <c r="AG221" s="31" t="str">
        <f t="shared" si="193"/>
        <v>6732.55435502821i</v>
      </c>
      <c r="AH221" s="31">
        <f t="shared" si="194"/>
        <v>6732.55435502821</v>
      </c>
      <c r="AI221" s="31">
        <f t="shared" si="195"/>
        <v>1.5707963267948966</v>
      </c>
      <c r="AJ221" s="31" t="str">
        <f t="shared" si="178"/>
        <v>0.802949224181614+9.27925749324167i</v>
      </c>
      <c r="AK221" s="31">
        <f t="shared" si="196"/>
        <v>9.3139329545845211</v>
      </c>
      <c r="AL221" s="31">
        <f t="shared" si="197"/>
        <v>1.4844797121677893</v>
      </c>
      <c r="AM221" s="31" t="str">
        <f t="shared" si="179"/>
        <v>1+46.2122530929135i</v>
      </c>
      <c r="AN221" s="31">
        <f t="shared" si="198"/>
        <v>46.22307146786649</v>
      </c>
      <c r="AO221" s="31">
        <f t="shared" si="199"/>
        <v>1.5491604209314496</v>
      </c>
      <c r="AP221" s="31" t="str">
        <f t="shared" si="180"/>
        <v>1+1.77739434972745i</v>
      </c>
      <c r="AQ221" s="31">
        <f t="shared" si="200"/>
        <v>2.039394683341865</v>
      </c>
      <c r="AR221" s="31">
        <f t="shared" si="201"/>
        <v>1.0583146921183704</v>
      </c>
      <c r="AS221" s="58" t="str">
        <f t="shared" si="202"/>
        <v>-2.0490472047286+0.984251072168601i</v>
      </c>
      <c r="AT221" s="49">
        <f t="shared" si="203"/>
        <v>7.1326742645590198</v>
      </c>
      <c r="AU221" s="61">
        <f t="shared" si="204"/>
        <v>154.34289688314234</v>
      </c>
      <c r="AV221" s="58" t="str">
        <f t="shared" si="181"/>
        <v>1.18382190359666+1.53091648983455i</v>
      </c>
      <c r="AW221" s="64">
        <f t="shared" si="205"/>
        <v>5.7346801045574383</v>
      </c>
      <c r="AX221" s="61">
        <f t="shared" si="206"/>
        <v>52.286057681506783</v>
      </c>
    </row>
    <row r="222" spans="14:50" x14ac:dyDescent="0.25">
      <c r="N222" s="10">
        <v>4</v>
      </c>
      <c r="O222" s="50">
        <f t="shared" si="207"/>
        <v>1096.4781961431863</v>
      </c>
      <c r="P222" s="48" t="str">
        <f t="shared" si="172"/>
        <v>304.285714285714</v>
      </c>
      <c r="Q222" s="17" t="str">
        <f t="shared" si="173"/>
        <v>1+358.739634229471i</v>
      </c>
      <c r="R222" s="17">
        <f t="shared" si="182"/>
        <v>358.74102799525821</v>
      </c>
      <c r="S222" s="17">
        <f t="shared" si="183"/>
        <v>1.5680087970254606</v>
      </c>
      <c r="T222" s="17" t="str">
        <f t="shared" si="174"/>
        <v>1+0.00744052574698161i</v>
      </c>
      <c r="U222" s="17">
        <f t="shared" si="184"/>
        <v>1.0000276803285955</v>
      </c>
      <c r="V222" s="17">
        <f t="shared" si="185"/>
        <v>7.4403884455102598E-3</v>
      </c>
      <c r="W222" s="31" t="str">
        <f t="shared" si="175"/>
        <v>1-0.0232516429593176i</v>
      </c>
      <c r="X222" s="17">
        <f t="shared" si="186"/>
        <v>1.0002702829237244</v>
      </c>
      <c r="Y222" s="17">
        <f t="shared" si="187"/>
        <v>-2.3247454070479463E-2</v>
      </c>
      <c r="Z222" s="31" t="str">
        <f t="shared" si="176"/>
        <v>0.999924511414063+0.205113185637901i</v>
      </c>
      <c r="AA222" s="17">
        <f t="shared" si="188"/>
        <v>1.020745045272903</v>
      </c>
      <c r="AB222" s="17">
        <f t="shared" si="189"/>
        <v>0.20232207496974181</v>
      </c>
      <c r="AC222" s="66" t="str">
        <f t="shared" si="190"/>
        <v>-0.177614680189399-0.812015404370472i</v>
      </c>
      <c r="AD222" s="64">
        <f t="shared" si="191"/>
        <v>-1.6057475526347131</v>
      </c>
      <c r="AE222" s="61">
        <f t="shared" si="192"/>
        <v>-102.33816545383691</v>
      </c>
      <c r="AF222" s="31" t="str">
        <f t="shared" si="177"/>
        <v>-1512.12121212121</v>
      </c>
      <c r="AG222" s="31" t="str">
        <f t="shared" si="193"/>
        <v>6889.37569164964i</v>
      </c>
      <c r="AH222" s="31">
        <f t="shared" si="194"/>
        <v>6889.3756916496404</v>
      </c>
      <c r="AI222" s="31">
        <f t="shared" si="195"/>
        <v>1.5707963267948966</v>
      </c>
      <c r="AJ222" s="31" t="str">
        <f t="shared" si="178"/>
        <v>0.79366250722499+9.49539916640288i</v>
      </c>
      <c r="AK222" s="31">
        <f t="shared" si="196"/>
        <v>9.5285101408719282</v>
      </c>
      <c r="AL222" s="31">
        <f t="shared" si="197"/>
        <v>1.4874062601079669</v>
      </c>
      <c r="AM222" s="31" t="str">
        <f t="shared" si="179"/>
        <v>1+47.288674747483i</v>
      </c>
      <c r="AN222" s="31">
        <f t="shared" si="198"/>
        <v>47.299246921840485</v>
      </c>
      <c r="AO222" s="31">
        <f t="shared" si="199"/>
        <v>1.5496527658011938</v>
      </c>
      <c r="AP222" s="31" t="str">
        <f t="shared" si="180"/>
        <v>1+1.8187951825955i</v>
      </c>
      <c r="AQ222" s="31">
        <f t="shared" si="200"/>
        <v>2.0755760444350377</v>
      </c>
      <c r="AR222" s="31">
        <f t="shared" si="201"/>
        <v>1.0680955302166271</v>
      </c>
      <c r="AS222" s="58" t="str">
        <f t="shared" si="202"/>
        <v>-2.04555454666234+0.964142727377156i</v>
      </c>
      <c r="AT222" s="49">
        <f t="shared" si="203"/>
        <v>7.0874922519045089</v>
      </c>
      <c r="AU222" s="61">
        <f t="shared" si="204"/>
        <v>154.76382806385953</v>
      </c>
      <c r="AV222" s="58" t="str">
        <f t="shared" si="181"/>
        <v>1.14621926325741+1.48977590018985i</v>
      </c>
      <c r="AW222" s="64">
        <f t="shared" si="205"/>
        <v>5.4817446992697896</v>
      </c>
      <c r="AX222" s="61">
        <f t="shared" si="206"/>
        <v>52.425662610022727</v>
      </c>
    </row>
    <row r="223" spans="14:50" x14ac:dyDescent="0.25">
      <c r="N223" s="10">
        <v>5</v>
      </c>
      <c r="O223" s="50">
        <f t="shared" si="207"/>
        <v>1122.0184543019636</v>
      </c>
      <c r="P223" s="48" t="str">
        <f t="shared" si="172"/>
        <v>304.285714285714</v>
      </c>
      <c r="Q223" s="17" t="str">
        <f t="shared" si="173"/>
        <v>1+367.095753760379i</v>
      </c>
      <c r="R223" s="17">
        <f t="shared" si="182"/>
        <v>367.09711580030267</v>
      </c>
      <c r="S223" s="17">
        <f t="shared" si="183"/>
        <v>1.568072248632125</v>
      </c>
      <c r="T223" s="17" t="str">
        <f t="shared" si="174"/>
        <v>1+0.00761383785577081i</v>
      </c>
      <c r="U223" s="17">
        <f t="shared" si="184"/>
        <v>1.0000289848433863</v>
      </c>
      <c r="V223" s="17">
        <f t="shared" si="185"/>
        <v>7.6136907348239224E-3</v>
      </c>
      <c r="W223" s="31" t="str">
        <f t="shared" si="175"/>
        <v>1-0.0237932432992838i</v>
      </c>
      <c r="X223" s="17">
        <f t="shared" si="186"/>
        <v>1.000283019163426</v>
      </c>
      <c r="Y223" s="17">
        <f t="shared" si="187"/>
        <v>-2.3788754892612805E-2</v>
      </c>
      <c r="Z223" s="31" t="str">
        <f t="shared" si="176"/>
        <v>0.999920953746613+0.209890885487645i</v>
      </c>
      <c r="AA223" s="17">
        <f t="shared" si="188"/>
        <v>1.0217123360086848</v>
      </c>
      <c r="AB223" s="17">
        <f t="shared" si="189"/>
        <v>0.20690357834566839</v>
      </c>
      <c r="AC223" s="66" t="str">
        <f t="shared" si="190"/>
        <v>-0.17738184692695-0.791912427131629i</v>
      </c>
      <c r="AD223" s="64">
        <f t="shared" si="191"/>
        <v>-1.8138512382971133</v>
      </c>
      <c r="AE223" s="61">
        <f t="shared" si="192"/>
        <v>-102.62538653316524</v>
      </c>
      <c r="AF223" s="31" t="str">
        <f t="shared" si="177"/>
        <v>-1512.12121212121</v>
      </c>
      <c r="AG223" s="31" t="str">
        <f t="shared" si="193"/>
        <v>7049.84986645445i</v>
      </c>
      <c r="AH223" s="31">
        <f t="shared" si="194"/>
        <v>7049.8498664544504</v>
      </c>
      <c r="AI223" s="31">
        <f t="shared" si="195"/>
        <v>1.5707963267948966</v>
      </c>
      <c r="AJ223" s="31" t="str">
        <f t="shared" si="178"/>
        <v>0.783938120782042+9.71657542588857i</v>
      </c>
      <c r="AK223" s="31">
        <f t="shared" si="196"/>
        <v>9.7481483874732291</v>
      </c>
      <c r="AL223" s="31">
        <f t="shared" si="197"/>
        <v>1.4902902096475714</v>
      </c>
      <c r="AM223" s="31" t="str">
        <f t="shared" si="179"/>
        <v>1+48.3901694833432i</v>
      </c>
      <c r="AN223" s="31">
        <f t="shared" si="198"/>
        <v>48.400501057599385</v>
      </c>
      <c r="AO223" s="31">
        <f t="shared" si="199"/>
        <v>1.5501339134400878</v>
      </c>
      <c r="AP223" s="31" t="str">
        <f t="shared" si="180"/>
        <v>1+1.86116036474397i</v>
      </c>
      <c r="AQ223" s="31">
        <f t="shared" si="200"/>
        <v>2.112798595061514</v>
      </c>
      <c r="AR223" s="31">
        <f t="shared" si="201"/>
        <v>1.0777564635394981</v>
      </c>
      <c r="AS223" s="58" t="str">
        <f t="shared" si="202"/>
        <v>-2.04221186228803+0.94451304787765i</v>
      </c>
      <c r="AT223" s="49">
        <f t="shared" si="203"/>
        <v>7.0438512594894087</v>
      </c>
      <c r="AU223" s="61">
        <f t="shared" si="204"/>
        <v>155.17968836150058</v>
      </c>
      <c r="AV223" s="58" t="str">
        <f t="shared" si="181"/>
        <v>1.11022293215106+1.44971348370238i</v>
      </c>
      <c r="AW223" s="64">
        <f t="shared" si="205"/>
        <v>5.230000021192307</v>
      </c>
      <c r="AX223" s="61">
        <f t="shared" si="206"/>
        <v>52.554301828335369</v>
      </c>
    </row>
    <row r="224" spans="14:50" x14ac:dyDescent="0.25">
      <c r="N224" s="10">
        <v>6</v>
      </c>
      <c r="O224" s="50">
        <f t="shared" si="207"/>
        <v>1148.1536214968839</v>
      </c>
      <c r="P224" s="48" t="str">
        <f t="shared" si="172"/>
        <v>304.285714285714</v>
      </c>
      <c r="Q224" s="17" t="str">
        <f t="shared" si="173"/>
        <v>1+375.646512319017i</v>
      </c>
      <c r="R224" s="17">
        <f t="shared" si="182"/>
        <v>375.64784335523797</v>
      </c>
      <c r="S224" s="17">
        <f t="shared" si="183"/>
        <v>1.5681342559250824</v>
      </c>
      <c r="T224" s="17" t="str">
        <f t="shared" si="174"/>
        <v>1+0.00779118692217219i</v>
      </c>
      <c r="U224" s="17">
        <f t="shared" si="184"/>
        <v>1.0000303508362416</v>
      </c>
      <c r="V224" s="17">
        <f t="shared" si="185"/>
        <v>7.791029279495796E-3</v>
      </c>
      <c r="W224" s="31" t="str">
        <f t="shared" si="175"/>
        <v>1-0.0243474591317881i</v>
      </c>
      <c r="X224" s="17">
        <f t="shared" si="186"/>
        <v>1.0002963554698048</v>
      </c>
      <c r="Y224" s="17">
        <f t="shared" si="187"/>
        <v>-2.4342649794342894E-2</v>
      </c>
      <c r="Z224" s="31" t="str">
        <f t="shared" si="176"/>
        <v>0.999917228411462+0.21477987226311i</v>
      </c>
      <c r="AA224" s="17">
        <f t="shared" si="188"/>
        <v>1.022724233214124</v>
      </c>
      <c r="AB224" s="17">
        <f t="shared" si="189"/>
        <v>0.21158274368402086</v>
      </c>
      <c r="AC224" s="66" t="str">
        <f t="shared" si="190"/>
        <v>-0.177129603851823-0.772235714266131i</v>
      </c>
      <c r="AD224" s="64">
        <f t="shared" si="191"/>
        <v>-2.0223203102969762</v>
      </c>
      <c r="AE224" s="61">
        <f t="shared" si="192"/>
        <v>-102.91861080489048</v>
      </c>
      <c r="AF224" s="31" t="str">
        <f t="shared" si="177"/>
        <v>-1512.12121212121</v>
      </c>
      <c r="AG224" s="31" t="str">
        <f t="shared" si="193"/>
        <v>7214.06196497425i</v>
      </c>
      <c r="AH224" s="31">
        <f t="shared" si="194"/>
        <v>7214.0619649742503</v>
      </c>
      <c r="AI224" s="31">
        <f t="shared" si="195"/>
        <v>1.5707963267948966</v>
      </c>
      <c r="AJ224" s="31" t="str">
        <f t="shared" si="178"/>
        <v>0.77375543812535+9.94290354227917i</v>
      </c>
      <c r="AK224" s="31">
        <f t="shared" si="196"/>
        <v>9.9729648715462869</v>
      </c>
      <c r="AL224" s="31">
        <f t="shared" si="197"/>
        <v>1.4931329813673335</v>
      </c>
      <c r="AM224" s="31" t="str">
        <f t="shared" si="179"/>
        <v>1+49.5173213275831i</v>
      </c>
      <c r="AN224" s="31">
        <f t="shared" si="198"/>
        <v>49.527417774997275</v>
      </c>
      <c r="AO224" s="31">
        <f t="shared" si="199"/>
        <v>1.5506041180673704</v>
      </c>
      <c r="AP224" s="31" t="str">
        <f t="shared" si="180"/>
        <v>1+1.9045123587532i</v>
      </c>
      <c r="AQ224" s="31">
        <f t="shared" si="200"/>
        <v>2.1510851504865345</v>
      </c>
      <c r="AR224" s="31">
        <f t="shared" si="201"/>
        <v>1.087295400145172</v>
      </c>
      <c r="AS224" s="58" t="str">
        <f t="shared" si="202"/>
        <v>-2.03901250932451+0.925353740321557i</v>
      </c>
      <c r="AT224" s="49">
        <f t="shared" si="203"/>
        <v>7.0017147191670315</v>
      </c>
      <c r="AU224" s="61">
        <f t="shared" si="204"/>
        <v>155.59029108903783</v>
      </c>
      <c r="AV224" s="58" t="str">
        <f t="shared" si="181"/>
        <v>1.07576068463162+1.41069074008983i</v>
      </c>
      <c r="AW224" s="64">
        <f t="shared" si="205"/>
        <v>4.9793944088700712</v>
      </c>
      <c r="AX224" s="61">
        <f t="shared" si="206"/>
        <v>52.671680284147271</v>
      </c>
    </row>
    <row r="225" spans="14:50" x14ac:dyDescent="0.25">
      <c r="N225" s="10">
        <v>7</v>
      </c>
      <c r="O225" s="50">
        <f t="shared" si="207"/>
        <v>1174.8975549395295</v>
      </c>
      <c r="P225" s="48" t="str">
        <f t="shared" si="172"/>
        <v>304.285714285714</v>
      </c>
      <c r="Q225" s="17" t="str">
        <f t="shared" si="173"/>
        <v>1+384.396443630756i</v>
      </c>
      <c r="R225" s="17">
        <f t="shared" si="182"/>
        <v>384.39774436899722</v>
      </c>
      <c r="S225" s="17">
        <f t="shared" si="183"/>
        <v>1.5681948517795117</v>
      </c>
      <c r="T225" s="17" t="str">
        <f t="shared" si="174"/>
        <v>1+0.00797266697900825i</v>
      </c>
      <c r="U225" s="17">
        <f t="shared" si="184"/>
        <v>1.0000317812043567</v>
      </c>
      <c r="V225" s="17">
        <f t="shared" si="185"/>
        <v>7.9724980621270949E-3</v>
      </c>
      <c r="W225" s="31" t="str">
        <f t="shared" si="175"/>
        <v>1-0.0249145843094008i</v>
      </c>
      <c r="X225" s="17">
        <f t="shared" si="186"/>
        <v>1.000310320106371</v>
      </c>
      <c r="Y225" s="17">
        <f t="shared" si="187"/>
        <v>-2.4909431097821646E-2</v>
      </c>
      <c r="Z225" s="31" t="str">
        <f t="shared" si="176"/>
        <v>0.999913327506674+0.219782738169796i</v>
      </c>
      <c r="AA225" s="17">
        <f t="shared" si="188"/>
        <v>1.023782747716957</v>
      </c>
      <c r="AB225" s="17">
        <f t="shared" si="189"/>
        <v>0.21636123658296103</v>
      </c>
      <c r="AC225" s="66" t="str">
        <f t="shared" si="190"/>
        <v>-0.176857601366332-0.752975252275852i</v>
      </c>
      <c r="AD225" s="64">
        <f t="shared" si="191"/>
        <v>-2.2311704465971784</v>
      </c>
      <c r="AE225" s="61">
        <f t="shared" si="192"/>
        <v>-103.2179469483859</v>
      </c>
      <c r="AF225" s="31" t="str">
        <f t="shared" si="177"/>
        <v>-1512.12121212121</v>
      </c>
      <c r="AG225" s="31" t="str">
        <f t="shared" si="193"/>
        <v>7382.09905463727i</v>
      </c>
      <c r="AH225" s="31">
        <f t="shared" si="194"/>
        <v>7382.0990546372695</v>
      </c>
      <c r="AI225" s="31">
        <f t="shared" si="195"/>
        <v>1.5707963267948966</v>
      </c>
      <c r="AJ225" s="31" t="str">
        <f t="shared" si="178"/>
        <v>0.763092860419786+10.1745035177378i</v>
      </c>
      <c r="AK225" s="31">
        <f t="shared" si="196"/>
        <v>10.203079561881429</v>
      </c>
      <c r="AL225" s="31">
        <f t="shared" si="197"/>
        <v>1.4959359809682959</v>
      </c>
      <c r="AM225" s="31" t="str">
        <f t="shared" si="179"/>
        <v>1+50.6707279110301i</v>
      </c>
      <c r="AN225" s="31">
        <f t="shared" si="198"/>
        <v>50.680594580506302</v>
      </c>
      <c r="AO225" s="31">
        <f t="shared" si="199"/>
        <v>1.5510636281596129</v>
      </c>
      <c r="AP225" s="31" t="str">
        <f t="shared" si="180"/>
        <v>1+1.94887415042424i</v>
      </c>
      <c r="AQ225" s="31">
        <f t="shared" si="200"/>
        <v>2.190458959714106</v>
      </c>
      <c r="AR225" s="31">
        <f t="shared" si="201"/>
        <v>1.0967104531924949</v>
      </c>
      <c r="AS225" s="58" t="str">
        <f t="shared" si="202"/>
        <v>-2.03595011094057+0.906656623597235i</v>
      </c>
      <c r="AT225" s="49">
        <f t="shared" si="203"/>
        <v>6.9610457238896215</v>
      </c>
      <c r="AU225" s="61">
        <f t="shared" si="204"/>
        <v>155.99546183435845</v>
      </c>
      <c r="AV225" s="58" t="str">
        <f t="shared" si="181"/>
        <v>1.04276325300317+1.37267093269422i</v>
      </c>
      <c r="AW225" s="64">
        <f t="shared" si="205"/>
        <v>4.7298752772924466</v>
      </c>
      <c r="AX225" s="61">
        <f t="shared" si="206"/>
        <v>52.777514885972465</v>
      </c>
    </row>
    <row r="226" spans="14:50" x14ac:dyDescent="0.25">
      <c r="N226" s="10">
        <v>8</v>
      </c>
      <c r="O226" s="50">
        <f t="shared" si="207"/>
        <v>1202.2644346174138</v>
      </c>
      <c r="P226" s="48" t="str">
        <f t="shared" si="172"/>
        <v>304.285714285714</v>
      </c>
      <c r="Q226" s="17" t="str">
        <f t="shared" si="173"/>
        <v>1+393.350187024997i</v>
      </c>
      <c r="R226" s="17">
        <f t="shared" si="182"/>
        <v>393.35145815491785</v>
      </c>
      <c r="S226" s="17">
        <f t="shared" si="183"/>
        <v>1.568254068322356</v>
      </c>
      <c r="T226" s="17" t="str">
        <f t="shared" si="174"/>
        <v>1+0.00815837424940733i</v>
      </c>
      <c r="U226" s="17">
        <f t="shared" si="184"/>
        <v>1.0000332789814514</v>
      </c>
      <c r="V226" s="17">
        <f t="shared" si="185"/>
        <v>8.1581932520334976E-3</v>
      </c>
      <c r="W226" s="31" t="str">
        <f t="shared" si="175"/>
        <v>1-0.0254949195293979i</v>
      </c>
      <c r="X226" s="17">
        <f t="shared" si="186"/>
        <v>1.0003249426670369</v>
      </c>
      <c r="Y226" s="17">
        <f t="shared" si="187"/>
        <v>-2.5489397860576617E-2</v>
      </c>
      <c r="Z226" s="31" t="str">
        <f t="shared" si="176"/>
        <v>0.999909242757908+0.224902135793428i</v>
      </c>
      <c r="AA226" s="17">
        <f t="shared" si="188"/>
        <v>1.0248899767473281</v>
      </c>
      <c r="AB226" s="17">
        <f t="shared" si="189"/>
        <v>0.2212407222850995</v>
      </c>
      <c r="AC226" s="66" t="str">
        <f t="shared" si="190"/>
        <v>-0.176565464212006-0.734121273519441i</v>
      </c>
      <c r="AD226" s="64">
        <f t="shared" si="191"/>
        <v>-2.4404179263521093</v>
      </c>
      <c r="AE226" s="61">
        <f t="shared" si="192"/>
        <v>-103.52350384040142</v>
      </c>
      <c r="AF226" s="31" t="str">
        <f t="shared" si="177"/>
        <v>-1512.12121212121</v>
      </c>
      <c r="AG226" s="31" t="str">
        <f t="shared" si="193"/>
        <v>7554.05023093271i</v>
      </c>
      <c r="AH226" s="31">
        <f t="shared" si="194"/>
        <v>7554.0502309327103</v>
      </c>
      <c r="AI226" s="31">
        <f t="shared" si="195"/>
        <v>1.5707963267948966</v>
      </c>
      <c r="AJ226" s="31" t="str">
        <f t="shared" si="178"/>
        <v>0.751927770908479+10.4114981496369i</v>
      </c>
      <c r="AK226" s="31">
        <f t="shared" si="196"/>
        <v>10.438615286164923</v>
      </c>
      <c r="AL226" s="31">
        <f t="shared" si="197"/>
        <v>1.4987005995583771</v>
      </c>
      <c r="AM226" s="31" t="str">
        <f t="shared" si="179"/>
        <v>1+51.851000785122i</v>
      </c>
      <c r="AN226" s="31">
        <f t="shared" si="198"/>
        <v>51.860642904024267</v>
      </c>
      <c r="AO226" s="31">
        <f t="shared" si="199"/>
        <v>1.5515126865785005</v>
      </c>
      <c r="AP226" s="31" t="str">
        <f t="shared" si="180"/>
        <v>1+1.99426926096623i</v>
      </c>
      <c r="AQ226" s="31">
        <f t="shared" si="200"/>
        <v>2.2309437207681402</v>
      </c>
      <c r="AR226" s="31">
        <f t="shared" si="201"/>
        <v>1.1059999371466869</v>
      </c>
      <c r="AS226" s="58" t="str">
        <f t="shared" si="202"/>
        <v>-2.03301854552704+0.888413633072469i</v>
      </c>
      <c r="AT226" s="49">
        <f t="shared" si="203"/>
        <v>6.9218071262906111</v>
      </c>
      <c r="AU226" s="61">
        <f t="shared" si="204"/>
        <v>156.39503823377012</v>
      </c>
      <c r="AV226" s="58" t="str">
        <f t="shared" si="181"/>
        <v>1.01116421096579+1.33561899819524i</v>
      </c>
      <c r="AW226" s="64">
        <f t="shared" si="205"/>
        <v>4.4813891999385014</v>
      </c>
      <c r="AX226" s="61">
        <f t="shared" si="206"/>
        <v>52.871534393368862</v>
      </c>
    </row>
    <row r="227" spans="14:50" x14ac:dyDescent="0.25">
      <c r="N227" s="10">
        <v>9</v>
      </c>
      <c r="O227" s="50">
        <f t="shared" si="207"/>
        <v>1230.2687708123824</v>
      </c>
      <c r="P227" s="48" t="str">
        <f t="shared" si="172"/>
        <v>304.285714285714</v>
      </c>
      <c r="Q227" s="17" t="str">
        <f t="shared" si="173"/>
        <v>1+402.512489895003i</v>
      </c>
      <c r="R227" s="17">
        <f t="shared" si="182"/>
        <v>402.51373209056464</v>
      </c>
      <c r="S227" s="17">
        <f t="shared" si="183"/>
        <v>1.5683119369493483</v>
      </c>
      <c r="T227" s="17" t="str">
        <f t="shared" si="174"/>
        <v>1+0.00834840719782227i</v>
      </c>
      <c r="U227" s="17">
        <f t="shared" si="184"/>
        <v>1.0000348473442016</v>
      </c>
      <c r="V227" s="17">
        <f t="shared" si="185"/>
        <v>8.3482132560070092E-3</v>
      </c>
      <c r="W227" s="31" t="str">
        <f t="shared" si="175"/>
        <v>1-0.0260887724931946i</v>
      </c>
      <c r="X227" s="17">
        <f t="shared" si="186"/>
        <v>1.0003402541386615</v>
      </c>
      <c r="Y227" s="17">
        <f t="shared" si="187"/>
        <v>-2.6082856027140475E-2</v>
      </c>
      <c r="Z227" s="31" t="str">
        <f t="shared" si="176"/>
        <v>0.999904965500863+0.230140779506389i</v>
      </c>
      <c r="AA227" s="17">
        <f t="shared" si="188"/>
        <v>1.0260481072664627</v>
      </c>
      <c r="AB227" s="17">
        <f t="shared" si="189"/>
        <v>0.2262228633653191</v>
      </c>
      <c r="AC227" s="66" t="str">
        <f t="shared" si="190"/>
        <v>-0.17625279201763-0.715664252347735i</v>
      </c>
      <c r="AD227" s="64">
        <f t="shared" si="191"/>
        <v>-2.6500796463323328</v>
      </c>
      <c r="AE227" s="61">
        <f t="shared" si="192"/>
        <v>-103.83539042934051</v>
      </c>
      <c r="AF227" s="31" t="str">
        <f t="shared" si="177"/>
        <v>-1512.12121212121</v>
      </c>
      <c r="AG227" s="31" t="str">
        <f t="shared" si="193"/>
        <v>7730.00666465025i</v>
      </c>
      <c r="AH227" s="31">
        <f t="shared" si="194"/>
        <v>7730.0066646502501</v>
      </c>
      <c r="AI227" s="31">
        <f t="shared" si="195"/>
        <v>1.5707963267948966</v>
      </c>
      <c r="AJ227" s="31" t="str">
        <f t="shared" si="178"/>
        <v>0.740236486939645+10.6540130956675i</v>
      </c>
      <c r="AK227" s="31">
        <f t="shared" si="196"/>
        <v>10.679697799996561</v>
      </c>
      <c r="AL227" s="31">
        <f t="shared" si="197"/>
        <v>1.5014282139594206</v>
      </c>
      <c r="AM227" s="31" t="str">
        <f t="shared" si="179"/>
        <v>1+53.0587657461592i</v>
      </c>
      <c r="AN227" s="31">
        <f t="shared" si="198"/>
        <v>53.068188423063745</v>
      </c>
      <c r="AO227" s="31">
        <f t="shared" si="199"/>
        <v>1.5519515306959022</v>
      </c>
      <c r="AP227" s="31" t="str">
        <f t="shared" si="180"/>
        <v>1+2.04072175946766i</v>
      </c>
      <c r="AQ227" s="31">
        <f t="shared" si="200"/>
        <v>2.2725635963740998</v>
      </c>
      <c r="AR227" s="31">
        <f t="shared" si="201"/>
        <v>1.1151623634471792</v>
      </c>
      <c r="AS227" s="58" t="str">
        <f t="shared" si="202"/>
        <v>-2.03021193673329+0.870616824375928i</v>
      </c>
      <c r="AT227" s="49">
        <f t="shared" si="203"/>
        <v>6.8839616325012294</v>
      </c>
      <c r="AU227" s="61">
        <f t="shared" si="204"/>
        <v>156.78886971336041</v>
      </c>
      <c r="AV227" s="58" t="str">
        <f t="shared" si="181"/>
        <v>0.98089986093512+1.2995014617359i</v>
      </c>
      <c r="AW227" s="64">
        <f t="shared" si="205"/>
        <v>4.2338819861689085</v>
      </c>
      <c r="AX227" s="61">
        <f t="shared" si="206"/>
        <v>52.95347928401997</v>
      </c>
    </row>
    <row r="228" spans="14:50" x14ac:dyDescent="0.25">
      <c r="N228" s="10">
        <v>10</v>
      </c>
      <c r="O228" s="50">
        <f t="shared" si="207"/>
        <v>1258.925411794168</v>
      </c>
      <c r="P228" s="48" t="str">
        <f t="shared" si="172"/>
        <v>304.285714285714</v>
      </c>
      <c r="Q228" s="17" t="str">
        <f t="shared" si="173"/>
        <v>1+411.888210215035i</v>
      </c>
      <c r="R228" s="17">
        <f t="shared" si="182"/>
        <v>411.88942413485785</v>
      </c>
      <c r="S228" s="17">
        <f t="shared" si="183"/>
        <v>1.5683684883416491</v>
      </c>
      <c r="T228" s="17" t="str">
        <f t="shared" si="174"/>
        <v>1+0.00854286658223774i</v>
      </c>
      <c r="U228" s="17">
        <f t="shared" si="184"/>
        <v>1.0000364896189748</v>
      </c>
      <c r="V228" s="17">
        <f t="shared" si="185"/>
        <v>8.5426587702481273E-3</v>
      </c>
      <c r="W228" s="31" t="str">
        <f t="shared" si="175"/>
        <v>1-0.026696458069493i</v>
      </c>
      <c r="X228" s="17">
        <f t="shared" si="186"/>
        <v>1.0003562869665268</v>
      </c>
      <c r="Y228" s="17">
        <f t="shared" si="187"/>
        <v>-2.6690118583838348E-2</v>
      </c>
      <c r="Z228" s="31" t="str">
        <f t="shared" si="176"/>
        <v>0.999900486662904+0.235501446906918i</v>
      </c>
      <c r="AA228" s="17">
        <f t="shared" si="188"/>
        <v>1.0272594193892624</v>
      </c>
      <c r="AB228" s="17">
        <f t="shared" si="189"/>
        <v>0.23130931725353618</v>
      </c>
      <c r="AC228" s="66" t="str">
        <f t="shared" si="190"/>
        <v>-0.175919159894186-0.697594901408826i</v>
      </c>
      <c r="AD228" s="64">
        <f t="shared" si="191"/>
        <v>-2.8601731371676689</v>
      </c>
      <c r="AE228" s="61">
        <f t="shared" si="192"/>
        <v>-104.15371560017148</v>
      </c>
      <c r="AF228" s="31" t="str">
        <f t="shared" si="177"/>
        <v>-1512.12121212121</v>
      </c>
      <c r="AG228" s="31" t="str">
        <f t="shared" si="193"/>
        <v>7910.06165022013i</v>
      </c>
      <c r="AH228" s="31">
        <f t="shared" si="194"/>
        <v>7910.0616502201301</v>
      </c>
      <c r="AI228" s="31">
        <f t="shared" si="195"/>
        <v>1.5707963267948966</v>
      </c>
      <c r="AJ228" s="31" t="str">
        <f t="shared" si="178"/>
        <v>0.72799420973251+10.9021769404639i</v>
      </c>
      <c r="AK228" s="31">
        <f t="shared" si="196"/>
        <v>10.926455857714654</v>
      </c>
      <c r="AL228" s="31">
        <f t="shared" si="197"/>
        <v>1.5041201870331227</v>
      </c>
      <c r="AM228" s="31" t="str">
        <f t="shared" si="179"/>
        <v>1+54.2946631671109i</v>
      </c>
      <c r="AN228" s="31">
        <f t="shared" si="198"/>
        <v>54.303871394496632</v>
      </c>
      <c r="AO228" s="31">
        <f t="shared" si="199"/>
        <v>1.5523803925162742</v>
      </c>
      <c r="AP228" s="31" t="str">
        <f t="shared" si="180"/>
        <v>1+2.08825627565811i</v>
      </c>
      <c r="AQ228" s="31">
        <f t="shared" si="200"/>
        <v>2.315343230025622</v>
      </c>
      <c r="AR228" s="31">
        <f t="shared" si="201"/>
        <v>1.1241964356929992</v>
      </c>
      <c r="AS228" s="58" t="str">
        <f t="shared" si="202"/>
        <v>-2.02752464376976+0.853258376748542i</v>
      </c>
      <c r="AT228" s="49">
        <f t="shared" si="203"/>
        <v>6.8474718910177774</v>
      </c>
      <c r="AU228" s="61">
        <f t="shared" si="204"/>
        <v>157.17681720147783</v>
      </c>
      <c r="AV228" s="58" t="str">
        <f t="shared" si="181"/>
        <v>0.951909125200889+1.26428635716425i</v>
      </c>
      <c r="AW228" s="64">
        <f t="shared" si="205"/>
        <v>3.9872987538501095</v>
      </c>
      <c r="AX228" s="61">
        <f t="shared" si="206"/>
        <v>53.023101601306344</v>
      </c>
    </row>
    <row r="229" spans="14:50" x14ac:dyDescent="0.25">
      <c r="N229" s="10">
        <v>11</v>
      </c>
      <c r="O229" s="50">
        <f t="shared" si="207"/>
        <v>1288.2495516931347</v>
      </c>
      <c r="P229" s="48" t="str">
        <f t="shared" si="172"/>
        <v>304.285714285714</v>
      </c>
      <c r="Q229" s="17" t="str">
        <f t="shared" si="173"/>
        <v>1+421.482319116107i</v>
      </c>
      <c r="R229" s="17">
        <f t="shared" si="182"/>
        <v>421.48350540381989</v>
      </c>
      <c r="S229" s="17">
        <f t="shared" si="183"/>
        <v>1.5684237524821074</v>
      </c>
      <c r="T229" s="17" t="str">
        <f t="shared" si="174"/>
        <v>1+0.00874185550759331i</v>
      </c>
      <c r="U229" s="17">
        <f t="shared" si="184"/>
        <v>1.0000382092888829</v>
      </c>
      <c r="V229" s="17">
        <f t="shared" si="185"/>
        <v>8.7416328334940802E-3</v>
      </c>
      <c r="W229" s="31" t="str">
        <f t="shared" si="175"/>
        <v>1-0.0273182984612291i</v>
      </c>
      <c r="X229" s="17">
        <f t="shared" si="186"/>
        <v>1.0003730751228848</v>
      </c>
      <c r="Y229" s="17">
        <f t="shared" si="187"/>
        <v>-2.7311505716778643E-2</v>
      </c>
      <c r="Z229" s="31" t="str">
        <f t="shared" si="176"/>
        <v>0.999895796743815+0.240986980291827i</v>
      </c>
      <c r="AA229" s="17">
        <f t="shared" si="188"/>
        <v>1.0285262899003225</v>
      </c>
      <c r="AB229" s="17">
        <f t="shared" si="189"/>
        <v>0.23650173358602833</v>
      </c>
      <c r="AC229" s="66" t="str">
        <f t="shared" si="190"/>
        <v>-0.175564119083908-0.679904168119053i</v>
      </c>
      <c r="AD229" s="64">
        <f t="shared" si="191"/>
        <v>-3.0707165793323794</v>
      </c>
      <c r="AE229" s="61">
        <f t="shared" si="192"/>
        <v>-104.47858802960945</v>
      </c>
      <c r="AF229" s="31" t="str">
        <f t="shared" si="177"/>
        <v>-1512.12121212121</v>
      </c>
      <c r="AG229" s="31" t="str">
        <f t="shared" si="193"/>
        <v>8094.31065517899i</v>
      </c>
      <c r="AH229" s="31">
        <f t="shared" si="194"/>
        <v>8094.3106551789897</v>
      </c>
      <c r="AI229" s="31">
        <f t="shared" si="195"/>
        <v>1.5707963267948966</v>
      </c>
      <c r="AJ229" s="31" t="str">
        <f t="shared" si="178"/>
        <v>0.715174971775766+11.1561212637816i</v>
      </c>
      <c r="AK229" s="31">
        <f t="shared" si="196"/>
        <v>11.179021285088174</v>
      </c>
      <c r="AL229" s="31">
        <f t="shared" si="197"/>
        <v>1.50677786802436</v>
      </c>
      <c r="AM229" s="31" t="str">
        <f t="shared" si="179"/>
        <v>1+55.5593483371485i</v>
      </c>
      <c r="AN229" s="31">
        <f t="shared" si="198"/>
        <v>55.568346994027145</v>
      </c>
      <c r="AO229" s="31">
        <f t="shared" si="199"/>
        <v>1.5527994987964502</v>
      </c>
      <c r="AP229" s="31" t="str">
        <f t="shared" si="180"/>
        <v>1+2.13689801296725i</v>
      </c>
      <c r="AQ229" s="31">
        <f t="shared" si="200"/>
        <v>2.3593077624217198</v>
      </c>
      <c r="AR229" s="31">
        <f t="shared" si="201"/>
        <v>1.1331010444007528</v>
      </c>
      <c r="AS229" s="58" t="str">
        <f t="shared" si="202"/>
        <v>-2.0249512519769+0.836330595994026i</v>
      </c>
      <c r="AT229" s="49">
        <f t="shared" si="203"/>
        <v>6.812300576483409</v>
      </c>
      <c r="AU229" s="61">
        <f t="shared" si="204"/>
        <v>157.55875281557894</v>
      </c>
      <c r="AV229" s="58" t="str">
        <f t="shared" si="181"/>
        <v>0.924133440883011+1.22994315210838i</v>
      </c>
      <c r="AW229" s="64">
        <f t="shared" si="205"/>
        <v>3.741583997151039</v>
      </c>
      <c r="AX229" s="61">
        <f t="shared" si="206"/>
        <v>53.080164785969529</v>
      </c>
    </row>
    <row r="230" spans="14:50" x14ac:dyDescent="0.25">
      <c r="N230" s="10">
        <v>12</v>
      </c>
      <c r="O230" s="50">
        <f t="shared" si="207"/>
        <v>1318.2567385564089</v>
      </c>
      <c r="P230" s="48" t="str">
        <f t="shared" si="172"/>
        <v>304.285714285714</v>
      </c>
      <c r="Q230" s="17" t="str">
        <f t="shared" si="173"/>
        <v>1+431.299903521753i</v>
      </c>
      <c r="R230" s="17">
        <f t="shared" si="182"/>
        <v>431.30106280633413</v>
      </c>
      <c r="S230" s="17">
        <f t="shared" si="183"/>
        <v>1.5684777586711514</v>
      </c>
      <c r="T230" s="17" t="str">
        <f t="shared" si="174"/>
        <v>1+0.00894547948045116i</v>
      </c>
      <c r="U230" s="17">
        <f t="shared" si="184"/>
        <v>1.0000400100011675</v>
      </c>
      <c r="V230" s="17">
        <f t="shared" si="185"/>
        <v>8.9452408813706242E-3</v>
      </c>
      <c r="W230" s="31" t="str">
        <f t="shared" si="175"/>
        <v>1-0.0279546233764099i</v>
      </c>
      <c r="X230" s="17">
        <f t="shared" si="186"/>
        <v>1.0003906541787149</v>
      </c>
      <c r="Y230" s="17">
        <f t="shared" si="187"/>
        <v>-2.7947344973095738E-2</v>
      </c>
      <c r="Z230" s="31" t="str">
        <f t="shared" si="176"/>
        <v>0.999890885795649+0.246600288163528i</v>
      </c>
      <c r="AA230" s="17">
        <f t="shared" si="188"/>
        <v>1.0298511958625587</v>
      </c>
      <c r="AB230" s="17">
        <f t="shared" si="189"/>
        <v>0.24180175137913415</v>
      </c>
      <c r="AC230" s="66" t="str">
        <f t="shared" si="190"/>
        <v>-0.175187197670931-0.662583231295715i</v>
      </c>
      <c r="AD230" s="64">
        <f t="shared" si="191"/>
        <v>-3.2817288187898557</v>
      </c>
      <c r="AE230" s="61">
        <f t="shared" si="192"/>
        <v>-104.81011603121591</v>
      </c>
      <c r="AF230" s="31" t="str">
        <f t="shared" si="177"/>
        <v>-1512.12121212121</v>
      </c>
      <c r="AG230" s="31" t="str">
        <f t="shared" si="193"/>
        <v>8282.85137078811i</v>
      </c>
      <c r="AH230" s="31">
        <f t="shared" si="194"/>
        <v>8282.8513707881102</v>
      </c>
      <c r="AI230" s="31">
        <f t="shared" si="195"/>
        <v>1.5707963267948966</v>
      </c>
      <c r="AJ230" s="31" t="str">
        <f t="shared" si="178"/>
        <v>0.701751581747+11.415980710262i</v>
      </c>
      <c r="AK230" s="31">
        <f t="shared" si="196"/>
        <v>11.437529053932867</v>
      </c>
      <c r="AL230" s="31">
        <f t="shared" si="197"/>
        <v>1.5094025929205128</v>
      </c>
      <c r="AM230" s="31" t="str">
        <f t="shared" si="179"/>
        <v>1+56.8534918090895i</v>
      </c>
      <c r="AN230" s="31">
        <f t="shared" si="198"/>
        <v>56.862285663576756</v>
      </c>
      <c r="AO230" s="31">
        <f t="shared" si="199"/>
        <v>1.553209071162861</v>
      </c>
      <c r="AP230" s="31" t="str">
        <f t="shared" si="180"/>
        <v>1+2.18667276188806i</v>
      </c>
      <c r="AQ230" s="31">
        <f t="shared" si="200"/>
        <v>2.4044828482613796</v>
      </c>
      <c r="AR230" s="31">
        <f t="shared" si="201"/>
        <v>1.1418752613893763</v>
      </c>
      <c r="AS230" s="58" t="str">
        <f t="shared" si="202"/>
        <v>-2.02248656366014+0.819825917056461i</v>
      </c>
      <c r="AT230" s="49">
        <f t="shared" si="203"/>
        <v>6.7784104682951742</v>
      </c>
      <c r="AU230" s="61">
        <f t="shared" si="204"/>
        <v>157.93455952662717</v>
      </c>
      <c r="AV230" s="58" t="str">
        <f t="shared" si="181"/>
        <v>0.897516658637974+1.19644267761498i</v>
      </c>
      <c r="AW230" s="64">
        <f t="shared" si="205"/>
        <v>3.4966816495053221</v>
      </c>
      <c r="AX230" s="61">
        <f t="shared" si="206"/>
        <v>53.124443495411228</v>
      </c>
    </row>
    <row r="231" spans="14:50" x14ac:dyDescent="0.25">
      <c r="N231" s="10">
        <v>13</v>
      </c>
      <c r="O231" s="50">
        <f t="shared" si="207"/>
        <v>1348.9628825916541</v>
      </c>
      <c r="P231" s="48" t="str">
        <f t="shared" si="172"/>
        <v>304.285714285714</v>
      </c>
      <c r="Q231" s="17" t="str">
        <f t="shared" si="173"/>
        <v>1+441.346168845175i</v>
      </c>
      <c r="R231" s="17">
        <f t="shared" si="182"/>
        <v>441.347301741286</v>
      </c>
      <c r="S231" s="17">
        <f t="shared" si="183"/>
        <v>1.5685305355423158</v>
      </c>
      <c r="T231" s="17" t="str">
        <f t="shared" si="174"/>
        <v>1+0.00915384646493694i</v>
      </c>
      <c r="U231" s="17">
        <f t="shared" si="184"/>
        <v>1.0000418955749322</v>
      </c>
      <c r="V231" s="17">
        <f t="shared" si="185"/>
        <v>9.1535908019944046E-3</v>
      </c>
      <c r="W231" s="31" t="str">
        <f t="shared" si="175"/>
        <v>1-0.028605770202928i</v>
      </c>
      <c r="X231" s="17">
        <f t="shared" si="186"/>
        <v>1.0004090613788454</v>
      </c>
      <c r="Y231" s="17">
        <f t="shared" si="187"/>
        <v>-2.8597971425486611E-2</v>
      </c>
      <c r="Z231" s="31" t="str">
        <f t="shared" si="176"/>
        <v>0.999885743401626+0.252344346772152i</v>
      </c>
      <c r="AA231" s="17">
        <f t="shared" si="188"/>
        <v>1.0312367183172282</v>
      </c>
      <c r="AB231" s="17">
        <f t="shared" si="189"/>
        <v>0.24721099601933838</v>
      </c>
      <c r="AC231" s="66" t="str">
        <f t="shared" si="190"/>
        <v>-0.174787901361238-0.645623497946838i</v>
      </c>
      <c r="AD231" s="64">
        <f t="shared" si="191"/>
        <v>-3.4932293822067817</v>
      </c>
      <c r="AE231" s="61">
        <f t="shared" si="192"/>
        <v>-105.14840739007499</v>
      </c>
      <c r="AF231" s="31" t="str">
        <f t="shared" si="177"/>
        <v>-1512.12121212121</v>
      </c>
      <c r="AG231" s="31" t="str">
        <f t="shared" si="193"/>
        <v>8475.7837638305i</v>
      </c>
      <c r="AH231" s="31">
        <f t="shared" si="194"/>
        <v>8475.7837638305009</v>
      </c>
      <c r="AI231" s="31">
        <f t="shared" si="195"/>
        <v>1.5707963267948966</v>
      </c>
      <c r="AJ231" s="31" t="str">
        <f t="shared" si="178"/>
        <v>0.68769556683626+11.6818930608234i</v>
      </c>
      <c r="AK231" s="31">
        <f t="shared" si="196"/>
        <v>11.702117358715908</v>
      </c>
      <c r="AL231" s="31">
        <f t="shared" si="197"/>
        <v>1.5119956848254963</v>
      </c>
      <c r="AM231" s="31" t="str">
        <f t="shared" si="179"/>
        <v>1+58.1777797549324i</v>
      </c>
      <c r="AN231" s="31">
        <f t="shared" si="198"/>
        <v>58.186373466761289</v>
      </c>
      <c r="AO231" s="31">
        <f t="shared" si="199"/>
        <v>1.5536093262262369</v>
      </c>
      <c r="AP231" s="31" t="str">
        <f t="shared" si="180"/>
        <v>1+2.23760691365125i</v>
      </c>
      <c r="AQ231" s="31">
        <f t="shared" si="200"/>
        <v>2.4508946733835528</v>
      </c>
      <c r="AR231" s="31">
        <f t="shared" si="201"/>
        <v>1.1505183338444762</v>
      </c>
      <c r="AS231" s="58" t="str">
        <f t="shared" si="202"/>
        <v>-2.02012558918869+0.803736906251101i</v>
      </c>
      <c r="AT231" s="49">
        <f t="shared" si="203"/>
        <v>6.7457645239860327</v>
      </c>
      <c r="AU231" s="61">
        <f t="shared" si="204"/>
        <v>158.30413080414525</v>
      </c>
      <c r="AV231" s="58" t="str">
        <f t="shared" si="181"/>
        <v>0.872004945063231+1.16375706209372i</v>
      </c>
      <c r="AW231" s="64">
        <f t="shared" si="205"/>
        <v>3.2525351417792754</v>
      </c>
      <c r="AX231" s="61">
        <f t="shared" si="206"/>
        <v>53.15572341407038</v>
      </c>
    </row>
    <row r="232" spans="14:50" x14ac:dyDescent="0.25">
      <c r="N232" s="10">
        <v>14</v>
      </c>
      <c r="O232" s="50">
        <f t="shared" si="207"/>
        <v>1380.3842646028863</v>
      </c>
      <c r="P232" s="48" t="str">
        <f t="shared" si="172"/>
        <v>304.285714285714</v>
      </c>
      <c r="Q232" s="17" t="str">
        <f t="shared" si="173"/>
        <v>1+451.626441749226i</v>
      </c>
      <c r="R232" s="17">
        <f t="shared" si="182"/>
        <v>451.62754885753702</v>
      </c>
      <c r="S232" s="17">
        <f t="shared" si="183"/>
        <v>1.5685821110774203</v>
      </c>
      <c r="T232" s="17" t="str">
        <f t="shared" si="174"/>
        <v>1+0.00936706693998393i</v>
      </c>
      <c r="U232" s="17">
        <f t="shared" si="184"/>
        <v>1.0000438700092402</v>
      </c>
      <c r="V232" s="17">
        <f t="shared" si="185"/>
        <v>9.3667929928544207E-3</v>
      </c>
      <c r="W232" s="31" t="str">
        <f t="shared" si="175"/>
        <v>1-0.0292720841874498i</v>
      </c>
      <c r="X232" s="17">
        <f t="shared" si="186"/>
        <v>1.0004283357205939</v>
      </c>
      <c r="Y232" s="17">
        <f t="shared" si="187"/>
        <v>-2.9263727840088884E-2</v>
      </c>
      <c r="Z232" s="31" t="str">
        <f t="shared" si="176"/>
        <v>0.999880358654039+0.258222201693608i</v>
      </c>
      <c r="AA232" s="17">
        <f t="shared" si="188"/>
        <v>1.0326855460737425</v>
      </c>
      <c r="AB232" s="17">
        <f t="shared" si="189"/>
        <v>0.25273107606409262</v>
      </c>
      <c r="AC232" s="66" t="str">
        <f t="shared" si="190"/>
        <v>-0.174365714339863-0.629016600212854i</v>
      </c>
      <c r="AD232" s="64">
        <f t="shared" si="191"/>
        <v>-3.7052384916384309</v>
      </c>
      <c r="AE232" s="61">
        <f t="shared" si="192"/>
        <v>-105.49356918672267</v>
      </c>
      <c r="AF232" s="31" t="str">
        <f t="shared" si="177"/>
        <v>-1512.12121212121</v>
      </c>
      <c r="AG232" s="31" t="str">
        <f t="shared" si="193"/>
        <v>8673.21012961475i</v>
      </c>
      <c r="AH232" s="31">
        <f t="shared" si="194"/>
        <v>8673.2101296147503</v>
      </c>
      <c r="AI232" s="31">
        <f t="shared" si="195"/>
        <v>1.5707963267948966</v>
      </c>
      <c r="AJ232" s="31" t="str">
        <f t="shared" si="178"/>
        <v>0.672977112351393+11.9539993057137i</v>
      </c>
      <c r="AK232" s="31">
        <f t="shared" si="196"/>
        <v>11.972927695211078</v>
      </c>
      <c r="AL232" s="31">
        <f t="shared" si="197"/>
        <v>1.5145584543472836</v>
      </c>
      <c r="AM232" s="31" t="str">
        <f t="shared" si="179"/>
        <v>1+59.5329143296755i</v>
      </c>
      <c r="AN232" s="31">
        <f t="shared" si="198"/>
        <v>59.541312452653266</v>
      </c>
      <c r="AO232" s="31">
        <f t="shared" si="199"/>
        <v>1.5540004756938361</v>
      </c>
      <c r="AP232" s="31" t="str">
        <f t="shared" si="180"/>
        <v>1+2.28972747421829i</v>
      </c>
      <c r="AQ232" s="31">
        <f t="shared" si="200"/>
        <v>2.4985699722421364</v>
      </c>
      <c r="AR232" s="31">
        <f t="shared" si="201"/>
        <v>1.1590296781134024</v>
      </c>
      <c r="AS232" s="58" t="str">
        <f t="shared" si="202"/>
        <v>-2.01786353835642+0.788056263173359i</v>
      </c>
      <c r="AT232" s="49">
        <f t="shared" si="203"/>
        <v>6.7143259473759533</v>
      </c>
      <c r="AU232" s="61">
        <f t="shared" si="204"/>
        <v>158.66737024492659</v>
      </c>
      <c r="AV232" s="58" t="str">
        <f t="shared" si="181"/>
        <v>0.847546688743633+1.13185966932221i</v>
      </c>
      <c r="AW232" s="64">
        <f t="shared" si="205"/>
        <v>3.009087455737526</v>
      </c>
      <c r="AX232" s="61">
        <f t="shared" si="206"/>
        <v>53.173801058203956</v>
      </c>
    </row>
    <row r="233" spans="14:50" x14ac:dyDescent="0.25">
      <c r="N233" s="10">
        <v>15</v>
      </c>
      <c r="O233" s="50">
        <f t="shared" si="207"/>
        <v>1412.5375446227545</v>
      </c>
      <c r="P233" s="48" t="str">
        <f t="shared" si="172"/>
        <v>304.285714285714</v>
      </c>
      <c r="Q233" s="17" t="str">
        <f t="shared" si="173"/>
        <v>1+462.146172970675i</v>
      </c>
      <c r="R233" s="17">
        <f t="shared" si="182"/>
        <v>462.14725487818384</v>
      </c>
      <c r="S233" s="17">
        <f t="shared" si="183"/>
        <v>1.5686325126213976</v>
      </c>
      <c r="T233" s="17" t="str">
        <f t="shared" si="174"/>
        <v>1+0.00958525395791028i</v>
      </c>
      <c r="U233" s="17">
        <f t="shared" si="184"/>
        <v>1.0000459374915922</v>
      </c>
      <c r="V233" s="17">
        <f t="shared" si="185"/>
        <v>9.5849604190006397E-3</v>
      </c>
      <c r="W233" s="31" t="str">
        <f t="shared" si="175"/>
        <v>1-0.0299539186184696i</v>
      </c>
      <c r="X233" s="17">
        <f t="shared" si="186"/>
        <v>1.0004485180360867</v>
      </c>
      <c r="Y233" s="17">
        <f t="shared" si="187"/>
        <v>-2.9944964847740667E-2</v>
      </c>
      <c r="Z233" s="31" t="str">
        <f t="shared" si="176"/>
        <v>0.999874720131117+0.264236969444376i</v>
      </c>
      <c r="AA233" s="17">
        <f t="shared" si="188"/>
        <v>1.0342004795872159</v>
      </c>
      <c r="AB233" s="17">
        <f t="shared" si="189"/>
        <v>0.25836357984803043</v>
      </c>
      <c r="AC233" s="66" t="str">
        <f t="shared" si="190"/>
        <v>-0.173920100213466-0.612754392454384i</v>
      </c>
      <c r="AD233" s="64">
        <f t="shared" si="191"/>
        <v>-3.9177770785798023</v>
      </c>
      <c r="AE233" s="61">
        <f t="shared" si="192"/>
        <v>-105.84570761002574</v>
      </c>
      <c r="AF233" s="31" t="str">
        <f t="shared" si="177"/>
        <v>-1512.12121212121</v>
      </c>
      <c r="AG233" s="31" t="str">
        <f t="shared" si="193"/>
        <v>8875.23514621322i</v>
      </c>
      <c r="AH233" s="31">
        <f t="shared" si="194"/>
        <v>8875.2351462132192</v>
      </c>
      <c r="AI233" s="31">
        <f t="shared" si="195"/>
        <v>1.5707963267948966</v>
      </c>
      <c r="AJ233" s="31" t="str">
        <f t="shared" si="178"/>
        <v>0.657564998477102+12.2324437192659i</v>
      </c>
      <c r="AK233" s="31">
        <f t="shared" si="196"/>
        <v>12.250104941274175</v>
      </c>
      <c r="AL233" s="31">
        <f t="shared" si="197"/>
        <v>1.5170921999978042</v>
      </c>
      <c r="AM233" s="31" t="str">
        <f t="shared" si="179"/>
        <v>1+60.9196140436074i</v>
      </c>
      <c r="AN233" s="31">
        <f t="shared" si="198"/>
        <v>60.927821028017156</v>
      </c>
      <c r="AO233" s="31">
        <f t="shared" si="199"/>
        <v>1.5543827264792487</v>
      </c>
      <c r="AP233" s="31" t="str">
        <f t="shared" si="180"/>
        <v>1+2.34306207860029i</v>
      </c>
      <c r="AQ233" s="31">
        <f t="shared" si="200"/>
        <v>2.5475360457066571</v>
      </c>
      <c r="AR233" s="31">
        <f t="shared" si="201"/>
        <v>1.1674088732801056</v>
      </c>
      <c r="AS233" s="58" t="str">
        <f t="shared" si="202"/>
        <v>-2.01569581200082+0.772776822309273i</v>
      </c>
      <c r="AT233" s="49">
        <f t="shared" si="203"/>
        <v>6.6840582515163485</v>
      </c>
      <c r="AU233" s="61">
        <f t="shared" si="204"/>
        <v>159.02419118828041</v>
      </c>
      <c r="AV233" s="58" t="str">
        <f t="shared" si="181"/>
        <v>0.824092409879994+1.10072504027674i</v>
      </c>
      <c r="AW233" s="64">
        <f t="shared" si="205"/>
        <v>2.7662811729365648</v>
      </c>
      <c r="AX233" s="61">
        <f t="shared" si="206"/>
        <v>53.17848357825477</v>
      </c>
    </row>
    <row r="234" spans="14:50" x14ac:dyDescent="0.25">
      <c r="N234" s="10">
        <v>16</v>
      </c>
      <c r="O234" s="50">
        <f t="shared" si="207"/>
        <v>1445.4397707459289</v>
      </c>
      <c r="P234" s="48" t="str">
        <f t="shared" si="172"/>
        <v>304.285714285714</v>
      </c>
      <c r="Q234" s="17" t="str">
        <f t="shared" si="173"/>
        <v>1+472.910940210262i</v>
      </c>
      <c r="R234" s="17">
        <f t="shared" si="182"/>
        <v>472.91199749060502</v>
      </c>
      <c r="S234" s="17">
        <f t="shared" si="183"/>
        <v>1.568681766896789</v>
      </c>
      <c r="T234" s="17" t="str">
        <f t="shared" si="174"/>
        <v>1+0.00980852320436096i</v>
      </c>
      <c r="U234" s="17">
        <f t="shared" si="184"/>
        <v>1.0000481024068044</v>
      </c>
      <c r="V234" s="17">
        <f t="shared" si="185"/>
        <v>9.8082086725695388E-3</v>
      </c>
      <c r="W234" s="31" t="str">
        <f t="shared" si="175"/>
        <v>1-0.030651635013628i</v>
      </c>
      <c r="X234" s="17">
        <f t="shared" si="186"/>
        <v>1.0004696510784366</v>
      </c>
      <c r="Y234" s="17">
        <f t="shared" si="187"/>
        <v>-3.0642041118664812E-2</v>
      </c>
      <c r="Z234" s="31" t="str">
        <f t="shared" si="176"/>
        <v>0.999868815872797+0.270391839133934i</v>
      </c>
      <c r="AA234" s="17">
        <f t="shared" si="188"/>
        <v>1.0357844349212342</v>
      </c>
      <c r="AB234" s="17">
        <f t="shared" si="189"/>
        <v>0.26411007188977015</v>
      </c>
      <c r="AC234" s="66" t="str">
        <f t="shared" si="190"/>
        <v>-0.173450503046602-0.596828948479715i</v>
      </c>
      <c r="AD234" s="64">
        <f t="shared" si="191"/>
        <v>-4.1308667972685935</v>
      </c>
      <c r="AE234" s="61">
        <f t="shared" si="192"/>
        <v>-106.20492775873539</v>
      </c>
      <c r="AF234" s="31" t="str">
        <f t="shared" si="177"/>
        <v>-1512.12121212121</v>
      </c>
      <c r="AG234" s="31" t="str">
        <f t="shared" si="193"/>
        <v>9081.96592996385i</v>
      </c>
      <c r="AH234" s="31">
        <f t="shared" si="194"/>
        <v>9081.9659299638497</v>
      </c>
      <c r="AI234" s="31">
        <f t="shared" si="195"/>
        <v>1.5707963267948966</v>
      </c>
      <c r="AJ234" s="31" t="str">
        <f t="shared" si="178"/>
        <v>0.64142653405352+12.5173739363935i</v>
      </c>
      <c r="AK234" s="31">
        <f t="shared" si="196"/>
        <v>12.533797439806152</v>
      </c>
      <c r="AL234" s="31">
        <f t="shared" si="197"/>
        <v>1.5195982086041644</v>
      </c>
      <c r="AM234" s="31" t="str">
        <f t="shared" si="179"/>
        <v>1+62.3386141432717i</v>
      </c>
      <c r="AN234" s="31">
        <f t="shared" si="198"/>
        <v>62.346634338220021</v>
      </c>
      <c r="AO234" s="31">
        <f t="shared" si="199"/>
        <v>1.5547562808098219</v>
      </c>
      <c r="AP234" s="31" t="str">
        <f t="shared" si="180"/>
        <v>1+2.39763900551046i</v>
      </c>
      <c r="AQ234" s="31">
        <f t="shared" si="200"/>
        <v>2.597820779181117</v>
      </c>
      <c r="AR234" s="31">
        <f t="shared" si="201"/>
        <v>1.1756556545665546</v>
      </c>
      <c r="AS234" s="58" t="str">
        <f t="shared" si="202"/>
        <v>-2.01361799387666+0.757891554369687i</v>
      </c>
      <c r="AT234" s="49">
        <f t="shared" si="203"/>
        <v>6.6549253164897912</v>
      </c>
      <c r="AU234" s="61">
        <f t="shared" si="204"/>
        <v>159.37451632055419</v>
      </c>
      <c r="AV234" s="58" t="str">
        <f t="shared" si="181"/>
        <v>0.801594673437713+1.07032883856505i</v>
      </c>
      <c r="AW234" s="64">
        <f t="shared" si="205"/>
        <v>2.5240585192212146</v>
      </c>
      <c r="AX234" s="61">
        <f t="shared" si="206"/>
        <v>53.169588561818898</v>
      </c>
    </row>
    <row r="235" spans="14:50" x14ac:dyDescent="0.25">
      <c r="N235" s="10">
        <v>17</v>
      </c>
      <c r="O235" s="50">
        <f t="shared" si="207"/>
        <v>1479.1083881682086</v>
      </c>
      <c r="P235" s="48" t="str">
        <f t="shared" si="172"/>
        <v>304.285714285714</v>
      </c>
      <c r="Q235" s="17" t="str">
        <f t="shared" si="173"/>
        <v>1+483.926451090063i</v>
      </c>
      <c r="R235" s="17">
        <f t="shared" si="182"/>
        <v>483.92748430381914</v>
      </c>
      <c r="S235" s="17">
        <f t="shared" si="183"/>
        <v>1.5687299000179062</v>
      </c>
      <c r="T235" s="17" t="str">
        <f t="shared" si="174"/>
        <v>1+0.0100369930596457i</v>
      </c>
      <c r="U235" s="17">
        <f t="shared" si="184"/>
        <v>1.0000503693463041</v>
      </c>
      <c r="V235" s="17">
        <f t="shared" si="185"/>
        <v>1.0036656033675876E-2</v>
      </c>
      <c r="W235" s="31" t="str">
        <f t="shared" si="175"/>
        <v>1-0.031365603311393i</v>
      </c>
      <c r="X235" s="17">
        <f t="shared" si="186"/>
        <v>1.0004917796119503</v>
      </c>
      <c r="Y235" s="17">
        <f t="shared" si="187"/>
        <v>-3.1355323540616445E-2</v>
      </c>
      <c r="Z235" s="31" t="str">
        <f t="shared" si="176"/>
        <v>0.999862633355354+0.27669007415566i</v>
      </c>
      <c r="AA235" s="17">
        <f t="shared" si="188"/>
        <v>1.0374404477928203</v>
      </c>
      <c r="AB235" s="17">
        <f t="shared" si="189"/>
        <v>0.26997208909497233</v>
      </c>
      <c r="AC235" s="66" t="str">
        <f t="shared" si="190"/>
        <v>-0.172956348500081-0.581232558904826i</v>
      </c>
      <c r="AD235" s="64">
        <f t="shared" si="191"/>
        <v>-4.3445300371179938</v>
      </c>
      <c r="AE235" s="61">
        <f t="shared" si="192"/>
        <v>-106.57133343146782</v>
      </c>
      <c r="AF235" s="31" t="str">
        <f t="shared" si="177"/>
        <v>-1512.12121212121</v>
      </c>
      <c r="AG235" s="31" t="str">
        <f t="shared" si="193"/>
        <v>9293.51209226457i</v>
      </c>
      <c r="AH235" s="31">
        <f t="shared" si="194"/>
        <v>9293.5120922645692</v>
      </c>
      <c r="AI235" s="31">
        <f t="shared" si="195"/>
        <v>1.5707963267948966</v>
      </c>
      <c r="AJ235" s="31" t="str">
        <f t="shared" si="178"/>
        <v>0.624527487233884+12.8089410308692i</v>
      </c>
      <c r="AK235" s="31">
        <f t="shared" si="196"/>
        <v>12.824157083980028</v>
      </c>
      <c r="AL235" s="31">
        <f t="shared" si="197"/>
        <v>1.5220777557302312</v>
      </c>
      <c r="AM235" s="31" t="str">
        <f t="shared" si="179"/>
        <v>1+63.7906670013039i</v>
      </c>
      <c r="AN235" s="31">
        <f t="shared" si="198"/>
        <v>63.798504657015613</v>
      </c>
      <c r="AO235" s="31">
        <f t="shared" si="199"/>
        <v>1.5551213363317524</v>
      </c>
      <c r="AP235" s="31" t="str">
        <f t="shared" si="180"/>
        <v>1+2.45348719235785i</v>
      </c>
      <c r="AQ235" s="31">
        <f t="shared" si="200"/>
        <v>2.6494526610347289</v>
      </c>
      <c r="AR235" s="31">
        <f t="shared" si="201"/>
        <v>1.1837699066049312</v>
      </c>
      <c r="AS235" s="58" t="str">
        <f t="shared" si="202"/>
        <v>-2.01162584277943+0.743393567368776i</v>
      </c>
      <c r="AT235" s="49">
        <f t="shared" si="203"/>
        <v>6.6268914421520115</v>
      </c>
      <c r="AU235" s="61">
        <f t="shared" si="204"/>
        <v>159.71827727152575</v>
      </c>
      <c r="AV235" s="58" t="str">
        <f t="shared" si="181"/>
        <v>0.780008005750669+1.04064779924721i</v>
      </c>
      <c r="AW235" s="64">
        <f t="shared" si="205"/>
        <v>2.2823614050340062</v>
      </c>
      <c r="AX235" s="61">
        <f t="shared" si="206"/>
        <v>53.146943840057858</v>
      </c>
    </row>
    <row r="236" spans="14:50" x14ac:dyDescent="0.25">
      <c r="N236" s="10">
        <v>18</v>
      </c>
      <c r="O236" s="50">
        <f t="shared" si="207"/>
        <v>1513.5612484362093</v>
      </c>
      <c r="P236" s="48" t="str">
        <f t="shared" si="172"/>
        <v>304.285714285714</v>
      </c>
      <c r="Q236" s="17" t="str">
        <f t="shared" si="173"/>
        <v>1+495.198546179757i</v>
      </c>
      <c r="R236" s="17">
        <f t="shared" si="182"/>
        <v>495.19955587474527</v>
      </c>
      <c r="S236" s="17">
        <f t="shared" si="183"/>
        <v>1.5687769375046752</v>
      </c>
      <c r="T236" s="17" t="str">
        <f t="shared" si="174"/>
        <v>1+0.010270784661506i</v>
      </c>
      <c r="U236" s="17">
        <f t="shared" si="184"/>
        <v>1.0000527431178634</v>
      </c>
      <c r="V236" s="17">
        <f t="shared" si="185"/>
        <v>1.0270423532701618E-2</v>
      </c>
      <c r="W236" s="31" t="str">
        <f t="shared" si="175"/>
        <v>1-0.0320962020672064i</v>
      </c>
      <c r="X236" s="17">
        <f t="shared" si="186"/>
        <v>1.0005149505065574</v>
      </c>
      <c r="Y236" s="17">
        <f t="shared" si="187"/>
        <v>-3.2085187400532504E-2</v>
      </c>
      <c r="Z236" s="31" t="str">
        <f t="shared" si="176"/>
        <v>0.999856159464842+0.283135013917129i</v>
      </c>
      <c r="AA236" s="17">
        <f t="shared" si="188"/>
        <v>1.0391716776960562</v>
      </c>
      <c r="AB236" s="17">
        <f t="shared" si="189"/>
        <v>0.27595113675201827</v>
      </c>
      <c r="AC236" s="66" t="str">
        <f t="shared" si="190"/>
        <v>-0.172437045079927-0.565957728638029i</v>
      </c>
      <c r="AD236" s="64">
        <f t="shared" si="191"/>
        <v>-4.5587899341489901</v>
      </c>
      <c r="AE236" s="61">
        <f t="shared" si="192"/>
        <v>-106.94502690490566</v>
      </c>
      <c r="AF236" s="31" t="str">
        <f t="shared" si="177"/>
        <v>-1512.12121212121</v>
      </c>
      <c r="AG236" s="31" t="str">
        <f t="shared" si="193"/>
        <v>9509.98579769078i</v>
      </c>
      <c r="AH236" s="31">
        <f t="shared" si="194"/>
        <v>9509.9857976907806</v>
      </c>
      <c r="AI236" s="31">
        <f t="shared" si="195"/>
        <v>1.5707963267948966</v>
      </c>
      <c r="AJ236" s="31" t="str">
        <f t="shared" si="178"/>
        <v>0.606832012874194+13.1072995954259i</v>
      </c>
      <c r="AK236" s="31">
        <f t="shared" si="196"/>
        <v>13.121339404805475</v>
      </c>
      <c r="AL236" s="31">
        <f t="shared" si="197"/>
        <v>1.52453210610767</v>
      </c>
      <c r="AM236" s="31" t="str">
        <f t="shared" si="179"/>
        <v>1+65.2765425153494i</v>
      </c>
      <c r="AN236" s="31">
        <f t="shared" si="198"/>
        <v>65.284201785410673</v>
      </c>
      <c r="AO236" s="31">
        <f t="shared" si="199"/>
        <v>1.5554780862128921</v>
      </c>
      <c r="AP236" s="31" t="str">
        <f t="shared" si="180"/>
        <v>1+2.51063625059036i</v>
      </c>
      <c r="AQ236" s="31">
        <f t="shared" si="200"/>
        <v>2.702460801339849</v>
      </c>
      <c r="AR236" s="31">
        <f t="shared" si="201"/>
        <v>1.1917516566221205</v>
      </c>
      <c r="AS236" s="58" t="str">
        <f t="shared" si="202"/>
        <v>-2.00971528491394+0.729276107466668i</v>
      </c>
      <c r="AT236" s="49">
        <f t="shared" si="203"/>
        <v>6.5999213959324168</v>
      </c>
      <c r="AU236" s="61">
        <f t="shared" si="204"/>
        <v>160.05541420509664</v>
      </c>
      <c r="AV236" s="58" t="str">
        <f t="shared" si="181"/>
        <v>0.759288814514342+1.01165968084008i</v>
      </c>
      <c r="AW236" s="64">
        <f t="shared" si="205"/>
        <v>2.0411314617834297</v>
      </c>
      <c r="AX236" s="61">
        <f t="shared" si="206"/>
        <v>53.110387300191007</v>
      </c>
    </row>
    <row r="237" spans="14:50" x14ac:dyDescent="0.25">
      <c r="N237" s="10">
        <v>19</v>
      </c>
      <c r="O237" s="50">
        <f t="shared" si="207"/>
        <v>1548.8166189124822</v>
      </c>
      <c r="P237" s="48" t="str">
        <f t="shared" si="172"/>
        <v>304.285714285714</v>
      </c>
      <c r="Q237" s="17" t="str">
        <f t="shared" si="173"/>
        <v>1+506.733202093362i</v>
      </c>
      <c r="R237" s="17">
        <f t="shared" si="182"/>
        <v>506.7341888049317</v>
      </c>
      <c r="S237" s="17">
        <f t="shared" si="183"/>
        <v>1.5688229042961608</v>
      </c>
      <c r="T237" s="17" t="str">
        <f t="shared" si="174"/>
        <v>1+0.0105100219693438i</v>
      </c>
      <c r="U237" s="17">
        <f t="shared" si="184"/>
        <v>1.0000552287557902</v>
      </c>
      <c r="V237" s="17">
        <f t="shared" si="185"/>
        <v>1.0509635014012383E-2</v>
      </c>
      <c r="W237" s="31" t="str">
        <f t="shared" si="175"/>
        <v>1-0.0328438186541994i</v>
      </c>
      <c r="X237" s="17">
        <f t="shared" si="186"/>
        <v>1.0005392128366535</v>
      </c>
      <c r="Y237" s="17">
        <f t="shared" si="187"/>
        <v>-3.2832016569718875E-2</v>
      </c>
      <c r="Z237" s="31" t="str">
        <f t="shared" si="176"/>
        <v>0.999849380469269+0.289730075610712i</v>
      </c>
      <c r="AA237" s="17">
        <f t="shared" si="188"/>
        <v>1.0409814121002208</v>
      </c>
      <c r="AB237" s="17">
        <f t="shared" si="189"/>
        <v>0.28204868431740004</v>
      </c>
      <c r="AC237" s="66" t="str">
        <f t="shared" si="190"/>
        <v>-0.171891985505446-0.550997174480508i</v>
      </c>
      <c r="AD237" s="64">
        <f t="shared" si="191"/>
        <v>-4.7736703812825692</v>
      </c>
      <c r="AE237" s="61">
        <f t="shared" si="192"/>
        <v>-107.32610870005365</v>
      </c>
      <c r="AF237" s="31" t="str">
        <f t="shared" si="177"/>
        <v>-1512.12121212121</v>
      </c>
      <c r="AG237" s="31" t="str">
        <f t="shared" si="193"/>
        <v>9731.50182346647i</v>
      </c>
      <c r="AH237" s="31">
        <f t="shared" si="194"/>
        <v>9731.5018234664694</v>
      </c>
      <c r="AI237" s="31">
        <f t="shared" si="195"/>
        <v>1.5707963267948966</v>
      </c>
      <c r="AJ237" s="31" t="str">
        <f t="shared" si="178"/>
        <v>0.588302576500861+13.4126078237237i</v>
      </c>
      <c r="AK237" s="31">
        <f t="shared" si="196"/>
        <v>13.425503661112002</v>
      </c>
      <c r="AL237" s="31">
        <f t="shared" si="197"/>
        <v>1.5269625140756069</v>
      </c>
      <c r="AM237" s="31" t="str">
        <f t="shared" si="179"/>
        <v>1+66.7970285162737i</v>
      </c>
      <c r="AN237" s="31">
        <f t="shared" si="198"/>
        <v>66.804513459824562</v>
      </c>
      <c r="AO237" s="31">
        <f t="shared" si="199"/>
        <v>1.5558267192433115</v>
      </c>
      <c r="AP237" s="31" t="str">
        <f t="shared" si="180"/>
        <v>1+2.56911648139515i</v>
      </c>
      <c r="AQ237" s="31">
        <f t="shared" si="200"/>
        <v>2.7568749509138417</v>
      </c>
      <c r="AR237" s="31">
        <f t="shared" si="201"/>
        <v>1.1996010675751998</v>
      </c>
      <c r="AS237" s="58" t="str">
        <f t="shared" si="202"/>
        <v>-2.0078824065022+0.715532559594333i</v>
      </c>
      <c r="AT237" s="49">
        <f t="shared" si="203"/>
        <v>6.5739804558278392</v>
      </c>
      <c r="AU237" s="61">
        <f t="shared" si="204"/>
        <v>160.3858754065559</v>
      </c>
      <c r="AV237" s="58" t="str">
        <f t="shared" si="181"/>
        <v>0.739395312100399+0.983343220309371i</v>
      </c>
      <c r="AW237" s="64">
        <f t="shared" si="205"/>
        <v>1.8003100745452665</v>
      </c>
      <c r="AX237" s="61">
        <f t="shared" si="206"/>
        <v>53.059766706502259</v>
      </c>
    </row>
    <row r="238" spans="14:50" x14ac:dyDescent="0.25">
      <c r="N238" s="10">
        <v>20</v>
      </c>
      <c r="O238" s="50">
        <f t="shared" si="207"/>
        <v>1584.8931924611156</v>
      </c>
      <c r="P238" s="48" t="str">
        <f t="shared" si="172"/>
        <v>304.285714285714</v>
      </c>
      <c r="Q238" s="17" t="str">
        <f t="shared" si="173"/>
        <v>1+518.536534658125i</v>
      </c>
      <c r="R238" s="17">
        <f t="shared" si="182"/>
        <v>518.53749890943936</v>
      </c>
      <c r="S238" s="17">
        <f t="shared" si="183"/>
        <v>1.5688678247637864</v>
      </c>
      <c r="T238" s="17" t="str">
        <f t="shared" si="174"/>
        <v>1+0.0107548318299463i</v>
      </c>
      <c r="U238" s="17">
        <f t="shared" si="184"/>
        <v>1.0000578315316022</v>
      </c>
      <c r="V238" s="17">
        <f t="shared" si="185"/>
        <v>1.07544172011334E-2</v>
      </c>
      <c r="W238" s="31" t="str">
        <f t="shared" si="175"/>
        <v>1-0.0336088494685822i</v>
      </c>
      <c r="X238" s="17">
        <f t="shared" si="186"/>
        <v>1.0005646179845666</v>
      </c>
      <c r="Y238" s="17">
        <f t="shared" si="187"/>
        <v>-3.3596203692606748E-2</v>
      </c>
      <c r="Z238" s="31" t="str">
        <f t="shared" si="176"/>
        <v>0.999842281989477+0.296478756025415i</v>
      </c>
      <c r="AA238" s="17">
        <f t="shared" si="188"/>
        <v>1.0428730707177658</v>
      </c>
      <c r="AB238" s="17">
        <f t="shared" si="189"/>
        <v>0.2882661609887765</v>
      </c>
      <c r="AC238" s="66" t="str">
        <f t="shared" si="190"/>
        <v>-0.17132054820482-0.536343822833057i</v>
      </c>
      <c r="AD238" s="64">
        <f t="shared" si="191"/>
        <v>-4.9891960373449384</v>
      </c>
      <c r="AE238" s="61">
        <f t="shared" si="192"/>
        <v>-107.71467733643097</v>
      </c>
      <c r="AF238" s="31" t="str">
        <f t="shared" si="177"/>
        <v>-1512.12121212121</v>
      </c>
      <c r="AG238" s="31" t="str">
        <f t="shared" si="193"/>
        <v>9958.17762032063i</v>
      </c>
      <c r="AH238" s="31">
        <f t="shared" si="194"/>
        <v>9958.17762032063</v>
      </c>
      <c r="AI238" s="31">
        <f t="shared" si="195"/>
        <v>1.5707963267948966</v>
      </c>
      <c r="AJ238" s="31" t="str">
        <f t="shared" si="178"/>
        <v>0.568899874695049+13.7250275942265i</v>
      </c>
      <c r="AK238" s="31">
        <f t="shared" si="196"/>
        <v>13.736812932034377</v>
      </c>
      <c r="AL238" s="31">
        <f t="shared" si="197"/>
        <v>1.5293702240281466</v>
      </c>
      <c r="AM238" s="31" t="str">
        <f t="shared" si="179"/>
        <v>1+68.3529311858806i</v>
      </c>
      <c r="AN238" s="31">
        <f t="shared" si="198"/>
        <v>68.36024576975808</v>
      </c>
      <c r="AO238" s="31">
        <f t="shared" si="199"/>
        <v>1.5561674199336675</v>
      </c>
      <c r="AP238" s="31" t="str">
        <f t="shared" si="180"/>
        <v>1+2.62895889176465i</v>
      </c>
      <c r="AQ238" s="31">
        <f t="shared" si="200"/>
        <v>2.812725520662906</v>
      </c>
      <c r="AR238" s="31">
        <f t="shared" si="201"/>
        <v>1.2073184312737055</v>
      </c>
      <c r="AS238" s="58" t="str">
        <f t="shared" si="202"/>
        <v>-2.00612344662513+0.702156447878181i</v>
      </c>
      <c r="AT238" s="49">
        <f t="shared" si="203"/>
        <v>6.5490344487469798</v>
      </c>
      <c r="AU238" s="61">
        <f t="shared" si="204"/>
        <v>160.70961686851032</v>
      </c>
      <c r="AV238" s="58" t="str">
        <f t="shared" si="181"/>
        <v>0.720287442124224+0.955678090861911i</v>
      </c>
      <c r="AW238" s="64">
        <f t="shared" si="205"/>
        <v>1.5598384114020396</v>
      </c>
      <c r="AX238" s="61">
        <f t="shared" si="206"/>
        <v>52.994939532079336</v>
      </c>
    </row>
    <row r="239" spans="14:50" x14ac:dyDescent="0.25">
      <c r="N239" s="10">
        <v>21</v>
      </c>
      <c r="O239" s="50">
        <f t="shared" si="207"/>
        <v>1621.8100973589308</v>
      </c>
      <c r="P239" s="48" t="str">
        <f t="shared" si="172"/>
        <v>304.285714285714</v>
      </c>
      <c r="Q239" s="17" t="str">
        <f t="shared" si="173"/>
        <v>1+530.614802157204i</v>
      </c>
      <c r="R239" s="17">
        <f t="shared" si="182"/>
        <v>530.61574445951817</v>
      </c>
      <c r="S239" s="17">
        <f t="shared" si="183"/>
        <v>1.5689117227242537</v>
      </c>
      <c r="T239" s="17" t="str">
        <f t="shared" si="174"/>
        <v>1+0.011005344044742i</v>
      </c>
      <c r="U239" s="17">
        <f t="shared" si="184"/>
        <v>1.0000605569651986</v>
      </c>
      <c r="V239" s="17">
        <f t="shared" si="185"/>
        <v>1.1004899763417448E-2</v>
      </c>
      <c r="W239" s="31" t="str">
        <f t="shared" si="175"/>
        <v>1-0.0343917001398188i</v>
      </c>
      <c r="X239" s="17">
        <f t="shared" si="186"/>
        <v>1.0005912197488578</v>
      </c>
      <c r="Y239" s="17">
        <f t="shared" si="187"/>
        <v>-3.4378150379111141E-2</v>
      </c>
      <c r="Z239" s="31" t="str">
        <f t="shared" si="176"/>
        <v>0.99983484896864+0.303384633400921i</v>
      </c>
      <c r="AA239" s="17">
        <f t="shared" si="188"/>
        <v>1.0448502098367758</v>
      </c>
      <c r="AB239" s="17">
        <f t="shared" si="189"/>
        <v>0.29460495106464918</v>
      </c>
      <c r="AC239" s="66" t="str">
        <f t="shared" si="190"/>
        <v>-0.170722098946569-0.521990807498426i</v>
      </c>
      <c r="AD239" s="64">
        <f t="shared" si="191"/>
        <v>-5.2053923346292983</v>
      </c>
      <c r="AE239" s="61">
        <f t="shared" si="192"/>
        <v>-108.11082907414233</v>
      </c>
      <c r="AF239" s="31" t="str">
        <f t="shared" si="177"/>
        <v>-1512.12121212121</v>
      </c>
      <c r="AG239" s="31" t="str">
        <f t="shared" si="193"/>
        <v>10190.1333747611i</v>
      </c>
      <c r="AH239" s="31">
        <f t="shared" si="194"/>
        <v>10190.133374761101</v>
      </c>
      <c r="AI239" s="31">
        <f t="shared" si="195"/>
        <v>1.5707963267948966</v>
      </c>
      <c r="AJ239" s="31" t="str">
        <f t="shared" si="178"/>
        <v>0.548582751724869+14.0447245560319i</v>
      </c>
      <c r="AK239" s="31">
        <f t="shared" si="196"/>
        <v>14.055434212086638</v>
      </c>
      <c r="AL239" s="31">
        <f t="shared" si="197"/>
        <v>1.5317564708690237</v>
      </c>
      <c r="AM239" s="31" t="str">
        <f t="shared" si="179"/>
        <v>1+69.94507548436i</v>
      </c>
      <c r="AN239" s="31">
        <f t="shared" si="198"/>
        <v>69.952223585192897</v>
      </c>
      <c r="AO239" s="31">
        <f t="shared" si="199"/>
        <v>1.5565003686114134</v>
      </c>
      <c r="AP239" s="31" t="str">
        <f t="shared" si="180"/>
        <v>1+2.69019521093693i</v>
      </c>
      <c r="AQ239" s="31">
        <f t="shared" si="200"/>
        <v>2.8700436012276875</v>
      </c>
      <c r="AR239" s="31">
        <f t="shared" si="201"/>
        <v>1.2149041615215845</v>
      </c>
      <c r="AS239" s="58" t="str">
        <f t="shared" si="202"/>
        <v>-2.00443479029171+0.689141435880414i</v>
      </c>
      <c r="AT239" s="49">
        <f t="shared" si="203"/>
        <v>6.5250497843758222</v>
      </c>
      <c r="AU239" s="61">
        <f t="shared" si="204"/>
        <v>161.02660187740898</v>
      </c>
      <c r="AV239" s="58" t="str">
        <f t="shared" si="181"/>
        <v>0.701926809195969+0.928644862357751i</v>
      </c>
      <c r="AW239" s="64">
        <f t="shared" si="205"/>
        <v>1.3196574497465241</v>
      </c>
      <c r="AX239" s="61">
        <f t="shared" si="206"/>
        <v>52.915772803266641</v>
      </c>
    </row>
    <row r="240" spans="14:50" x14ac:dyDescent="0.25">
      <c r="N240" s="10">
        <v>22</v>
      </c>
      <c r="O240" s="50">
        <f t="shared" si="207"/>
        <v>1659.5869074375626</v>
      </c>
      <c r="P240" s="48" t="str">
        <f t="shared" si="172"/>
        <v>304.285714285714</v>
      </c>
      <c r="Q240" s="17" t="str">
        <f t="shared" si="173"/>
        <v>1+542.974408647908i</v>
      </c>
      <c r="R240" s="17">
        <f t="shared" si="182"/>
        <v>542.97532950083962</v>
      </c>
      <c r="S240" s="17">
        <f t="shared" si="183"/>
        <v>1.5689546214521648</v>
      </c>
      <c r="T240" s="17" t="str">
        <f t="shared" si="174"/>
        <v>1+0.0112616914386232i</v>
      </c>
      <c r="U240" s="17">
        <f t="shared" si="184"/>
        <v>1.0000634108365622</v>
      </c>
      <c r="V240" s="17">
        <f t="shared" si="185"/>
        <v>1.1261215384237237E-2</v>
      </c>
      <c r="W240" s="31" t="str">
        <f t="shared" si="175"/>
        <v>1-0.0351927857456977i</v>
      </c>
      <c r="X240" s="17">
        <f t="shared" si="186"/>
        <v>1.0006190744576793</v>
      </c>
      <c r="Y240" s="17">
        <f t="shared" si="187"/>
        <v>-3.5178267400618433E-2</v>
      </c>
      <c r="Z240" s="31" t="str">
        <f t="shared" si="176"/>
        <v>0.999827065640323+0.310451369324829i</v>
      </c>
      <c r="AA240" s="17">
        <f t="shared" si="188"/>
        <v>1.0469165267119438</v>
      </c>
      <c r="AB240" s="17">
        <f t="shared" si="189"/>
        <v>0.30106638909072581</v>
      </c>
      <c r="AC240" s="66" t="str">
        <f t="shared" si="190"/>
        <v>-0.170095992614941-0.507931467567623i</v>
      </c>
      <c r="AD240" s="64">
        <f t="shared" si="191"/>
        <v>-5.42228548485022</v>
      </c>
      <c r="AE240" s="61">
        <f t="shared" si="192"/>
        <v>-108.51465764383035</v>
      </c>
      <c r="AF240" s="31" t="str">
        <f t="shared" si="177"/>
        <v>-1512.12121212121</v>
      </c>
      <c r="AG240" s="31" t="str">
        <f t="shared" si="193"/>
        <v>10427.4920727993i</v>
      </c>
      <c r="AH240" s="31">
        <f t="shared" si="194"/>
        <v>10427.492072799299</v>
      </c>
      <c r="AI240" s="31">
        <f t="shared" si="195"/>
        <v>1.5707963267948966</v>
      </c>
      <c r="AJ240" s="31" t="str">
        <f t="shared" si="178"/>
        <v>0.527308112248527+14.3718682167009i</v>
      </c>
      <c r="AK240" s="31">
        <f t="shared" si="196"/>
        <v>14.381538508916933</v>
      </c>
      <c r="AL240" s="31">
        <f t="shared" si="197"/>
        <v>1.5341224804727394</v>
      </c>
      <c r="AM240" s="31" t="str">
        <f t="shared" si="179"/>
        <v>1+71.5743055876942i</v>
      </c>
      <c r="AN240" s="31">
        <f t="shared" si="198"/>
        <v>71.581290993950589</v>
      </c>
      <c r="AO240" s="31">
        <f t="shared" si="199"/>
        <v>1.5568257415149045</v>
      </c>
      <c r="AP240" s="31" t="str">
        <f t="shared" si="180"/>
        <v>1+2.75285790721901i</v>
      </c>
      <c r="AQ240" s="31">
        <f t="shared" si="200"/>
        <v>2.9288609829314578</v>
      </c>
      <c r="AR240" s="31">
        <f t="shared" si="201"/>
        <v>1.2223587873087514</v>
      </c>
      <c r="AS240" s="58" t="str">
        <f t="shared" si="202"/>
        <v>-2.00281296172943+0.676481326670232i</v>
      </c>
      <c r="AT240" s="49">
        <f t="shared" si="203"/>
        <v>6.5019934847493444</v>
      </c>
      <c r="AU240" s="61">
        <f t="shared" si="204"/>
        <v>161.33680060242071</v>
      </c>
      <c r="AV240" s="58" t="str">
        <f t="shared" si="181"/>
        <v>0.684276611785141+0.902224964169242i</v>
      </c>
      <c r="AW240" s="64">
        <f t="shared" si="205"/>
        <v>1.0797079998991297</v>
      </c>
      <c r="AX240" s="61">
        <f t="shared" si="206"/>
        <v>52.822142958590362</v>
      </c>
    </row>
    <row r="241" spans="14:50" x14ac:dyDescent="0.25">
      <c r="N241" s="10">
        <v>23</v>
      </c>
      <c r="O241" s="50">
        <f t="shared" si="207"/>
        <v>1698.2436524617447</v>
      </c>
      <c r="P241" s="48" t="str">
        <f t="shared" si="172"/>
        <v>304.285714285714</v>
      </c>
      <c r="Q241" s="17" t="str">
        <f t="shared" si="173"/>
        <v>1+555.621907357188i</v>
      </c>
      <c r="R241" s="17">
        <f t="shared" si="182"/>
        <v>555.6228072489821</v>
      </c>
      <c r="S241" s="17">
        <f t="shared" si="183"/>
        <v>1.5689965436923612</v>
      </c>
      <c r="T241" s="17" t="str">
        <f t="shared" si="174"/>
        <v>1+0.0115240099303713i</v>
      </c>
      <c r="U241" s="17">
        <f t="shared" si="184"/>
        <v>1.000066399198011</v>
      </c>
      <c r="V241" s="17">
        <f t="shared" si="185"/>
        <v>1.152349983073556E-2</v>
      </c>
      <c r="W241" s="31" t="str">
        <f t="shared" si="175"/>
        <v>1-0.0360125310324103i</v>
      </c>
      <c r="X241" s="17">
        <f t="shared" si="186"/>
        <v>1.0006482410874264</v>
      </c>
      <c r="Y241" s="17">
        <f t="shared" si="187"/>
        <v>-3.5996974889624972E-2</v>
      </c>
      <c r="Z241" s="31" t="str">
        <f t="shared" si="176"/>
        <v>0.999818915495043+0.317682710674061i</v>
      </c>
      <c r="AA241" s="17">
        <f t="shared" si="188"/>
        <v>1.0490758640074145</v>
      </c>
      <c r="AB241" s="17">
        <f t="shared" si="189"/>
        <v>0.30765175479424306</v>
      </c>
      <c r="AC241" s="66" t="str">
        <f t="shared" si="190"/>
        <v>-0.169441575136978-0.494159345377513i</v>
      </c>
      <c r="AD241" s="64">
        <f t="shared" si="191"/>
        <v>-5.6399024833178064</v>
      </c>
      <c r="AE241" s="61">
        <f t="shared" si="192"/>
        <v>-108.92625396458253</v>
      </c>
      <c r="AF241" s="31" t="str">
        <f t="shared" si="177"/>
        <v>-1512.12121212121</v>
      </c>
      <c r="AG241" s="31" t="str">
        <f t="shared" si="193"/>
        <v>10670.3795651586i</v>
      </c>
      <c r="AH241" s="31">
        <f t="shared" si="194"/>
        <v>10670.379565158601</v>
      </c>
      <c r="AI241" s="31">
        <f t="shared" si="195"/>
        <v>1.5707963267948966</v>
      </c>
      <c r="AJ241" s="31" t="str">
        <f t="shared" si="178"/>
        <v>0.505030829903365+14.7066320321325i</v>
      </c>
      <c r="AK241" s="31">
        <f t="shared" si="196"/>
        <v>14.71530094383729</v>
      </c>
      <c r="AL241" s="31">
        <f t="shared" si="197"/>
        <v>1.5364694701515578</v>
      </c>
      <c r="AM241" s="31" t="str">
        <f t="shared" si="179"/>
        <v>1+73.2414853352485i</v>
      </c>
      <c r="AN241" s="31">
        <f t="shared" si="198"/>
        <v>73.248311749237075</v>
      </c>
      <c r="AO241" s="31">
        <f t="shared" si="199"/>
        <v>1.5571437108854316</v>
      </c>
      <c r="AP241" s="31" t="str">
        <f t="shared" si="180"/>
        <v>1+2.81698020520187i</v>
      </c>
      <c r="AQ241" s="31">
        <f t="shared" si="200"/>
        <v>2.9892101760329886</v>
      </c>
      <c r="AR241" s="31">
        <f t="shared" si="201"/>
        <v>1.2296829460792731</v>
      </c>
      <c r="AS241" s="58" t="str">
        <f t="shared" si="202"/>
        <v>-2.00125461788923+0.664170062740262i</v>
      </c>
      <c r="AT241" s="49">
        <f t="shared" si="203"/>
        <v>6.4798332097234539</v>
      </c>
      <c r="AU241" s="61">
        <f t="shared" si="204"/>
        <v>161.64018968824396</v>
      </c>
      <c r="AV241" s="58" t="str">
        <f t="shared" si="181"/>
        <v>0.667301578128372+0.876400650320331i</v>
      </c>
      <c r="AW241" s="64">
        <f t="shared" si="205"/>
        <v>0.83993072640564703</v>
      </c>
      <c r="AX241" s="61">
        <f t="shared" si="206"/>
        <v>52.713935723661429</v>
      </c>
    </row>
    <row r="242" spans="14:50" x14ac:dyDescent="0.25">
      <c r="N242" s="10">
        <v>24</v>
      </c>
      <c r="O242" s="50">
        <f t="shared" si="207"/>
        <v>1737.8008287493772</v>
      </c>
      <c r="P242" s="48" t="str">
        <f t="shared" si="172"/>
        <v>304.285714285714</v>
      </c>
      <c r="Q242" s="17" t="str">
        <f t="shared" si="173"/>
        <v>1+568.56400415628i</v>
      </c>
      <c r="R242" s="17">
        <f t="shared" si="182"/>
        <v>568.56488356406805</v>
      </c>
      <c r="S242" s="17">
        <f t="shared" si="183"/>
        <v>1.5690375116719797</v>
      </c>
      <c r="T242" s="17" t="str">
        <f t="shared" si="174"/>
        <v>1+0.0117924386047228i</v>
      </c>
      <c r="U242" s="17">
        <f t="shared" si="184"/>
        <v>1.0000695283870247</v>
      </c>
      <c r="V242" s="17">
        <f t="shared" si="185"/>
        <v>1.1791892025167842E-2</v>
      </c>
      <c r="W242" s="31" t="str">
        <f t="shared" si="175"/>
        <v>1-0.0368513706397588i</v>
      </c>
      <c r="X242" s="17">
        <f t="shared" si="186"/>
        <v>1.0006787813869289</v>
      </c>
      <c r="Y242" s="17">
        <f t="shared" si="187"/>
        <v>-3.6834702543052662E-2</v>
      </c>
      <c r="Z242" s="31" t="str">
        <f t="shared" si="176"/>
        <v>0.99981038124525+0.325082491601522i</v>
      </c>
      <c r="AA242" s="17">
        <f t="shared" si="188"/>
        <v>1.0513322142841557</v>
      </c>
      <c r="AB242" s="17">
        <f t="shared" si="189"/>
        <v>0.31436226780899529</v>
      </c>
      <c r="AC242" s="66" t="str">
        <f t="shared" si="190"/>
        <v>-0.168758185568572-0.480668184525844i</v>
      </c>
      <c r="AD242" s="64">
        <f t="shared" si="191"/>
        <v>-5.8582711111526029</v>
      </c>
      <c r="AE242" s="61">
        <f t="shared" si="192"/>
        <v>-109.34570584995042</v>
      </c>
      <c r="AF242" s="31" t="str">
        <f t="shared" si="177"/>
        <v>-1512.12121212121</v>
      </c>
      <c r="AG242" s="31" t="str">
        <f t="shared" si="193"/>
        <v>10918.9246340026i</v>
      </c>
      <c r="AH242" s="31">
        <f t="shared" si="194"/>
        <v>10918.9246340026</v>
      </c>
      <c r="AI242" s="31">
        <f t="shared" si="195"/>
        <v>1.5707963267948966</v>
      </c>
      <c r="AJ242" s="31" t="str">
        <f t="shared" si="178"/>
        <v>0.481703651586746+15.0491934985329i</v>
      </c>
      <c r="AK242" s="31">
        <f t="shared" si="196"/>
        <v>15.056900855230365</v>
      </c>
      <c r="AL242" s="31">
        <f t="shared" si="197"/>
        <v>1.5387986491278178</v>
      </c>
      <c r="AM242" s="31" t="str">
        <f t="shared" si="179"/>
        <v>1+74.9474986877937i</v>
      </c>
      <c r="AN242" s="31">
        <f t="shared" si="198"/>
        <v>74.954169727619814</v>
      </c>
      <c r="AO242" s="31">
        <f t="shared" si="199"/>
        <v>1.5574544450572307</v>
      </c>
      <c r="AP242" s="31" t="str">
        <f t="shared" si="180"/>
        <v>1+2.88259610337668i</v>
      </c>
      <c r="AQ242" s="31">
        <f t="shared" si="200"/>
        <v>3.0511244312879833</v>
      </c>
      <c r="AR242" s="31">
        <f t="shared" si="201"/>
        <v>1.2368773771004471</v>
      </c>
      <c r="AS242" s="58" t="str">
        <f t="shared" si="202"/>
        <v>-1.99975654215831+0.652201725781161i</v>
      </c>
      <c r="AT242" s="49">
        <f t="shared" si="203"/>
        <v>6.4585372785492314</v>
      </c>
      <c r="AU242" s="61">
        <f t="shared" si="204"/>
        <v>161.93675185327953</v>
      </c>
      <c r="AV242" s="58" t="str">
        <f t="shared" si="181"/>
        <v>0.650967905109371+0.851154966745394i</v>
      </c>
      <c r="AW242" s="64">
        <f t="shared" si="205"/>
        <v>0.60026616739662741</v>
      </c>
      <c r="AX242" s="61">
        <f t="shared" si="206"/>
        <v>52.59104600332909</v>
      </c>
    </row>
    <row r="243" spans="14:50" x14ac:dyDescent="0.25">
      <c r="N243" s="10">
        <v>25</v>
      </c>
      <c r="O243" s="50">
        <f t="shared" si="207"/>
        <v>1778.2794100389244</v>
      </c>
      <c r="P243" s="48" t="str">
        <f t="shared" si="172"/>
        <v>304.285714285714</v>
      </c>
      <c r="Q243" s="17" t="str">
        <f t="shared" si="173"/>
        <v>1+581.807561116209i</v>
      </c>
      <c r="R243" s="17">
        <f t="shared" si="182"/>
        <v>581.80842050626188</v>
      </c>
      <c r="S243" s="17">
        <f t="shared" si="183"/>
        <v>1.5690775471122353</v>
      </c>
      <c r="T243" s="17" t="str">
        <f t="shared" si="174"/>
        <v>1+0.0120671197861139i</v>
      </c>
      <c r="U243" s="17">
        <f t="shared" si="184"/>
        <v>1.0000728050396792</v>
      </c>
      <c r="V243" s="17">
        <f t="shared" si="185"/>
        <v>1.206653411787165E-2</v>
      </c>
      <c r="W243" s="31" t="str">
        <f t="shared" si="175"/>
        <v>1-0.0377097493316061i</v>
      </c>
      <c r="X243" s="17">
        <f t="shared" si="186"/>
        <v>1.0007107600074323</v>
      </c>
      <c r="Y243" s="17">
        <f t="shared" si="187"/>
        <v>-3.7691889829250987E-2</v>
      </c>
      <c r="Z243" s="31" t="str">
        <f t="shared" si="176"/>
        <v>0.999801444788655+0.332654635569006i</v>
      </c>
      <c r="AA243" s="17">
        <f t="shared" si="188"/>
        <v>1.0536897245237946</v>
      </c>
      <c r="AB243" s="17">
        <f t="shared" si="189"/>
        <v>0.32119908219523796</v>
      </c>
      <c r="AC243" s="66" t="str">
        <f t="shared" si="190"/>
        <v>-0.168045158346215-0.467451927928838i</v>
      </c>
      <c r="AD243" s="64">
        <f t="shared" si="191"/>
        <v>-6.0774199353530056</v>
      </c>
      <c r="AE243" s="61">
        <f t="shared" si="192"/>
        <v>-109.7730977023169</v>
      </c>
      <c r="AF243" s="31" t="str">
        <f t="shared" si="177"/>
        <v>-1512.12121212121</v>
      </c>
      <c r="AG243" s="31" t="str">
        <f t="shared" si="193"/>
        <v>11173.2590612166i</v>
      </c>
      <c r="AH243" s="31">
        <f t="shared" si="194"/>
        <v>11173.2590612166</v>
      </c>
      <c r="AI243" s="31">
        <f t="shared" si="195"/>
        <v>1.5707963267948966</v>
      </c>
      <c r="AJ243" s="31" t="str">
        <f t="shared" si="178"/>
        <v>0.457277097225942+15.3997342465258i</v>
      </c>
      <c r="AK243" s="31">
        <f t="shared" si="196"/>
        <v>15.40652190493581</v>
      </c>
      <c r="AL243" s="31">
        <f t="shared" si="197"/>
        <v>1.5411112190110194</v>
      </c>
      <c r="AM243" s="31" t="str">
        <f t="shared" si="179"/>
        <v>1+76.6932501961906i</v>
      </c>
      <c r="AN243" s="31">
        <f t="shared" si="198"/>
        <v>76.699769397668277</v>
      </c>
      <c r="AO243" s="31">
        <f t="shared" si="199"/>
        <v>1.5577581085455097</v>
      </c>
      <c r="AP243" s="31" t="str">
        <f t="shared" si="180"/>
        <v>1+2.94974039216118i</v>
      </c>
      <c r="AQ243" s="31">
        <f t="shared" si="200"/>
        <v>3.1146377608234301</v>
      </c>
      <c r="AR243" s="31">
        <f t="shared" si="201"/>
        <v>1.2439429149541714</v>
      </c>
      <c r="AS243" s="58" t="str">
        <f t="shared" si="202"/>
        <v>-1.99831563827388+0.64057053632691i</v>
      </c>
      <c r="AT243" s="49">
        <f t="shared" si="203"/>
        <v>6.4380746877565507</v>
      </c>
      <c r="AU243" s="61">
        <f t="shared" si="204"/>
        <v>162.22647549442186</v>
      </c>
      <c r="AV243" s="58" t="str">
        <f t="shared" si="181"/>
        <v>0.635243200039876+0.826471720512496i</v>
      </c>
      <c r="AW243" s="64">
        <f t="shared" si="205"/>
        <v>0.360654752403545</v>
      </c>
      <c r="AX243" s="61">
        <f t="shared" si="206"/>
        <v>52.453377792104959</v>
      </c>
    </row>
    <row r="244" spans="14:50" x14ac:dyDescent="0.25">
      <c r="N244" s="10">
        <v>26</v>
      </c>
      <c r="O244" s="50">
        <f t="shared" si="207"/>
        <v>1819.7008586099832</v>
      </c>
      <c r="P244" s="48" t="str">
        <f t="shared" si="172"/>
        <v>304.285714285714</v>
      </c>
      <c r="Q244" s="17" t="str">
        <f t="shared" si="173"/>
        <v>1+595.359600146168i</v>
      </c>
      <c r="R244" s="17">
        <f t="shared" si="182"/>
        <v>595.36043997414288</v>
      </c>
      <c r="S244" s="17">
        <f t="shared" si="183"/>
        <v>1.5691166712399345</v>
      </c>
      <c r="T244" s="17" t="str">
        <f t="shared" si="174"/>
        <v>1+0.0123481991141427i</v>
      </c>
      <c r="U244" s="17">
        <f t="shared" si="184"/>
        <v>1.0000762361047093</v>
      </c>
      <c r="V244" s="17">
        <f t="shared" si="185"/>
        <v>1.2347571561898349E-2</v>
      </c>
      <c r="W244" s="31" t="str">
        <f t="shared" si="175"/>
        <v>1-0.0385881222316961i</v>
      </c>
      <c r="X244" s="17">
        <f t="shared" si="186"/>
        <v>1.0007442446386432</v>
      </c>
      <c r="Y244" s="17">
        <f t="shared" si="187"/>
        <v>-3.8568986198704309E-2</v>
      </c>
      <c r="Z244" s="31" t="str">
        <f t="shared" si="176"/>
        <v>0.999792087169837+0.340403157427469i</v>
      </c>
      <c r="AA244" s="17">
        <f t="shared" si="188"/>
        <v>1.0561527006801665</v>
      </c>
      <c r="AB244" s="17">
        <f t="shared" si="189"/>
        <v>0.32816328076040363</v>
      </c>
      <c r="AC244" s="66" t="str">
        <f t="shared" si="190"/>
        <v>-0.167301825710483-0.454504715905152i</v>
      </c>
      <c r="AD244" s="64">
        <f t="shared" si="191"/>
        <v>-6.2973783065227629</v>
      </c>
      <c r="AE244" s="61">
        <f t="shared" si="192"/>
        <v>-110.20851019595436</v>
      </c>
      <c r="AF244" s="31" t="str">
        <f t="shared" si="177"/>
        <v>-1512.12121212121</v>
      </c>
      <c r="AG244" s="31" t="str">
        <f t="shared" si="193"/>
        <v>11433.5176982803i</v>
      </c>
      <c r="AH244" s="31">
        <f t="shared" si="194"/>
        <v>11433.5176982803</v>
      </c>
      <c r="AI244" s="31">
        <f t="shared" si="195"/>
        <v>1.5707963267948966</v>
      </c>
      <c r="AJ244" s="31" t="str">
        <f t="shared" si="178"/>
        <v>0.43169935482424+15.7584401374557i</v>
      </c>
      <c r="AK244" s="31">
        <f t="shared" si="196"/>
        <v>15.764352187728187</v>
      </c>
      <c r="AL244" s="31">
        <f t="shared" si="197"/>
        <v>1.5434083742792248</v>
      </c>
      <c r="AM244" s="31" t="str">
        <f t="shared" si="179"/>
        <v>1+78.4796654809958i</v>
      </c>
      <c r="AN244" s="31">
        <f t="shared" si="198"/>
        <v>78.486036299516385</v>
      </c>
      <c r="AO244" s="31">
        <f t="shared" si="199"/>
        <v>1.558054862132531</v>
      </c>
      <c r="AP244" s="31" t="str">
        <f t="shared" si="180"/>
        <v>1+3.018448672346i</v>
      </c>
      <c r="AQ244" s="31">
        <f t="shared" si="200"/>
        <v>3.1797849593309495</v>
      </c>
      <c r="AR244" s="31">
        <f t="shared" si="201"/>
        <v>1.250880483169452</v>
      </c>
      <c r="AS244" s="58" t="str">
        <f t="shared" si="202"/>
        <v>-1.9969289244308+0.629270853282208i</v>
      </c>
      <c r="AT244" s="49">
        <f t="shared" si="203"/>
        <v>6.418415125556586</v>
      </c>
      <c r="AU244" s="61">
        <f t="shared" si="204"/>
        <v>162.50935429957886</v>
      </c>
      <c r="AV244" s="58" t="str">
        <f t="shared" si="181"/>
        <v>0.620096425269766+0.802335450860695i</v>
      </c>
      <c r="AW244" s="64">
        <f t="shared" si="205"/>
        <v>0.1210368190338218</v>
      </c>
      <c r="AX244" s="61">
        <f t="shared" si="206"/>
        <v>52.300844103624527</v>
      </c>
    </row>
    <row r="245" spans="14:50" x14ac:dyDescent="0.25">
      <c r="N245" s="10">
        <v>27</v>
      </c>
      <c r="O245" s="50">
        <f t="shared" si="207"/>
        <v>1862.0871366628687</v>
      </c>
      <c r="P245" s="48" t="str">
        <f t="shared" si="172"/>
        <v>304.285714285714</v>
      </c>
      <c r="Q245" s="17" t="str">
        <f t="shared" si="173"/>
        <v>1+609.227306716646i</v>
      </c>
      <c r="R245" s="17">
        <f t="shared" si="182"/>
        <v>609.22812742782833</v>
      </c>
      <c r="S245" s="17">
        <f t="shared" si="183"/>
        <v>1.5691549047987283</v>
      </c>
      <c r="T245" s="17" t="str">
        <f t="shared" si="174"/>
        <v>1+0.0126358256207897i</v>
      </c>
      <c r="U245" s="17">
        <f t="shared" si="184"/>
        <v>1.0000798288582362</v>
      </c>
      <c r="V245" s="17">
        <f t="shared" si="185"/>
        <v>1.2635153189343749E-2</v>
      </c>
      <c r="W245" s="31" t="str">
        <f t="shared" si="175"/>
        <v>1-0.0394869550649677i</v>
      </c>
      <c r="X245" s="17">
        <f t="shared" si="186"/>
        <v>1.0007793061511128</v>
      </c>
      <c r="Y245" s="17">
        <f t="shared" si="187"/>
        <v>-3.9466451298449529E-2</v>
      </c>
      <c r="Z245" s="31" t="str">
        <f t="shared" si="176"/>
        <v>0.99978228854003+0.348332165545771i</v>
      </c>
      <c r="AA245" s="17">
        <f t="shared" si="188"/>
        <v>1.0587256122490596</v>
      </c>
      <c r="AB245" s="17">
        <f t="shared" si="189"/>
        <v>0.33525586918836725</v>
      </c>
      <c r="AC245" s="66" t="str">
        <f t="shared" si="190"/>
        <v>-0.166527520306372-0.441820884268929i</v>
      </c>
      <c r="AD245" s="64">
        <f t="shared" si="191"/>
        <v>-6.5181763540593805</v>
      </c>
      <c r="AE245" s="61">
        <f t="shared" si="192"/>
        <v>-110.65201994921213</v>
      </c>
      <c r="AF245" s="31" t="str">
        <f t="shared" si="177"/>
        <v>-1512.12121212121</v>
      </c>
      <c r="AG245" s="31" t="str">
        <f t="shared" si="193"/>
        <v>11699.8385377682i</v>
      </c>
      <c r="AH245" s="31">
        <f t="shared" si="194"/>
        <v>11699.838537768201</v>
      </c>
      <c r="AI245" s="31">
        <f t="shared" si="195"/>
        <v>1.5707963267948966</v>
      </c>
      <c r="AJ245" s="31" t="str">
        <f t="shared" si="178"/>
        <v>0.404916170560718+16.1255013619342i</v>
      </c>
      <c r="AK245" s="31">
        <f t="shared" si="196"/>
        <v>16.130584344000788</v>
      </c>
      <c r="AL245" s="31">
        <f t="shared" si="197"/>
        <v>1.5456913027643224</v>
      </c>
      <c r="AM245" s="31" t="str">
        <f t="shared" si="179"/>
        <v>1+80.3076917232408i</v>
      </c>
      <c r="AN245" s="31">
        <f t="shared" si="198"/>
        <v>80.313917535599501</v>
      </c>
      <c r="AO245" s="31">
        <f t="shared" si="199"/>
        <v>1.5583448629517909</v>
      </c>
      <c r="AP245" s="31" t="str">
        <f t="shared" si="180"/>
        <v>1+3.0887573739708i</v>
      </c>
      <c r="AQ245" s="31">
        <f t="shared" si="200"/>
        <v>3.2466016255862056</v>
      </c>
      <c r="AR245" s="31">
        <f t="shared" si="201"/>
        <v>1.2576910880123273</v>
      </c>
      <c r="AS245" s="58" t="str">
        <f t="shared" si="202"/>
        <v>-1.99559352757627+0.618297173342715i</v>
      </c>
      <c r="AT245" s="49">
        <f t="shared" si="203"/>
        <v>6.3995289829748501</v>
      </c>
      <c r="AU245" s="61">
        <f t="shared" si="204"/>
        <v>162.7853868688797</v>
      </c>
      <c r="AV245" s="58" t="str">
        <f t="shared" si="181"/>
        <v>0.605497845553979+0.778731401905898i</v>
      </c>
      <c r="AW245" s="64">
        <f t="shared" si="205"/>
        <v>-0.1186473710845294</v>
      </c>
      <c r="AX245" s="61">
        <f t="shared" si="206"/>
        <v>52.133366919667601</v>
      </c>
    </row>
    <row r="246" spans="14:50" x14ac:dyDescent="0.25">
      <c r="N246" s="10">
        <v>28</v>
      </c>
      <c r="O246" s="50">
        <f t="shared" si="207"/>
        <v>1905.4607179632501</v>
      </c>
      <c r="P246" s="48" t="str">
        <f t="shared" si="172"/>
        <v>304.285714285714</v>
      </c>
      <c r="Q246" s="17" t="str">
        <f t="shared" si="173"/>
        <v>1+623.418033669226i</v>
      </c>
      <c r="R246" s="17">
        <f t="shared" si="182"/>
        <v>623.41883569876541</v>
      </c>
      <c r="S246" s="17">
        <f t="shared" si="183"/>
        <v>1.5691922680601083</v>
      </c>
      <c r="T246" s="17" t="str">
        <f t="shared" si="174"/>
        <v>1+0.0129301518094358i</v>
      </c>
      <c r="U246" s="17">
        <f t="shared" si="184"/>
        <v>1.0000835909191865</v>
      </c>
      <c r="V246" s="17">
        <f t="shared" si="185"/>
        <v>1.2929431289412614E-2</v>
      </c>
      <c r="W246" s="31" t="str">
        <f t="shared" si="175"/>
        <v>1-0.0404067244044868i</v>
      </c>
      <c r="X246" s="17">
        <f t="shared" si="186"/>
        <v>1.0008160187452537</v>
      </c>
      <c r="Y246" s="17">
        <f t="shared" si="187"/>
        <v>-4.0384755190202973E-2</v>
      </c>
      <c r="Z246" s="31" t="str">
        <f t="shared" si="176"/>
        <v>0.999772028115028+0.35644586398897i</v>
      </c>
      <c r="AA246" s="17">
        <f t="shared" si="188"/>
        <v>1.0614130968459357</v>
      </c>
      <c r="AB246" s="17">
        <f t="shared" si="189"/>
        <v>0.34247776998692403</v>
      </c>
      <c r="AC246" s="66" t="str">
        <f t="shared" si="190"/>
        <v>-0.165721577964641-0.429394962413546i</v>
      </c>
      <c r="AD246" s="64">
        <f t="shared" si="191"/>
        <v>-6.7398449785981454</v>
      </c>
      <c r="AE246" s="61">
        <f t="shared" si="192"/>
        <v>-111.10369918638835</v>
      </c>
      <c r="AF246" s="31" t="str">
        <f t="shared" si="177"/>
        <v>-1512.12121212121</v>
      </c>
      <c r="AG246" s="31" t="str">
        <f t="shared" si="193"/>
        <v>11972.3627865146i</v>
      </c>
      <c r="AH246" s="31">
        <f t="shared" si="194"/>
        <v>11972.362786514601</v>
      </c>
      <c r="AI246" s="31">
        <f t="shared" si="195"/>
        <v>1.5707963267948966</v>
      </c>
      <c r="AJ246" s="31" t="str">
        <f t="shared" si="178"/>
        <v>0.376870733710664+16.5011125406811i</v>
      </c>
      <c r="AK246" s="31">
        <f t="shared" si="196"/>
        <v>16.505415675775954</v>
      </c>
      <c r="AL246" s="31">
        <f t="shared" si="197"/>
        <v>1.5479611861407376</v>
      </c>
      <c r="AM246" s="31" t="str">
        <f t="shared" si="179"/>
        <v>1+82.178298166636i</v>
      </c>
      <c r="AN246" s="31">
        <f t="shared" si="198"/>
        <v>82.184382272817075</v>
      </c>
      <c r="AO246" s="31">
        <f t="shared" si="199"/>
        <v>1.5586282645703367</v>
      </c>
      <c r="AP246" s="31" t="str">
        <f t="shared" si="180"/>
        <v>1+3.16070377563985i</v>
      </c>
      <c r="AQ246" s="31">
        <f t="shared" si="200"/>
        <v>3.3151241843020003</v>
      </c>
      <c r="AR246" s="31">
        <f t="shared" si="201"/>
        <v>1.2643758124470541</v>
      </c>
      <c r="AS246" s="58" t="str">
        <f t="shared" si="202"/>
        <v>-1.99430667788416+0.607644130318001i</v>
      </c>
      <c r="AT246" s="49">
        <f t="shared" si="203"/>
        <v>6.3813873619234238</v>
      </c>
      <c r="AU246" s="61">
        <f t="shared" si="204"/>
        <v>163.05457634539184</v>
      </c>
      <c r="AV246" s="58" t="str">
        <f t="shared" si="181"/>
        <v>0.591418978103094+0.755645496873902i</v>
      </c>
      <c r="AW246" s="64">
        <f t="shared" si="205"/>
        <v>-0.35845761667471754</v>
      </c>
      <c r="AX246" s="61">
        <f t="shared" si="206"/>
        <v>51.95087715900349</v>
      </c>
    </row>
    <row r="247" spans="14:50" x14ac:dyDescent="0.25">
      <c r="N247" s="10">
        <v>29</v>
      </c>
      <c r="O247" s="50">
        <f t="shared" si="207"/>
        <v>1949.8445997580463</v>
      </c>
      <c r="P247" s="48" t="str">
        <f t="shared" si="172"/>
        <v>304.285714285714</v>
      </c>
      <c r="Q247" s="17" t="str">
        <f t="shared" si="173"/>
        <v>1+637.939305115162i</v>
      </c>
      <c r="R247" s="17">
        <f t="shared" si="182"/>
        <v>637.94008888830285</v>
      </c>
      <c r="S247" s="17">
        <f t="shared" si="183"/>
        <v>1.5692287808341527</v>
      </c>
      <c r="T247" s="17" t="str">
        <f t="shared" si="174"/>
        <v>1+0.0132313337357219i</v>
      </c>
      <c r="U247" s="17">
        <f t="shared" si="184"/>
        <v>1.0000875302654393</v>
      </c>
      <c r="V247" s="17">
        <f t="shared" si="185"/>
        <v>1.3230561688256684E-2</v>
      </c>
      <c r="W247" s="31" t="str">
        <f t="shared" si="175"/>
        <v>1-0.0413479179241308i</v>
      </c>
      <c r="X247" s="17">
        <f t="shared" si="186"/>
        <v>1.0008544601072928</v>
      </c>
      <c r="Y247" s="17">
        <f t="shared" si="187"/>
        <v>-4.1324378572195855E-2</v>
      </c>
      <c r="Z247" s="31" t="str">
        <f t="shared" si="176"/>
        <v>0.999761284131092+0.36474855474737i</v>
      </c>
      <c r="AA247" s="17">
        <f t="shared" si="188"/>
        <v>1.0642199647806583</v>
      </c>
      <c r="AB247" s="17">
        <f t="shared" si="189"/>
        <v>0.34982981626536969</v>
      </c>
      <c r="AC247" s="66" t="str">
        <f t="shared" si="190"/>
        <v>-0.164883340667037-0.417221671366309i</v>
      </c>
      <c r="AD247" s="64">
        <f t="shared" si="191"/>
        <v>-6.9624158415067043</v>
      </c>
      <c r="AE247" s="61">
        <f t="shared" si="192"/>
        <v>-111.56361538996241</v>
      </c>
      <c r="AF247" s="31" t="str">
        <f t="shared" si="177"/>
        <v>-1512.12121212121</v>
      </c>
      <c r="AG247" s="31" t="str">
        <f t="shared" si="193"/>
        <v>12251.2349404832i</v>
      </c>
      <c r="AH247" s="31">
        <f t="shared" si="194"/>
        <v>12251.2349404832</v>
      </c>
      <c r="AI247" s="31">
        <f t="shared" si="195"/>
        <v>1.5707963267948966</v>
      </c>
      <c r="AJ247" s="31" t="str">
        <f t="shared" si="178"/>
        <v>0.347503556142437+16.885472827715i</v>
      </c>
      <c r="AK247" s="31">
        <f t="shared" si="196"/>
        <v>16.889048266170395</v>
      </c>
      <c r="AL247" s="31">
        <f t="shared" si="197"/>
        <v>1.5502192004172266</v>
      </c>
      <c r="AM247" s="31" t="str">
        <f t="shared" si="179"/>
        <v>1+84.0924766314765i</v>
      </c>
      <c r="AN247" s="31">
        <f t="shared" si="198"/>
        <v>84.09842225639801</v>
      </c>
      <c r="AO247" s="31">
        <f t="shared" si="199"/>
        <v>1.5589052170692588</v>
      </c>
      <c r="AP247" s="31" t="str">
        <f t="shared" si="180"/>
        <v>1+3.23432602428756i</v>
      </c>
      <c r="AQ247" s="31">
        <f t="shared" si="200"/>
        <v>3.3853899083242651</v>
      </c>
      <c r="AR247" s="31">
        <f t="shared" si="201"/>
        <v>1.2709358102802029</v>
      </c>
      <c r="AS247" s="58" t="str">
        <f t="shared" si="202"/>
        <v>-1.99306570340215+0.597306494366438i</v>
      </c>
      <c r="AT247" s="49">
        <f t="shared" si="203"/>
        <v>6.3639620804209276</v>
      </c>
      <c r="AU247" s="61">
        <f t="shared" si="204"/>
        <v>163.31693005603694</v>
      </c>
      <c r="AV247" s="58" t="str">
        <f t="shared" si="181"/>
        <v>0.577832545243361+0.733064313723058i</v>
      </c>
      <c r="AW247" s="64">
        <f t="shared" si="205"/>
        <v>-0.59845376108577619</v>
      </c>
      <c r="AX247" s="61">
        <f t="shared" si="206"/>
        <v>51.753314666074495</v>
      </c>
    </row>
    <row r="248" spans="14:50" x14ac:dyDescent="0.25">
      <c r="N248" s="10">
        <v>30</v>
      </c>
      <c r="O248" s="50">
        <f t="shared" si="207"/>
        <v>1995.2623149688804</v>
      </c>
      <c r="P248" s="48" t="str">
        <f t="shared" si="172"/>
        <v>304.285714285714</v>
      </c>
      <c r="Q248" s="17" t="str">
        <f t="shared" si="173"/>
        <v>1+652.798820424801i</v>
      </c>
      <c r="R248" s="17">
        <f t="shared" si="182"/>
        <v>652.7995863571083</v>
      </c>
      <c r="S248" s="17">
        <f t="shared" si="183"/>
        <v>1.569264462480028</v>
      </c>
      <c r="T248" s="17" t="str">
        <f t="shared" si="174"/>
        <v>1+0.0135395310902921i</v>
      </c>
      <c r="U248" s="17">
        <f t="shared" si="184"/>
        <v>1.00009165525073</v>
      </c>
      <c r="V248" s="17">
        <f t="shared" si="185"/>
        <v>1.3538703830623252E-2</v>
      </c>
      <c r="W248" s="31" t="str">
        <f t="shared" si="175"/>
        <v>1-0.0423110346571629i</v>
      </c>
      <c r="X248" s="17">
        <f t="shared" si="186"/>
        <v>1.0008947115724809</v>
      </c>
      <c r="Y248" s="17">
        <f t="shared" si="187"/>
        <v>-4.2285813004711653E-2</v>
      </c>
      <c r="Z248" s="31" t="str">
        <f t="shared" si="176"/>
        <v>0.999750033798794+0.373244640017517i</v>
      </c>
      <c r="AA248" s="17">
        <f t="shared" si="188"/>
        <v>1.0671512036176014</v>
      </c>
      <c r="AB248" s="17">
        <f t="shared" si="189"/>
        <v>0.35731274535629898</v>
      </c>
      <c r="AC248" s="66" t="str">
        <f t="shared" si="190"/>
        <v>-0.164012159696977-0.405295921793397i</v>
      </c>
      <c r="AD248" s="64">
        <f t="shared" si="191"/>
        <v>-7.1859213512199158</v>
      </c>
      <c r="AE248" s="61">
        <f t="shared" si="192"/>
        <v>-112.03183094399709</v>
      </c>
      <c r="AF248" s="31" t="str">
        <f t="shared" si="177"/>
        <v>-1512.12121212121</v>
      </c>
      <c r="AG248" s="31" t="str">
        <f t="shared" si="193"/>
        <v>12536.6028613816i</v>
      </c>
      <c r="AH248" s="31">
        <f t="shared" si="194"/>
        <v>12536.6028613816</v>
      </c>
      <c r="AI248" s="31">
        <f t="shared" si="195"/>
        <v>1.5707963267948966</v>
      </c>
      <c r="AJ248" s="31" t="str">
        <f t="shared" si="178"/>
        <v>0.316752346135052+17.2787860159478i</v>
      </c>
      <c r="AK248" s="31">
        <f t="shared" si="196"/>
        <v>17.281689102448734</v>
      </c>
      <c r="AL248" s="31">
        <f t="shared" si="197"/>
        <v>1.5524665164314044</v>
      </c>
      <c r="AM248" s="31" t="str">
        <f t="shared" si="179"/>
        <v>1+86.0512420405231i</v>
      </c>
      <c r="AN248" s="31">
        <f t="shared" si="198"/>
        <v>86.057052335742313</v>
      </c>
      <c r="AO248" s="31">
        <f t="shared" si="199"/>
        <v>1.5591758671223965</v>
      </c>
      <c r="AP248" s="31" t="str">
        <f t="shared" si="180"/>
        <v>1+3.30966315540474i</v>
      </c>
      <c r="AQ248" s="31">
        <f t="shared" si="200"/>
        <v>3.4574369411810912</v>
      </c>
      <c r="AR248" s="31">
        <f t="shared" si="201"/>
        <v>1.27737230049719</v>
      </c>
      <c r="AS248" s="58" t="str">
        <f t="shared" si="202"/>
        <v>-1.99186802486436+0.587279171150505i</v>
      </c>
      <c r="AT248" s="49">
        <f t="shared" si="203"/>
        <v>6.3472256751632292</v>
      </c>
      <c r="AU248" s="61">
        <f t="shared" si="204"/>
        <v>163.57245916327273</v>
      </c>
      <c r="AV248" s="58" t="str">
        <f t="shared" si="181"/>
        <v>0.564712429610862+0.710975062022749i</v>
      </c>
      <c r="AW248" s="64">
        <f t="shared" si="205"/>
        <v>-0.83869567605668494</v>
      </c>
      <c r="AX248" s="61">
        <f t="shared" si="206"/>
        <v>51.540628219275625</v>
      </c>
    </row>
    <row r="249" spans="14:50" x14ac:dyDescent="0.25">
      <c r="N249" s="10">
        <v>31</v>
      </c>
      <c r="O249" s="50">
        <f t="shared" si="207"/>
        <v>2041.7379446695318</v>
      </c>
      <c r="P249" s="48" t="str">
        <f t="shared" si="172"/>
        <v>304.285714285714</v>
      </c>
      <c r="Q249" s="17" t="str">
        <f t="shared" si="173"/>
        <v>1+668.004458309839i</v>
      </c>
      <c r="R249" s="17">
        <f t="shared" si="182"/>
        <v>668.00520680741818</v>
      </c>
      <c r="S249" s="17">
        <f t="shared" si="183"/>
        <v>1.5692993319162514</v>
      </c>
      <c r="T249" s="17" t="str">
        <f t="shared" si="174"/>
        <v>1+0.0138549072834633i</v>
      </c>
      <c r="U249" s="17">
        <f t="shared" si="184"/>
        <v>1.0000959746223526</v>
      </c>
      <c r="V249" s="17">
        <f t="shared" si="185"/>
        <v>1.3854020863351945E-2</v>
      </c>
      <c r="W249" s="31" t="str">
        <f t="shared" si="175"/>
        <v>1-0.0432965852608228i</v>
      </c>
      <c r="X249" s="17">
        <f t="shared" si="186"/>
        <v>1.0009368582958904</v>
      </c>
      <c r="Y249" s="17">
        <f t="shared" si="187"/>
        <v>-4.3269561139297655E-2</v>
      </c>
      <c r="Z249" s="31" t="str">
        <f t="shared" si="176"/>
        <v>0.999738253254669+0.381938624536277i</v>
      </c>
      <c r="AA249" s="17">
        <f t="shared" si="188"/>
        <v>1.0702119827087342</v>
      </c>
      <c r="AB249" s="17">
        <f t="shared" si="189"/>
        <v>0.36492719229809362</v>
      </c>
      <c r="AC249" s="66" t="str">
        <f t="shared" si="190"/>
        <v>-0.163107398975627-0.393612811933316i</v>
      </c>
      <c r="AD249" s="64">
        <f t="shared" si="191"/>
        <v>-7.410394646203958</v>
      </c>
      <c r="AE249" s="61">
        <f t="shared" si="192"/>
        <v>-112.50840276964955</v>
      </c>
      <c r="AF249" s="31" t="str">
        <f t="shared" si="177"/>
        <v>-1512.12121212121</v>
      </c>
      <c r="AG249" s="31" t="str">
        <f t="shared" si="193"/>
        <v>12828.6178550586i</v>
      </c>
      <c r="AH249" s="31">
        <f t="shared" si="194"/>
        <v>12828.617855058599</v>
      </c>
      <c r="AI249" s="31">
        <f t="shared" si="195"/>
        <v>1.5707963267948966</v>
      </c>
      <c r="AJ249" s="31" t="str">
        <f t="shared" si="178"/>
        <v>0.284551876249218+17.6812606452381i</v>
      </c>
      <c r="AK249" s="31">
        <f t="shared" si="196"/>
        <v>17.683550202804938</v>
      </c>
      <c r="AL249" s="31">
        <f t="shared" si="197"/>
        <v>1.5547043003466632</v>
      </c>
      <c r="AM249" s="31" t="str">
        <f t="shared" si="179"/>
        <v>1+88.055632957122i</v>
      </c>
      <c r="AN249" s="31">
        <f t="shared" si="198"/>
        <v>88.061311002502052</v>
      </c>
      <c r="AO249" s="31">
        <f t="shared" si="199"/>
        <v>1.5594403580732952</v>
      </c>
      <c r="AP249" s="31" t="str">
        <f t="shared" si="180"/>
        <v>1+3.38675511373547i</v>
      </c>
      <c r="AQ249" s="31">
        <f t="shared" si="200"/>
        <v>3.5313043199947183</v>
      </c>
      <c r="AR249" s="31">
        <f t="shared" si="201"/>
        <v>1.2836865617987152</v>
      </c>
      <c r="AS249" s="58" t="str">
        <f t="shared" si="202"/>
        <v>-1.99071115066255+0.577557200920454i</v>
      </c>
      <c r="AT249" s="49">
        <f t="shared" si="203"/>
        <v>6.3311514016444717</v>
      </c>
      <c r="AU249" s="61">
        <f t="shared" si="204"/>
        <v>163.82117832799227</v>
      </c>
      <c r="AV249" s="58" t="str">
        <f t="shared" si="181"/>
        <v>0.552033631802981+0.689365560957515i</v>
      </c>
      <c r="AW249" s="64">
        <f t="shared" si="205"/>
        <v>-1.0792432445594839</v>
      </c>
      <c r="AX249" s="61">
        <f t="shared" si="206"/>
        <v>51.312775558342764</v>
      </c>
    </row>
    <row r="250" spans="14:50" x14ac:dyDescent="0.25">
      <c r="N250" s="10">
        <v>32</v>
      </c>
      <c r="O250" s="50">
        <f t="shared" si="207"/>
        <v>2089.2961308540398</v>
      </c>
      <c r="P250" s="48" t="str">
        <f t="shared" si="172"/>
        <v>304.285714285714</v>
      </c>
      <c r="Q250" s="17" t="str">
        <f t="shared" si="173"/>
        <v>1+683.564281000763i</v>
      </c>
      <c r="R250" s="17">
        <f t="shared" si="182"/>
        <v>683.56501246047549</v>
      </c>
      <c r="S250" s="17">
        <f t="shared" si="183"/>
        <v>1.5693334076307204</v>
      </c>
      <c r="T250" s="17" t="str">
        <f t="shared" si="174"/>
        <v>1+0.0141776295318676i</v>
      </c>
      <c r="U250" s="17">
        <f t="shared" si="184"/>
        <v>1.0001004975396937</v>
      </c>
      <c r="V250" s="17">
        <f t="shared" si="185"/>
        <v>1.4176679720760515E-2</v>
      </c>
      <c r="W250" s="31" t="str">
        <f t="shared" si="175"/>
        <v>1-0.0443050922870864i</v>
      </c>
      <c r="X250" s="17">
        <f t="shared" si="186"/>
        <v>1.0009809894311517</v>
      </c>
      <c r="Y250" s="17">
        <f t="shared" si="187"/>
        <v>-4.4276136951638262E-2</v>
      </c>
      <c r="Z250" s="31" t="str">
        <f t="shared" si="176"/>
        <v>0.999725917510605+0.390835117969324i</v>
      </c>
      <c r="AA250" s="17">
        <f t="shared" si="188"/>
        <v>1.0734076576867322</v>
      </c>
      <c r="AB250" s="17">
        <f t="shared" si="189"/>
        <v>0.37267368319723687</v>
      </c>
      <c r="AC250" s="66" t="str">
        <f t="shared" si="190"/>
        <v>-0.162168438581567-0.382167625435975i</v>
      </c>
      <c r="AD250" s="64">
        <f t="shared" si="191"/>
        <v>-7.6358695743431459</v>
      </c>
      <c r="AE250" s="61">
        <f t="shared" si="192"/>
        <v>-112.99338195388493</v>
      </c>
      <c r="AF250" s="31" t="str">
        <f t="shared" si="177"/>
        <v>-1512.12121212121</v>
      </c>
      <c r="AG250" s="31" t="str">
        <f t="shared" si="193"/>
        <v>13127.4347517293i</v>
      </c>
      <c r="AH250" s="31">
        <f t="shared" si="194"/>
        <v>13127.434751729301</v>
      </c>
      <c r="AI250" s="31">
        <f t="shared" si="195"/>
        <v>1.5707963267948966</v>
      </c>
      <c r="AJ250" s="31" t="str">
        <f t="shared" si="178"/>
        <v>0.250833844971094+18.0931101129616i</v>
      </c>
      <c r="AK250" s="31">
        <f t="shared" si="196"/>
        <v>18.094848747020137</v>
      </c>
      <c r="AL250" s="31">
        <f t="shared" si="197"/>
        <v>1.5569337141512092</v>
      </c>
      <c r="AM250" s="31" t="str">
        <f t="shared" si="179"/>
        <v>1+90.1067121358697i</v>
      </c>
      <c r="AN250" s="31">
        <f t="shared" si="198"/>
        <v>90.112260941208703</v>
      </c>
      <c r="AO250" s="31">
        <f t="shared" si="199"/>
        <v>1.5596988300104524</v>
      </c>
      <c r="AP250" s="31" t="str">
        <f t="shared" si="180"/>
        <v>1+3.46564277445653i</v>
      </c>
      <c r="AQ250" s="31">
        <f t="shared" si="200"/>
        <v>3.6070319987688988</v>
      </c>
      <c r="AR250" s="31">
        <f t="shared" si="201"/>
        <v>1.2898799273429147</v>
      </c>
      <c r="AS250" s="58" t="str">
        <f t="shared" si="202"/>
        <v>-1.98959267196867+0.568135757533462i</v>
      </c>
      <c r="AT250" s="49">
        <f t="shared" si="203"/>
        <v>6.3157132320206291</v>
      </c>
      <c r="AU250" s="61">
        <f t="shared" si="204"/>
        <v>164.06310538398958</v>
      </c>
      <c r="AV250" s="58" t="str">
        <f t="shared" si="181"/>
        <v>0.539772230408319+0.668224218329526i</v>
      </c>
      <c r="AW250" s="64">
        <f t="shared" si="205"/>
        <v>-1.320156342322518</v>
      </c>
      <c r="AX250" s="61">
        <f t="shared" si="206"/>
        <v>51.069723430104638</v>
      </c>
    </row>
    <row r="251" spans="14:50" x14ac:dyDescent="0.25">
      <c r="N251" s="10">
        <v>33</v>
      </c>
      <c r="O251" s="50">
        <f t="shared" si="207"/>
        <v>2137.9620895022344</v>
      </c>
      <c r="P251" s="48" t="str">
        <f t="shared" si="172"/>
        <v>304.285714285714</v>
      </c>
      <c r="Q251" s="17" t="str">
        <f t="shared" si="173"/>
        <v>1+699.486538521511i</v>
      </c>
      <c r="R251" s="17">
        <f t="shared" si="182"/>
        <v>699.48725333118489</v>
      </c>
      <c r="S251" s="17">
        <f t="shared" si="183"/>
        <v>1.5693667076905129</v>
      </c>
      <c r="T251" s="17" t="str">
        <f t="shared" si="174"/>
        <v>1+0.0145078689471128i</v>
      </c>
      <c r="U251" s="17">
        <f t="shared" si="184"/>
        <v>1.0001052335936387</v>
      </c>
      <c r="V251" s="17">
        <f t="shared" si="185"/>
        <v>1.4506851211958913E-2</v>
      </c>
      <c r="W251" s="31" t="str">
        <f t="shared" si="175"/>
        <v>1-0.0453370904597275i</v>
      </c>
      <c r="X251" s="17">
        <f t="shared" si="186"/>
        <v>1.001027198317485</v>
      </c>
      <c r="Y251" s="17">
        <f t="shared" si="187"/>
        <v>-4.5306065978046622E-2</v>
      </c>
      <c r="Z251" s="31" t="str">
        <f t="shared" si="176"/>
        <v>0.999713000400834+0.399938837355231i</v>
      </c>
      <c r="AA251" s="17">
        <f t="shared" si="188"/>
        <v>1.0767437749044533</v>
      </c>
      <c r="AB251" s="17">
        <f t="shared" si="189"/>
        <v>0.38055262849213156</v>
      </c>
      <c r="AC251" s="66" t="str">
        <f t="shared" si="190"/>
        <v>-0.16119467845027-0.370955829083869i</v>
      </c>
      <c r="AD251" s="64">
        <f t="shared" si="191"/>
        <v>-7.8623806685419133</v>
      </c>
      <c r="AE251" s="61">
        <f t="shared" si="192"/>
        <v>-113.48681337263037</v>
      </c>
      <c r="AF251" s="31" t="str">
        <f t="shared" si="177"/>
        <v>-1512.12121212121</v>
      </c>
      <c r="AG251" s="31" t="str">
        <f t="shared" si="193"/>
        <v>13433.2119880674i</v>
      </c>
      <c r="AH251" s="31">
        <f t="shared" si="194"/>
        <v>13433.2119880674</v>
      </c>
      <c r="AI251" s="31">
        <f t="shared" si="195"/>
        <v>1.5707963267948966</v>
      </c>
      <c r="AJ251" s="31" t="str">
        <f t="shared" si="178"/>
        <v>0.215526731835709+18.5145527871577i</v>
      </c>
      <c r="AK251" s="31">
        <f t="shared" si="196"/>
        <v>18.515807211152982</v>
      </c>
      <c r="AL251" s="31">
        <f t="shared" si="197"/>
        <v>1.5591559161589146</v>
      </c>
      <c r="AM251" s="31" t="str">
        <f t="shared" si="179"/>
        <v>1+92.2055670860944i</v>
      </c>
      <c r="AN251" s="31">
        <f t="shared" si="198"/>
        <v>92.21098959271751</v>
      </c>
      <c r="AO251" s="31">
        <f t="shared" si="199"/>
        <v>1.5599514198408877</v>
      </c>
      <c r="AP251" s="31" t="str">
        <f t="shared" si="180"/>
        <v>1+3.54636796484979i</v>
      </c>
      <c r="AQ251" s="31">
        <f t="shared" si="200"/>
        <v>3.6846608720631049</v>
      </c>
      <c r="AR251" s="31">
        <f t="shared" si="201"/>
        <v>1.2959537796972254</v>
      </c>
      <c r="AS251" s="58" t="str">
        <f t="shared" si="202"/>
        <v>-1.98851025800184+0.559010147414956i</v>
      </c>
      <c r="AT251" s="49">
        <f t="shared" si="203"/>
        <v>6.3008858509022927</v>
      </c>
      <c r="AU251" s="61">
        <f t="shared" si="204"/>
        <v>164.29826102424201</v>
      </c>
      <c r="AV251" s="58" t="str">
        <f t="shared" si="181"/>
        <v>0.527905344334281+0.647540010435859i</v>
      </c>
      <c r="AW251" s="64">
        <f t="shared" si="205"/>
        <v>-1.5614948176396188</v>
      </c>
      <c r="AX251" s="61">
        <f t="shared" si="206"/>
        <v>50.811447651611651</v>
      </c>
    </row>
    <row r="252" spans="14:50" x14ac:dyDescent="0.25">
      <c r="N252" s="10">
        <v>34</v>
      </c>
      <c r="O252" s="50">
        <f t="shared" si="207"/>
        <v>2187.7616239495528</v>
      </c>
      <c r="P252" s="48" t="str">
        <f t="shared" si="172"/>
        <v>304.285714285714</v>
      </c>
      <c r="Q252" s="17" t="str">
        <f t="shared" si="173"/>
        <v>1+715.779673063785i</v>
      </c>
      <c r="R252" s="17">
        <f t="shared" si="182"/>
        <v>715.78037160242036</v>
      </c>
      <c r="S252" s="17">
        <f t="shared" si="183"/>
        <v>1.5693992497514657</v>
      </c>
      <c r="T252" s="17" t="str">
        <f t="shared" si="174"/>
        <v>1+0.0148458006265081i</v>
      </c>
      <c r="U252" s="17">
        <f t="shared" si="184"/>
        <v>1.0001101928268914</v>
      </c>
      <c r="V252" s="17">
        <f t="shared" si="185"/>
        <v>1.4844710110132402E-2</v>
      </c>
      <c r="W252" s="31" t="str">
        <f t="shared" si="175"/>
        <v>1-0.0463931269578378i</v>
      </c>
      <c r="X252" s="17">
        <f t="shared" si="186"/>
        <v>1.0010755826754172</v>
      </c>
      <c r="Y252" s="17">
        <f t="shared" si="187"/>
        <v>-4.6359885555541921E-2</v>
      </c>
      <c r="Z252" s="31" t="str">
        <f t="shared" si="176"/>
        <v>0.999699474526434+0.40925460960652i</v>
      </c>
      <c r="AA252" s="17">
        <f t="shared" si="188"/>
        <v>1.0802260758066402</v>
      </c>
      <c r="AB252" s="17">
        <f t="shared" si="189"/>
        <v>0.38856431614295539</v>
      </c>
      <c r="AC252" s="66" t="str">
        <f t="shared" si="190"/>
        <v>-0.160185542247443-0.359973070370946i</v>
      </c>
      <c r="AD252" s="64">
        <f t="shared" si="191"/>
        <v>-8.0899631183434995</v>
      </c>
      <c r="AE252" s="61">
        <f t="shared" si="192"/>
        <v>-113.98873530977143</v>
      </c>
      <c r="AF252" s="31" t="str">
        <f t="shared" si="177"/>
        <v>-1512.12121212121</v>
      </c>
      <c r="AG252" s="31" t="str">
        <f t="shared" si="193"/>
        <v>13746.1116912112i</v>
      </c>
      <c r="AH252" s="31">
        <f t="shared" si="194"/>
        <v>13746.111691211199</v>
      </c>
      <c r="AI252" s="31">
        <f t="shared" si="195"/>
        <v>1.5707963267948966</v>
      </c>
      <c r="AJ252" s="31" t="str">
        <f t="shared" si="178"/>
        <v>0.178555645722383+18.9458121223106i</v>
      </c>
      <c r="AK252" s="31">
        <f t="shared" si="196"/>
        <v>18.946653506424575</v>
      </c>
      <c r="AL252" s="31">
        <f t="shared" si="197"/>
        <v>1.5613720615117412</v>
      </c>
      <c r="AM252" s="31" t="str">
        <f t="shared" si="179"/>
        <v>1+94.3533106484735i</v>
      </c>
      <c r="AN252" s="31">
        <f t="shared" si="198"/>
        <v>94.358609730788956</v>
      </c>
      <c r="AO252" s="31">
        <f t="shared" si="199"/>
        <v>1.5601982613620735</v>
      </c>
      <c r="AP252" s="31" t="str">
        <f t="shared" si="180"/>
        <v>1+3.62897348647975i</v>
      </c>
      <c r="AQ252" s="31">
        <f t="shared" si="200"/>
        <v>3.7642327990671611</v>
      </c>
      <c r="AR252" s="31">
        <f t="shared" si="201"/>
        <v>1.3019095460025578</v>
      </c>
      <c r="AS252" s="58" t="str">
        <f t="shared" si="202"/>
        <v>-1.9874616514329+0.550175808468252i</v>
      </c>
      <c r="AT252" s="49">
        <f t="shared" si="203"/>
        <v>6.286644649256079</v>
      </c>
      <c r="AU252" s="61">
        <f t="shared" si="204"/>
        <v>164.52666849917193</v>
      </c>
      <c r="AV252" s="58" t="str">
        <f t="shared" si="181"/>
        <v>0.516411097348912+0.6273024626999i</v>
      </c>
      <c r="AW252" s="64">
        <f t="shared" si="205"/>
        <v>-1.8033184690874169</v>
      </c>
      <c r="AX252" s="61">
        <f t="shared" si="206"/>
        <v>50.537933189400505</v>
      </c>
    </row>
    <row r="253" spans="14:50" x14ac:dyDescent="0.25">
      <c r="N253" s="10">
        <v>35</v>
      </c>
      <c r="O253" s="50">
        <f t="shared" si="207"/>
        <v>2238.7211385683418</v>
      </c>
      <c r="P253" s="48" t="str">
        <f t="shared" si="172"/>
        <v>304.285714285714</v>
      </c>
      <c r="Q253" s="17" t="str">
        <f t="shared" si="173"/>
        <v>1+732.452323463182i</v>
      </c>
      <c r="R253" s="17">
        <f t="shared" si="182"/>
        <v>732.45300610115169</v>
      </c>
      <c r="S253" s="17">
        <f t="shared" si="183"/>
        <v>1.5694310510675349</v>
      </c>
      <c r="T253" s="17" t="str">
        <f t="shared" si="174"/>
        <v>1+0.015191603745903i</v>
      </c>
      <c r="U253" s="17">
        <f t="shared" si="184"/>
        <v>1.0001153857552501</v>
      </c>
      <c r="V253" s="17">
        <f t="shared" si="185"/>
        <v>1.5190435243834781E-2</v>
      </c>
      <c r="W253" s="31" t="str">
        <f t="shared" si="175"/>
        <v>1-0.0474737617059469i</v>
      </c>
      <c r="X253" s="17">
        <f t="shared" si="186"/>
        <v>1.0011262448115688</v>
      </c>
      <c r="Y253" s="17">
        <f t="shared" si="187"/>
        <v>-4.7438145065452283E-2</v>
      </c>
      <c r="Z253" s="31" t="str">
        <f t="shared" si="176"/>
        <v>0.999685311197212+0.418787374068949i</v>
      </c>
      <c r="AA253" s="17">
        <f t="shared" si="188"/>
        <v>1.0838605012191527</v>
      </c>
      <c r="AB253" s="17">
        <f t="shared" si="189"/>
        <v>0.39670890477485138</v>
      </c>
      <c r="AC253" s="66" t="str">
        <f t="shared" si="190"/>
        <v>-0.15914048140791-0.349215174914355i</v>
      </c>
      <c r="AD253" s="64">
        <f t="shared" si="191"/>
        <v>-8.3186527373717851</v>
      </c>
      <c r="AE253" s="61">
        <f t="shared" si="192"/>
        <v>-114.49917907354799</v>
      </c>
      <c r="AF253" s="31" t="str">
        <f t="shared" si="177"/>
        <v>-1512.12121212121</v>
      </c>
      <c r="AG253" s="31" t="str">
        <f t="shared" si="193"/>
        <v>14066.299764725i</v>
      </c>
      <c r="AH253" s="31">
        <f t="shared" si="194"/>
        <v>14066.299764724999</v>
      </c>
      <c r="AI253" s="31">
        <f t="shared" si="195"/>
        <v>1.5707963267948966</v>
      </c>
      <c r="AJ253" s="31" t="str">
        <f t="shared" si="178"/>
        <v>0.139842166000663+19.3871167778282i</v>
      </c>
      <c r="AK253" s="31">
        <f t="shared" si="196"/>
        <v>19.387621122472442</v>
      </c>
      <c r="AL253" s="31">
        <f t="shared" si="197"/>
        <v>1.5635833026834771</v>
      </c>
      <c r="AM253" s="31" t="str">
        <f t="shared" si="179"/>
        <v>1+96.5510815850722i</v>
      </c>
      <c r="AN253" s="31">
        <f t="shared" si="198"/>
        <v>96.556260052092256</v>
      </c>
      <c r="AO253" s="31">
        <f t="shared" si="199"/>
        <v>1.5604394853322607</v>
      </c>
      <c r="AP253" s="31" t="str">
        <f t="shared" si="180"/>
        <v>1+3.7135031378874i</v>
      </c>
      <c r="AQ253" s="31">
        <f t="shared" si="200"/>
        <v>3.845790628089309</v>
      </c>
      <c r="AR253" s="31">
        <f t="shared" si="201"/>
        <v>1.3077486933509126</v>
      </c>
      <c r="AS253" s="58" t="str">
        <f t="shared" si="202"/>
        <v>-1.98644466391925+0.541628308937917i</v>
      </c>
      <c r="AT253" s="49">
        <f t="shared" si="203"/>
        <v>6.2729657165839665</v>
      </c>
      <c r="AU253" s="61">
        <f t="shared" si="204"/>
        <v>164.74835332697074</v>
      </c>
      <c r="AV253" s="58" t="str">
        <f t="shared" si="181"/>
        <v>0.505268584750604+0.607501630939716i</v>
      </c>
      <c r="AW253" s="64">
        <f t="shared" si="205"/>
        <v>-2.0456870207878168</v>
      </c>
      <c r="AX253" s="61">
        <f t="shared" si="206"/>
        <v>50.24917425342278</v>
      </c>
    </row>
    <row r="254" spans="14:50" x14ac:dyDescent="0.25">
      <c r="N254" s="10">
        <v>36</v>
      </c>
      <c r="O254" s="50">
        <f t="shared" si="207"/>
        <v>2290.8676527677749</v>
      </c>
      <c r="P254" s="48" t="str">
        <f t="shared" si="172"/>
        <v>304.285714285714</v>
      </c>
      <c r="Q254" s="17" t="str">
        <f t="shared" si="173"/>
        <v>1+749.51332977963i</v>
      </c>
      <c r="R254" s="17">
        <f t="shared" si="182"/>
        <v>749.51399687887647</v>
      </c>
      <c r="S254" s="17">
        <f t="shared" si="183"/>
        <v>1.5694621284999413</v>
      </c>
      <c r="T254" s="17" t="str">
        <f t="shared" si="174"/>
        <v>1+0.0155454616546886i</v>
      </c>
      <c r="U254" s="17">
        <f t="shared" si="184"/>
        <v>1.0001208233898828</v>
      </c>
      <c r="V254" s="17">
        <f t="shared" si="185"/>
        <v>1.5544209590333608E-2</v>
      </c>
      <c r="W254" s="31" t="str">
        <f t="shared" si="175"/>
        <v>1-0.0485795676709019i</v>
      </c>
      <c r="X254" s="17">
        <f t="shared" si="186"/>
        <v>1.0011792918329323</v>
      </c>
      <c r="Y254" s="17">
        <f t="shared" si="187"/>
        <v>-4.8541406180486808E-2</v>
      </c>
      <c r="Z254" s="31" t="str">
        <f t="shared" si="176"/>
        <v>0.999670480370849+0.428542185140414i</v>
      </c>
      <c r="AA254" s="17">
        <f t="shared" si="188"/>
        <v>1.0876531955406581</v>
      </c>
      <c r="AB254" s="17">
        <f t="shared" si="189"/>
        <v>0.40498641680470221</v>
      </c>
      <c r="AC254" s="66" t="str">
        <f t="shared" si="190"/>
        <v>-0.158058979329193-0.338678143673841i</v>
      </c>
      <c r="AD254" s="64">
        <f t="shared" si="191"/>
        <v>-8.5484859264148501</v>
      </c>
      <c r="AE254" s="61">
        <f t="shared" si="192"/>
        <v>-115.01816861208019</v>
      </c>
      <c r="AF254" s="31" t="str">
        <f t="shared" si="177"/>
        <v>-1512.12121212121</v>
      </c>
      <c r="AG254" s="31" t="str">
        <f t="shared" si="193"/>
        <v>14393.9459765635i</v>
      </c>
      <c r="AH254" s="31">
        <f t="shared" si="194"/>
        <v>14393.9459765635</v>
      </c>
      <c r="AI254" s="31">
        <f t="shared" si="195"/>
        <v>1.5707963267948966</v>
      </c>
      <c r="AJ254" s="31" t="str">
        <f t="shared" si="178"/>
        <v>0.099304176189669+19.8387007392802i</v>
      </c>
      <c r="AK254" s="31">
        <f t="shared" si="196"/>
        <v>19.838949275153801</v>
      </c>
      <c r="AL254" s="31">
        <f t="shared" si="197"/>
        <v>1.5657907899845607</v>
      </c>
      <c r="AM254" s="31" t="str">
        <f t="shared" si="179"/>
        <v>1+98.8000451831316i</v>
      </c>
      <c r="AN254" s="31">
        <f t="shared" si="198"/>
        <v>98.80510577995878</v>
      </c>
      <c r="AO254" s="31">
        <f t="shared" si="199"/>
        <v>1.5606752195392339</v>
      </c>
      <c r="AP254" s="31" t="str">
        <f t="shared" si="180"/>
        <v>1+3.80000173781276i</v>
      </c>
      <c r="AQ254" s="31">
        <f t="shared" si="200"/>
        <v>3.9293782214721955</v>
      </c>
      <c r="AR254" s="31">
        <f t="shared" si="201"/>
        <v>1.3134727243763997</v>
      </c>
      <c r="AS254" s="58" t="str">
        <f t="shared" si="202"/>
        <v>-1.98545717176366+0.533363346232016i</v>
      </c>
      <c r="AT254" s="49">
        <f t="shared" si="203"/>
        <v>6.2598258315456023</v>
      </c>
      <c r="AU254" s="61">
        <f t="shared" si="204"/>
        <v>164.96334301599867</v>
      </c>
      <c r="AV254" s="58" t="str">
        <f t="shared" si="181"/>
        <v>0.494457842076318+0.588128083159795i</v>
      </c>
      <c r="AW254" s="64">
        <f t="shared" si="205"/>
        <v>-2.2886600948692504</v>
      </c>
      <c r="AX254" s="61">
        <f t="shared" si="206"/>
        <v>49.945174403918458</v>
      </c>
    </row>
    <row r="255" spans="14:50" x14ac:dyDescent="0.25">
      <c r="N255" s="10">
        <v>37</v>
      </c>
      <c r="O255" s="50">
        <f t="shared" si="207"/>
        <v>2344.2288153199238</v>
      </c>
      <c r="P255" s="48" t="str">
        <f t="shared" si="172"/>
        <v>304.285714285714</v>
      </c>
      <c r="Q255" s="17" t="str">
        <f t="shared" si="173"/>
        <v>1+766.97173798451i</v>
      </c>
      <c r="R255" s="17">
        <f t="shared" si="182"/>
        <v>766.97238989873676</v>
      </c>
      <c r="S255" s="17">
        <f t="shared" si="183"/>
        <v>1.5694924985261109</v>
      </c>
      <c r="T255" s="17" t="str">
        <f t="shared" si="174"/>
        <v>1+0.015907561973012i</v>
      </c>
      <c r="U255" s="17">
        <f t="shared" si="184"/>
        <v>1.0001265172606539</v>
      </c>
      <c r="V255" s="17">
        <f t="shared" si="185"/>
        <v>1.5906220371050203E-2</v>
      </c>
      <c r="W255" s="31" t="str">
        <f t="shared" si="175"/>
        <v>1-0.0497111311656626i</v>
      </c>
      <c r="X255" s="17">
        <f t="shared" si="186"/>
        <v>1.0012348358710705</v>
      </c>
      <c r="Y255" s="17">
        <f t="shared" si="187"/>
        <v>-4.9670243115201948E-2</v>
      </c>
      <c r="Z255" s="31" t="str">
        <f t="shared" si="176"/>
        <v>0.999654950589173+0.438524214950867i</v>
      </c>
      <c r="AA255" s="17">
        <f t="shared" si="188"/>
        <v>1.0916105108213807</v>
      </c>
      <c r="AB255" s="17">
        <f t="shared" si="189"/>
        <v>0.41339673158466878</v>
      </c>
      <c r="AC255" s="66" t="str">
        <f t="shared" si="190"/>
        <v>-0.156940555706182-0.328358149953491i</v>
      </c>
      <c r="AD255" s="64">
        <f t="shared" si="191"/>
        <v>-8.7794996319819312</v>
      </c>
      <c r="AE255" s="61">
        <f t="shared" si="192"/>
        <v>-115.54572012991643</v>
      </c>
      <c r="AF255" s="31" t="str">
        <f t="shared" si="177"/>
        <v>-1512.12121212121</v>
      </c>
      <c r="AG255" s="31" t="str">
        <f t="shared" si="193"/>
        <v>14729.2240490852i</v>
      </c>
      <c r="AH255" s="31">
        <f t="shared" si="194"/>
        <v>14729.2240490852</v>
      </c>
      <c r="AI255" s="31">
        <f t="shared" si="195"/>
        <v>1.5707963267948966</v>
      </c>
      <c r="AJ255" s="31" t="str">
        <f t="shared" si="178"/>
        <v>0.0568556897779789+20.3008034424605i</v>
      </c>
      <c r="AK255" s="31">
        <f t="shared" si="196"/>
        <v>20.300883059090708</v>
      </c>
      <c r="AL255" s="31">
        <f t="shared" si="197"/>
        <v>1.5679956720677728</v>
      </c>
      <c r="AM255" s="31" t="str">
        <f t="shared" si="179"/>
        <v>1+101.101393872921i</v>
      </c>
      <c r="AN255" s="31">
        <f t="shared" si="198"/>
        <v>101.10633928220084</v>
      </c>
      <c r="AO255" s="31">
        <f t="shared" si="199"/>
        <v>1.5609055888675312</v>
      </c>
      <c r="AP255" s="31" t="str">
        <f t="shared" si="180"/>
        <v>1+3.88851514895849i</v>
      </c>
      <c r="AQ255" s="31">
        <f t="shared" si="200"/>
        <v>4.0150404809515523</v>
      </c>
      <c r="AR255" s="31">
        <f t="shared" si="201"/>
        <v>1.3190831730585117</v>
      </c>
      <c r="AS255" s="58" t="str">
        <f t="shared" si="202"/>
        <v>-1.98449711169009+0.525376745707743i</v>
      </c>
      <c r="AT255" s="49">
        <f t="shared" si="203"/>
        <v>6.2472024511768804</v>
      </c>
      <c r="AU255" s="61">
        <f t="shared" si="204"/>
        <v>165.17166679920703</v>
      </c>
      <c r="AV255" s="58" t="str">
        <f t="shared" si="181"/>
        <v>0.483959815755136+0.569172881756126i</v>
      </c>
      <c r="AW255" s="64">
        <f t="shared" si="205"/>
        <v>-2.5322971808050463</v>
      </c>
      <c r="AX255" s="61">
        <f t="shared" si="206"/>
        <v>49.625946669290627</v>
      </c>
    </row>
    <row r="256" spans="14:50" x14ac:dyDescent="0.25">
      <c r="N256" s="10">
        <v>38</v>
      </c>
      <c r="O256" s="50">
        <f t="shared" si="207"/>
        <v>2398.8329190194918</v>
      </c>
      <c r="P256" s="48" t="str">
        <f t="shared" si="172"/>
        <v>304.285714285714</v>
      </c>
      <c r="Q256" s="17" t="str">
        <f t="shared" si="173"/>
        <v>1+784.836804756937i</v>
      </c>
      <c r="R256" s="17">
        <f t="shared" si="182"/>
        <v>784.83744183179635</v>
      </c>
      <c r="S256" s="17">
        <f t="shared" si="183"/>
        <v>1.5695221772484094</v>
      </c>
      <c r="T256" s="17" t="str">
        <f t="shared" si="174"/>
        <v>1+0.016278096691255i</v>
      </c>
      <c r="U256" s="17">
        <f t="shared" si="184"/>
        <v>1.0001324794405437</v>
      </c>
      <c r="V256" s="17">
        <f t="shared" si="185"/>
        <v>1.6276659149137212E-2</v>
      </c>
      <c r="W256" s="31" t="str">
        <f t="shared" si="175"/>
        <v>1-0.0508690521601718i</v>
      </c>
      <c r="X256" s="17">
        <f t="shared" si="186"/>
        <v>1.0012929943166857</v>
      </c>
      <c r="Y256" s="17">
        <f t="shared" si="187"/>
        <v>-5.0825242879774669E-2</v>
      </c>
      <c r="Z256" s="31" t="str">
        <f t="shared" si="176"/>
        <v>0.999638688911435+0.44873875610464i</v>
      </c>
      <c r="AA256" s="17">
        <f t="shared" si="188"/>
        <v>1.0957390107132776</v>
      </c>
      <c r="AB256" s="17">
        <f t="shared" si="189"/>
        <v>0.4219395785985543</v>
      </c>
      <c r="AC256" s="66" t="str">
        <f t="shared" si="190"/>
        <v>-0.155784770990429-0.318251536160773i</v>
      </c>
      <c r="AD256" s="64">
        <f t="shared" si="191"/>
        <v>-9.0117313001803865</v>
      </c>
      <c r="AE256" s="61">
        <f t="shared" si="192"/>
        <v>-116.08184170766324</v>
      </c>
      <c r="AF256" s="31" t="str">
        <f t="shared" si="177"/>
        <v>-1512.12121212121</v>
      </c>
      <c r="AG256" s="31" t="str">
        <f t="shared" si="193"/>
        <v>15072.311751162i</v>
      </c>
      <c r="AH256" s="31">
        <f t="shared" si="194"/>
        <v>15072.311751162</v>
      </c>
      <c r="AI256" s="31">
        <f t="shared" si="195"/>
        <v>1.5707963267948966</v>
      </c>
      <c r="AJ256" s="31" t="str">
        <f t="shared" si="178"/>
        <v>0.012406667834754+20.7736699003388i</v>
      </c>
      <c r="AK256" s="31">
        <f t="shared" si="196"/>
        <v>20.773673605158262</v>
      </c>
      <c r="AL256" s="31">
        <f t="shared" si="197"/>
        <v>1.5701990964345804</v>
      </c>
      <c r="AM256" s="31" t="str">
        <f t="shared" si="179"/>
        <v>1+103.456347859976i</v>
      </c>
      <c r="AN256" s="31">
        <f t="shared" si="198"/>
        <v>103.46118070331674</v>
      </c>
      <c r="AO256" s="31">
        <f t="shared" si="199"/>
        <v>1.5611307153641572</v>
      </c>
      <c r="AP256" s="31" t="str">
        <f t="shared" si="180"/>
        <v>1+3.97909030230677i</v>
      </c>
      <c r="AQ256" s="31">
        <f t="shared" si="200"/>
        <v>4.1028233734724413</v>
      </c>
      <c r="AR256" s="31">
        <f t="shared" si="201"/>
        <v>1.324581600735488</v>
      </c>
      <c r="AS256" s="58" t="str">
        <f t="shared" si="202"/>
        <v>-1.98356247672967+0.51766445942449i</v>
      </c>
      <c r="AT256" s="49">
        <f t="shared" si="203"/>
        <v>6.235073698849714</v>
      </c>
      <c r="AU256" s="61">
        <f t="shared" si="204"/>
        <v>165.37335538047461</v>
      </c>
      <c r="AV256" s="58" t="str">
        <f t="shared" si="181"/>
        <v>0.47375633561022+0.550627566028757i</v>
      </c>
      <c r="AW256" s="64">
        <f t="shared" si="205"/>
        <v>-2.7766576013306699</v>
      </c>
      <c r="AX256" s="61">
        <f t="shared" si="206"/>
        <v>49.291513672811384</v>
      </c>
    </row>
    <row r="257" spans="14:50" x14ac:dyDescent="0.25">
      <c r="N257" s="10">
        <v>39</v>
      </c>
      <c r="O257" s="50">
        <f t="shared" si="207"/>
        <v>2454.7089156850338</v>
      </c>
      <c r="P257" s="48" t="str">
        <f t="shared" si="172"/>
        <v>304.285714285714</v>
      </c>
      <c r="Q257" s="17" t="str">
        <f t="shared" si="173"/>
        <v>1+803.118002391791i</v>
      </c>
      <c r="R257" s="17">
        <f t="shared" si="182"/>
        <v>803.11862496506751</v>
      </c>
      <c r="S257" s="17">
        <f t="shared" si="183"/>
        <v>1.5695511804026787</v>
      </c>
      <c r="T257" s="17" t="str">
        <f t="shared" si="174"/>
        <v>1+0.0166572622718297i</v>
      </c>
      <c r="U257" s="17">
        <f t="shared" si="184"/>
        <v>1.0001387225712204</v>
      </c>
      <c r="V257" s="17">
        <f t="shared" si="185"/>
        <v>1.6655721929237286E-2</v>
      </c>
      <c r="W257" s="31" t="str">
        <f t="shared" si="175"/>
        <v>1-0.0520539445994678i</v>
      </c>
      <c r="X257" s="17">
        <f t="shared" si="186"/>
        <v>1.0013538900650281</v>
      </c>
      <c r="Y257" s="17">
        <f t="shared" si="187"/>
        <v>-5.2007005536985798E-2</v>
      </c>
      <c r="Z257" s="31" t="str">
        <f t="shared" si="176"/>
        <v>0.999621660844436+0.45919122448666i</v>
      </c>
      <c r="AA257" s="17">
        <f t="shared" si="188"/>
        <v>1.1000454742759258</v>
      </c>
      <c r="AB257" s="17">
        <f t="shared" si="189"/>
        <v>0.43061453075001194</v>
      </c>
      <c r="AC257" s="66" t="str">
        <f t="shared" si="190"/>
        <v>-0.154591230954578-0.308354810298223i</v>
      </c>
      <c r="AD257" s="64">
        <f t="shared" si="191"/>
        <v>-9.2452188257805954</v>
      </c>
      <c r="AE257" s="61">
        <f t="shared" si="192"/>
        <v>-116.62653292692599</v>
      </c>
      <c r="AF257" s="31" t="str">
        <f t="shared" si="177"/>
        <v>-1512.12121212121</v>
      </c>
      <c r="AG257" s="31" t="str">
        <f t="shared" si="193"/>
        <v>15423.3909924349i</v>
      </c>
      <c r="AH257" s="31">
        <f t="shared" si="194"/>
        <v>15423.390992434901</v>
      </c>
      <c r="AI257" s="31">
        <f t="shared" si="195"/>
        <v>1.5707963267948966</v>
      </c>
      <c r="AJ257" s="31" t="str">
        <f t="shared" si="178"/>
        <v>-0.0341371719749399+21.2575508329703i</v>
      </c>
      <c r="AK257" s="31">
        <f t="shared" si="196"/>
        <v>21.257578243130769</v>
      </c>
      <c r="AL257" s="31">
        <f t="shared" si="197"/>
        <v>1.5724022099419326</v>
      </c>
      <c r="AM257" s="31" t="str">
        <f t="shared" si="179"/>
        <v>1+105.866155772073i</v>
      </c>
      <c r="AN257" s="31">
        <f t="shared" si="198"/>
        <v>105.87087861143323</v>
      </c>
      <c r="AO257" s="31">
        <f t="shared" si="199"/>
        <v>1.5613507183028297</v>
      </c>
      <c r="AP257" s="31" t="str">
        <f t="shared" si="180"/>
        <v>1+4.07177522200281i</v>
      </c>
      <c r="AQ257" s="31">
        <f t="shared" si="200"/>
        <v>4.1927739574792282</v>
      </c>
      <c r="AR257" s="31">
        <f t="shared" si="201"/>
        <v>1.3299695923248176</v>
      </c>
      <c r="AS257" s="58" t="str">
        <f t="shared" si="202"/>
        <v>-1.98265131221069+0.510222564868059i</v>
      </c>
      <c r="AT257" s="49">
        <f t="shared" si="203"/>
        <v>6.223418351111615</v>
      </c>
      <c r="AU257" s="61">
        <f t="shared" si="204"/>
        <v>165.56844069270204</v>
      </c>
      <c r="AV257" s="58" t="str">
        <f t="shared" si="181"/>
        <v>0.463830089108123+0.532484134900495i</v>
      </c>
      <c r="AW257" s="64">
        <f t="shared" si="205"/>
        <v>-3.0218004746689777</v>
      </c>
      <c r="AX257" s="61">
        <f t="shared" si="206"/>
        <v>48.941907765776037</v>
      </c>
    </row>
    <row r="258" spans="14:50" x14ac:dyDescent="0.25">
      <c r="N258" s="10">
        <v>40</v>
      </c>
      <c r="O258" s="50">
        <f t="shared" si="207"/>
        <v>2511.8864315095811</v>
      </c>
      <c r="P258" s="48" t="str">
        <f t="shared" si="172"/>
        <v>304.285714285714</v>
      </c>
      <c r="Q258" s="17" t="str">
        <f t="shared" si="173"/>
        <v>1+821.82502382204i</v>
      </c>
      <c r="R258" s="17">
        <f t="shared" si="182"/>
        <v>821.82563222382919</v>
      </c>
      <c r="S258" s="17">
        <f t="shared" si="183"/>
        <v>1.5695795233665799</v>
      </c>
      <c r="T258" s="17" t="str">
        <f t="shared" si="174"/>
        <v>1+0.017045259753346i</v>
      </c>
      <c r="U258" s="17">
        <f t="shared" si="184"/>
        <v>1.0001452598898117</v>
      </c>
      <c r="V258" s="17">
        <f t="shared" si="185"/>
        <v>1.7043609259468157E-2</v>
      </c>
      <c r="W258" s="31" t="str">
        <f t="shared" si="175"/>
        <v>1-0.0532664367292063i</v>
      </c>
      <c r="X258" s="17">
        <f t="shared" si="186"/>
        <v>1.001417651772639</v>
      </c>
      <c r="Y258" s="17">
        <f t="shared" si="187"/>
        <v>-5.3216144462298304E-2</v>
      </c>
      <c r="Z258" s="31" t="str">
        <f t="shared" si="176"/>
        <v>0.999603830269363+0.46988716213402i</v>
      </c>
      <c r="AA258" s="17">
        <f t="shared" si="188"/>
        <v>1.1045368996224363</v>
      </c>
      <c r="AB258" s="17">
        <f t="shared" si="189"/>
        <v>0.43942099778436994</v>
      </c>
      <c r="AC258" s="66" t="str">
        <f t="shared" si="190"/>
        <v>-0.153359591339315-0.29866464216408i</v>
      </c>
      <c r="AD258" s="64">
        <f t="shared" si="191"/>
        <v>-9.4800004963571816</v>
      </c>
      <c r="AE258" s="61">
        <f t="shared" si="192"/>
        <v>-117.17978450294289</v>
      </c>
      <c r="AF258" s="31" t="str">
        <f t="shared" si="177"/>
        <v>-1512.12121212121</v>
      </c>
      <c r="AG258" s="31" t="str">
        <f t="shared" si="193"/>
        <v>15782.6479197648i</v>
      </c>
      <c r="AH258" s="31">
        <f t="shared" si="194"/>
        <v>15782.6479197648</v>
      </c>
      <c r="AI258" s="31">
        <f t="shared" si="195"/>
        <v>1.5707963267948966</v>
      </c>
      <c r="AJ258" s="31" t="str">
        <f t="shared" si="178"/>
        <v>-0.0828745553755901+21.7527028004304i</v>
      </c>
      <c r="AK258" s="31">
        <f t="shared" si="196"/>
        <v>21.752860669709197</v>
      </c>
      <c r="AL258" s="31">
        <f t="shared" si="197"/>
        <v>1.574606159309305</v>
      </c>
      <c r="AM258" s="31" t="str">
        <f t="shared" si="179"/>
        <v>1+108.332095321265i</v>
      </c>
      <c r="AN258" s="31">
        <f t="shared" si="198"/>
        <v>108.33671066030962</v>
      </c>
      <c r="AO258" s="31">
        <f t="shared" si="199"/>
        <v>1.5615657142467823</v>
      </c>
      <c r="AP258" s="31" t="str">
        <f t="shared" si="180"/>
        <v>1+4.16661905081791i</v>
      </c>
      <c r="AQ258" s="31">
        <f t="shared" si="200"/>
        <v>4.2849404096951851</v>
      </c>
      <c r="AR258" s="31">
        <f t="shared" si="201"/>
        <v>1.3352487527471379</v>
      </c>
      <c r="AS258" s="58" t="str">
        <f t="shared" si="202"/>
        <v>-1.98176171184579+0.503047263649141i</v>
      </c>
      <c r="AT258" s="49">
        <f t="shared" si="203"/>
        <v>6.2122158235319036</v>
      </c>
      <c r="AU258" s="61">
        <f t="shared" si="204"/>
        <v>165.75695566746344</v>
      </c>
      <c r="AV258" s="58" t="str">
        <f t="shared" si="181"/>
        <v>0.454164597249962+0.514735029745305i</v>
      </c>
      <c r="AW258" s="64">
        <f t="shared" si="205"/>
        <v>-3.2677846728252717</v>
      </c>
      <c r="AX258" s="61">
        <f t="shared" si="206"/>
        <v>48.577171164520564</v>
      </c>
    </row>
    <row r="259" spans="14:50" x14ac:dyDescent="0.25">
      <c r="N259" s="10">
        <v>41</v>
      </c>
      <c r="O259" s="50">
        <f t="shared" si="207"/>
        <v>2570.3957827688669</v>
      </c>
      <c r="P259" s="48" t="str">
        <f t="shared" si="172"/>
        <v>304.285714285714</v>
      </c>
      <c r="Q259" s="17" t="str">
        <f t="shared" si="173"/>
        <v>1+840.967787758056i</v>
      </c>
      <c r="R259" s="17">
        <f t="shared" si="182"/>
        <v>840.96838231093955</v>
      </c>
      <c r="S259" s="17">
        <f t="shared" si="183"/>
        <v>1.5696072211677456</v>
      </c>
      <c r="T259" s="17" t="str">
        <f t="shared" si="174"/>
        <v>1+0.0174422948572041i</v>
      </c>
      <c r="U259" s="17">
        <f t="shared" si="184"/>
        <v>1.0001521052569382</v>
      </c>
      <c r="V259" s="17">
        <f t="shared" si="185"/>
        <v>1.744052633567687E-2</v>
      </c>
      <c r="W259" s="31" t="str">
        <f t="shared" si="175"/>
        <v>1-0.0545071714287628i</v>
      </c>
      <c r="X259" s="17">
        <f t="shared" si="186"/>
        <v>1.0014844141259336</v>
      </c>
      <c r="Y259" s="17">
        <f t="shared" si="187"/>
        <v>-5.445328660690029E-2</v>
      </c>
      <c r="Z259" s="31" t="str">
        <f t="shared" si="176"/>
        <v>0.999585159365177+0.480832240174432i</v>
      </c>
      <c r="AA259" s="17">
        <f t="shared" si="188"/>
        <v>1.1092205073898826</v>
      </c>
      <c r="AB259" s="17">
        <f t="shared" si="189"/>
        <v>0.44835821988856422</v>
      </c>
      <c r="AC259" s="66" t="str">
        <f t="shared" si="190"/>
        <v>-0.152089562557036-0.289177859239314i</v>
      </c>
      <c r="AD259" s="64">
        <f t="shared" si="191"/>
        <v>-9.7161149314227586</v>
      </c>
      <c r="AE259" s="61">
        <f t="shared" si="192"/>
        <v>-117.74157792745294</v>
      </c>
      <c r="AF259" s="31" t="str">
        <f t="shared" si="177"/>
        <v>-1512.12121212121</v>
      </c>
      <c r="AG259" s="31" t="str">
        <f t="shared" si="193"/>
        <v>16150.2730159297i</v>
      </c>
      <c r="AH259" s="31">
        <f t="shared" si="194"/>
        <v>16150.273015929701</v>
      </c>
      <c r="AI259" s="31">
        <f t="shared" si="195"/>
        <v>1.5707963267948966</v>
      </c>
      <c r="AJ259" s="31" t="str">
        <f t="shared" si="178"/>
        <v>-0.1339088608917+22.2593883388464i</v>
      </c>
      <c r="AK259" s="31">
        <f t="shared" si="196"/>
        <v>22.259791122169059</v>
      </c>
      <c r="AL259" s="31">
        <f t="shared" si="197"/>
        <v>1.5768120916257964</v>
      </c>
      <c r="AM259" s="31" t="str">
        <f t="shared" si="179"/>
        <v>1+110.855473981341i</v>
      </c>
      <c r="AN259" s="31">
        <f t="shared" si="198"/>
        <v>110.85998426676676</v>
      </c>
      <c r="AO259" s="31">
        <f t="shared" si="199"/>
        <v>1.5617758171101619</v>
      </c>
      <c r="AP259" s="31" t="str">
        <f t="shared" si="180"/>
        <v>1+4.26367207620544i</v>
      </c>
      <c r="AQ259" s="31">
        <f t="shared" si="200"/>
        <v>4.3793720524081996</v>
      </c>
      <c r="AR259" s="31">
        <f t="shared" si="201"/>
        <v>1.3404207035491618</v>
      </c>
      <c r="AS259" s="58" t="str">
        <f t="shared" si="202"/>
        <v>-1.98089181391014+0.496134880178954i</v>
      </c>
      <c r="AT259" s="49">
        <f t="shared" si="203"/>
        <v>6.2014461556748701</v>
      </c>
      <c r="AU259" s="61">
        <f t="shared" si="204"/>
        <v>165.93893401597745</v>
      </c>
      <c r="AV259" s="58" t="str">
        <f t="shared" si="181"/>
        <v>0.44474419199451+0.497373117235511i</v>
      </c>
      <c r="AW259" s="64">
        <f t="shared" si="205"/>
        <v>-3.5146687757478912</v>
      </c>
      <c r="AX259" s="61">
        <f t="shared" si="206"/>
        <v>48.197356088524508</v>
      </c>
    </row>
    <row r="260" spans="14:50" x14ac:dyDescent="0.25">
      <c r="N260" s="10">
        <v>42</v>
      </c>
      <c r="O260" s="50">
        <f t="shared" si="207"/>
        <v>2630.2679918953822</v>
      </c>
      <c r="P260" s="48" t="str">
        <f t="shared" si="172"/>
        <v>304.285714285714</v>
      </c>
      <c r="Q260" s="17" t="str">
        <f t="shared" si="173"/>
        <v>1+860.556443946666i</v>
      </c>
      <c r="R260" s="17">
        <f t="shared" si="182"/>
        <v>860.55702496588299</v>
      </c>
      <c r="S260" s="17">
        <f t="shared" si="183"/>
        <v>1.5696342884917462</v>
      </c>
      <c r="T260" s="17" t="str">
        <f t="shared" si="174"/>
        <v>1+0.0178485780966715i</v>
      </c>
      <c r="U260" s="17">
        <f t="shared" si="184"/>
        <v>1.0001592731860625</v>
      </c>
      <c r="V260" s="17">
        <f t="shared" si="185"/>
        <v>1.7846683108011522E-2</v>
      </c>
      <c r="W260" s="31" t="str">
        <f t="shared" si="175"/>
        <v>1-0.0557768065520986i</v>
      </c>
      <c r="X260" s="17">
        <f t="shared" si="186"/>
        <v>1.0015543181221627</v>
      </c>
      <c r="Y260" s="17">
        <f t="shared" si="187"/>
        <v>-5.5719072763573303E-2</v>
      </c>
      <c r="Z260" s="31" t="str">
        <f t="shared" si="176"/>
        <v>0.999565608528385+0.492032261833152i</v>
      </c>
      <c r="AA260" s="17">
        <f t="shared" si="188"/>
        <v>1.1141037440190964</v>
      </c>
      <c r="AB260" s="17">
        <f t="shared" si="189"/>
        <v>0.45742526151621027</v>
      </c>
      <c r="AC260" s="66" t="str">
        <f t="shared" si="190"/>
        <v>-0.150780914423221-0.279891442240149i</v>
      </c>
      <c r="AD260" s="64">
        <f t="shared" si="191"/>
        <v>-9.9536010164989985</v>
      </c>
      <c r="AE260" s="61">
        <f t="shared" si="192"/>
        <v>-118.3118851244823</v>
      </c>
      <c r="AF260" s="31" t="str">
        <f t="shared" si="177"/>
        <v>-1512.12121212121</v>
      </c>
      <c r="AG260" s="31" t="str">
        <f t="shared" si="193"/>
        <v>16526.4612006218i</v>
      </c>
      <c r="AH260" s="31">
        <f t="shared" si="194"/>
        <v>16526.461200621801</v>
      </c>
      <c r="AI260" s="31">
        <f t="shared" si="195"/>
        <v>1.5707963267948966</v>
      </c>
      <c r="AJ260" s="31" t="str">
        <f t="shared" si="178"/>
        <v>-0.18734833912757+22.7778760995974i</v>
      </c>
      <c r="AK260" s="31">
        <f t="shared" si="196"/>
        <v>22.778646557879252</v>
      </c>
      <c r="AL260" s="31">
        <f t="shared" si="197"/>
        <v>1.5790211548570872</v>
      </c>
      <c r="AM260" s="31" t="str">
        <f t="shared" si="179"/>
        <v>1+113.437629681068i</v>
      </c>
      <c r="AN260" s="31">
        <f t="shared" si="198"/>
        <v>113.44203730389859</v>
      </c>
      <c r="AO260" s="31">
        <f t="shared" si="199"/>
        <v>1.5619811382180486</v>
      </c>
      <c r="AP260" s="31" t="str">
        <f t="shared" si="180"/>
        <v>1+4.36298575696415i</v>
      </c>
      <c r="AQ260" s="31">
        <f t="shared" si="200"/>
        <v>4.4761193812801778</v>
      </c>
      <c r="AR260" s="31">
        <f t="shared" si="201"/>
        <v>1.3454870797207672</v>
      </c>
      <c r="AS260" s="58" t="str">
        <f t="shared" si="202"/>
        <v>-1.98003979750437+0.48948186032437i</v>
      </c>
      <c r="AT260" s="49">
        <f t="shared" si="203"/>
        <v>6.1910899953111231</v>
      </c>
      <c r="AU260" s="61">
        <f t="shared" si="204"/>
        <v>166.11441002113247</v>
      </c>
      <c r="AV260" s="58" t="str">
        <f t="shared" si="181"/>
        <v>0.435553995098657+0.480391672123103i</v>
      </c>
      <c r="AW260" s="64">
        <f t="shared" si="205"/>
        <v>-3.7625110211878781</v>
      </c>
      <c r="AX260" s="61">
        <f t="shared" si="206"/>
        <v>47.802524896650205</v>
      </c>
    </row>
    <row r="261" spans="14:50" x14ac:dyDescent="0.25">
      <c r="N261" s="10">
        <v>43</v>
      </c>
      <c r="O261" s="50">
        <f t="shared" si="207"/>
        <v>2691.5348039269184</v>
      </c>
      <c r="P261" s="48" t="str">
        <f t="shared" si="172"/>
        <v>304.285714285714</v>
      </c>
      <c r="Q261" s="17" t="str">
        <f t="shared" si="173"/>
        <v>1+880.60137855267i</v>
      </c>
      <c r="R261" s="17">
        <f t="shared" si="182"/>
        <v>880.60194634628351</v>
      </c>
      <c r="S261" s="17">
        <f t="shared" si="183"/>
        <v>1.5696607396898765</v>
      </c>
      <c r="T261" s="17" t="str">
        <f t="shared" si="174"/>
        <v>1+0.0182643248884998i</v>
      </c>
      <c r="U261" s="17">
        <f t="shared" si="184"/>
        <v>1.0001667788742199</v>
      </c>
      <c r="V261" s="17">
        <f t="shared" si="185"/>
        <v>1.8262294389853898E-2</v>
      </c>
      <c r="W261" s="31" t="str">
        <f t="shared" si="175"/>
        <v>1-0.0570760152765619i</v>
      </c>
      <c r="X261" s="17">
        <f t="shared" si="186"/>
        <v>1.0016275113633062</v>
      </c>
      <c r="Y261" s="17">
        <f t="shared" si="187"/>
        <v>-5.7014157835213124E-2</v>
      </c>
      <c r="Z261" s="31" t="str">
        <f t="shared" si="176"/>
        <v>0.999545136289042+0.503493165509914i</v>
      </c>
      <c r="AA261" s="17">
        <f t="shared" si="188"/>
        <v>1.1191942848291681</v>
      </c>
      <c r="AB261" s="17">
        <f t="shared" si="189"/>
        <v>0.46662100548705565</v>
      </c>
      <c r="AC261" s="66" t="str">
        <f t="shared" si="190"/>
        <v>-0.149433480883296-0.270802520317278i</v>
      </c>
      <c r="AD261" s="64">
        <f t="shared" si="191"/>
        <v>-10.192497832102191</v>
      </c>
      <c r="AE261" s="61">
        <f t="shared" si="192"/>
        <v>-118.89066812185843</v>
      </c>
      <c r="AF261" s="31" t="str">
        <f t="shared" si="177"/>
        <v>-1512.12121212121</v>
      </c>
      <c r="AG261" s="31" t="str">
        <f t="shared" si="193"/>
        <v>16911.4119337961i</v>
      </c>
      <c r="AH261" s="31">
        <f t="shared" si="194"/>
        <v>16911.411933796098</v>
      </c>
      <c r="AI261" s="31">
        <f t="shared" si="195"/>
        <v>1.5707963267948966</v>
      </c>
      <c r="AJ261" s="31" t="str">
        <f t="shared" si="178"/>
        <v>-0.24330634238131+23.3084409917574i</v>
      </c>
      <c r="AK261" s="31">
        <f t="shared" si="196"/>
        <v>23.309710839958516</v>
      </c>
      <c r="AL261" s="31">
        <f t="shared" si="197"/>
        <v>1.581234498352051</v>
      </c>
      <c r="AM261" s="31" t="str">
        <f t="shared" si="179"/>
        <v>1+116.079931513576i</v>
      </c>
      <c r="AN261" s="31">
        <f t="shared" si="198"/>
        <v>116.08423881042806</v>
      </c>
      <c r="AO261" s="31">
        <f t="shared" si="199"/>
        <v>1.5621817863651262</v>
      </c>
      <c r="AP261" s="31" t="str">
        <f t="shared" si="180"/>
        <v>1+4.46461275052217i</v>
      </c>
      <c r="AQ261" s="31">
        <f t="shared" si="200"/>
        <v>4.5752340936967517</v>
      </c>
      <c r="AR261" s="31">
        <f t="shared" si="201"/>
        <v>1.3504495267008643</v>
      </c>
      <c r="AS261" s="58" t="str">
        <f t="shared" si="202"/>
        <v>-1.97920387889582+0.483084770044589i</v>
      </c>
      <c r="AT261" s="49">
        <f t="shared" si="203"/>
        <v>6.1811285819689141</v>
      </c>
      <c r="AU261" s="61">
        <f t="shared" si="204"/>
        <v>166.28341834026998</v>
      </c>
      <c r="AV261" s="58" t="str">
        <f t="shared" si="181"/>
        <v>0.426579898256091+0.463784359877251i</v>
      </c>
      <c r="AW261" s="64">
        <f t="shared" si="205"/>
        <v>-4.0113692501332805</v>
      </c>
      <c r="AX261" s="61">
        <f t="shared" si="206"/>
        <v>47.392750218411578</v>
      </c>
    </row>
    <row r="262" spans="14:50" x14ac:dyDescent="0.25">
      <c r="N262" s="10">
        <v>44</v>
      </c>
      <c r="O262" s="50">
        <f t="shared" si="207"/>
        <v>2754.228703338169</v>
      </c>
      <c r="P262" s="48" t="str">
        <f t="shared" si="172"/>
        <v>304.285714285714</v>
      </c>
      <c r="Q262" s="17" t="str">
        <f t="shared" si="173"/>
        <v>1+901.113219665721i</v>
      </c>
      <c r="R262" s="17">
        <f t="shared" si="182"/>
        <v>901.11377453478201</v>
      </c>
      <c r="S262" s="17">
        <f t="shared" si="183"/>
        <v>1.5696865887867639</v>
      </c>
      <c r="T262" s="17" t="str">
        <f t="shared" si="174"/>
        <v>1+0.0186897556671408i</v>
      </c>
      <c r="U262" s="17">
        <f t="shared" si="184"/>
        <v>1.0001746382341923</v>
      </c>
      <c r="V262" s="17">
        <f t="shared" si="185"/>
        <v>1.8687579969159762E-2</v>
      </c>
      <c r="W262" s="31" t="str">
        <f t="shared" si="175"/>
        <v>1-0.0584054864598152i</v>
      </c>
      <c r="X262" s="17">
        <f t="shared" si="186"/>
        <v>1.0017041483634814</v>
      </c>
      <c r="Y262" s="17">
        <f t="shared" si="187"/>
        <v>-5.8339211105826204E-2</v>
      </c>
      <c r="Z262" s="31" t="str">
        <f t="shared" si="176"/>
        <v>0.999523699222784+0.51522102792755i</v>
      </c>
      <c r="AA262" s="17">
        <f t="shared" si="188"/>
        <v>1.1245000368727069</v>
      </c>
      <c r="AB262" s="17">
        <f t="shared" si="189"/>
        <v>0.47594414741217028</v>
      </c>
      <c r="AC262" s="66" t="str">
        <f t="shared" si="190"/>
        <v>-0.148047164699643-0.261908365885432i</v>
      </c>
      <c r="AD262" s="64">
        <f t="shared" si="191"/>
        <v>-10.432844577657718</v>
      </c>
      <c r="AE262" s="61">
        <f t="shared" si="192"/>
        <v>-119.47787874137887</v>
      </c>
      <c r="AF262" s="31" t="str">
        <f t="shared" si="177"/>
        <v>-1512.12121212121</v>
      </c>
      <c r="AG262" s="31" t="str">
        <f t="shared" si="193"/>
        <v>17305.3293214267i</v>
      </c>
      <c r="AH262" s="31">
        <f t="shared" si="194"/>
        <v>17305.3293214267</v>
      </c>
      <c r="AI262" s="31">
        <f t="shared" si="195"/>
        <v>1.5707963267948966</v>
      </c>
      <c r="AJ262" s="31" t="str">
        <f t="shared" si="178"/>
        <v>-0.30190156508022+23.8513643278548i</v>
      </c>
      <c r="AK262" s="31">
        <f t="shared" si="196"/>
        <v>23.853274929348011</v>
      </c>
      <c r="AL262" s="31">
        <f t="shared" si="197"/>
        <v>1.5834532733488254</v>
      </c>
      <c r="AM262" s="31" t="str">
        <f t="shared" si="179"/>
        <v>1+118.783780462273i</v>
      </c>
      <c r="AN262" s="31">
        <f t="shared" si="198"/>
        <v>118.78798971659327</v>
      </c>
      <c r="AO262" s="31">
        <f t="shared" si="199"/>
        <v>1.5623778678730369</v>
      </c>
      <c r="AP262" s="31" t="str">
        <f t="shared" si="180"/>
        <v>1+4.56860694085665i</v>
      </c>
      <c r="AQ262" s="31">
        <f t="shared" si="200"/>
        <v>4.6767691176755308</v>
      </c>
      <c r="AR262" s="31">
        <f t="shared" si="201"/>
        <v>1.3553096975663521</v>
      </c>
      <c r="AS262" s="58" t="str">
        <f t="shared" si="202"/>
        <v>-1.97838230793254+0.476940294011054i</v>
      </c>
      <c r="AT262" s="49">
        <f t="shared" si="203"/>
        <v>6.171543729922389</v>
      </c>
      <c r="AU262" s="61">
        <f t="shared" si="204"/>
        <v>166.44599381841442</v>
      </c>
      <c r="AV262" s="58" t="str">
        <f t="shared" si="181"/>
        <v>0.417808544410701+0.44754521910791i</v>
      </c>
      <c r="AW262" s="64">
        <f t="shared" si="205"/>
        <v>-4.2613008477353373</v>
      </c>
      <c r="AX262" s="61">
        <f t="shared" si="206"/>
        <v>46.968115077035527</v>
      </c>
    </row>
    <row r="263" spans="14:50" x14ac:dyDescent="0.25">
      <c r="N263" s="10">
        <v>45</v>
      </c>
      <c r="O263" s="50">
        <f t="shared" si="207"/>
        <v>2818.3829312644561</v>
      </c>
      <c r="P263" s="48" t="str">
        <f t="shared" si="172"/>
        <v>304.285714285714</v>
      </c>
      <c r="Q263" s="17" t="str">
        <f t="shared" si="173"/>
        <v>1+922.10284293548i</v>
      </c>
      <c r="R263" s="17">
        <f t="shared" si="182"/>
        <v>922.10338517418666</v>
      </c>
      <c r="S263" s="17">
        <f t="shared" si="183"/>
        <v>1.5697118494878035</v>
      </c>
      <c r="T263" s="17" t="str">
        <f t="shared" si="174"/>
        <v>1+0.0191250960016247i</v>
      </c>
      <c r="U263" s="17">
        <f t="shared" si="184"/>
        <v>1.0001828679281961</v>
      </c>
      <c r="V263" s="17">
        <f t="shared" si="185"/>
        <v>1.9122764722255922E-2</v>
      </c>
      <c r="W263" s="31" t="str">
        <f t="shared" si="175"/>
        <v>1-0.0597659250050773i</v>
      </c>
      <c r="X263" s="17">
        <f t="shared" si="186"/>
        <v>1.0017843908704669</v>
      </c>
      <c r="Y263" s="17">
        <f t="shared" si="187"/>
        <v>-5.9694916513796888E-2</v>
      </c>
      <c r="Z263" s="31" t="str">
        <f t="shared" si="176"/>
        <v>0.999501251858718+0.527222067353949i</v>
      </c>
      <c r="AA263" s="17">
        <f t="shared" si="188"/>
        <v>1.1300291415587991</v>
      </c>
      <c r="AB263" s="17">
        <f t="shared" si="189"/>
        <v>0.48539319049784502</v>
      </c>
      <c r="AC263" s="66" t="str">
        <f t="shared" si="190"/>
        <v>-0.146621942060474-0.253206389069972i</v>
      </c>
      <c r="AD263" s="64">
        <f t="shared" si="191"/>
        <v>-10.67468049039633</v>
      </c>
      <c r="AE263" s="61">
        <f t="shared" si="192"/>
        <v>-120.07345831066141</v>
      </c>
      <c r="AF263" s="31" t="str">
        <f t="shared" si="177"/>
        <v>-1512.12121212121</v>
      </c>
      <c r="AG263" s="31" t="str">
        <f t="shared" si="193"/>
        <v>17708.4222237266i</v>
      </c>
      <c r="AH263" s="31">
        <f t="shared" si="194"/>
        <v>17708.4222237266</v>
      </c>
      <c r="AI263" s="31">
        <f t="shared" si="195"/>
        <v>1.5707963267948966</v>
      </c>
      <c r="AJ263" s="31" t="str">
        <f t="shared" si="178"/>
        <v>-0.36325829554764+24.4069339730289i</v>
      </c>
      <c r="AK263" s="31">
        <f t="shared" si="196"/>
        <v>24.40963708360033</v>
      </c>
      <c r="AL263" s="31">
        <f t="shared" si="197"/>
        <v>1.5856786334801338</v>
      </c>
      <c r="AM263" s="31" t="str">
        <f t="shared" si="179"/>
        <v>1+121.550610143659i</v>
      </c>
      <c r="AN263" s="31">
        <f t="shared" si="198"/>
        <v>121.55472358693338</v>
      </c>
      <c r="AO263" s="31">
        <f t="shared" si="199"/>
        <v>1.5625694866464455</v>
      </c>
      <c r="AP263" s="31" t="str">
        <f t="shared" si="180"/>
        <v>1+4.67502346706382i</v>
      </c>
      <c r="AQ263" s="31">
        <f t="shared" si="200"/>
        <v>4.7807786413509481</v>
      </c>
      <c r="AR263" s="31">
        <f t="shared" si="201"/>
        <v>1.3600692503981666</v>
      </c>
      <c r="AS263" s="58" t="str">
        <f t="shared" si="202"/>
        <v>-1.97757336452338+0.471045234211791i</v>
      </c>
      <c r="AT263" s="49">
        <f t="shared" si="203"/>
        <v>6.1623178107006993</v>
      </c>
      <c r="AU263" s="61">
        <f t="shared" si="204"/>
        <v>166.60217131161806</v>
      </c>
      <c r="AV263" s="58" t="str">
        <f t="shared" si="181"/>
        <v>0.40922731011687+0.431668643713457i</v>
      </c>
      <c r="AW263" s="64">
        <f t="shared" si="205"/>
        <v>-4.5123626796956371</v>
      </c>
      <c r="AX263" s="61">
        <f t="shared" si="206"/>
        <v>46.528713000956692</v>
      </c>
    </row>
    <row r="264" spans="14:50" x14ac:dyDescent="0.25">
      <c r="N264" s="10">
        <v>46</v>
      </c>
      <c r="O264" s="50">
        <f t="shared" si="207"/>
        <v>2884.0315031266077</v>
      </c>
      <c r="P264" s="48" t="str">
        <f t="shared" si="172"/>
        <v>304.285714285714</v>
      </c>
      <c r="Q264" s="17" t="str">
        <f t="shared" si="173"/>
        <v>1+943.581377338038i</v>
      </c>
      <c r="R264" s="17">
        <f t="shared" si="182"/>
        <v>943.5819072338918</v>
      </c>
      <c r="S264" s="17">
        <f t="shared" si="183"/>
        <v>1.5697365351864241</v>
      </c>
      <c r="T264" s="17" t="str">
        <f t="shared" si="174"/>
        <v>1+0.0195705767151593i</v>
      </c>
      <c r="U264" s="17">
        <f t="shared" si="184"/>
        <v>1.0001914854031522</v>
      </c>
      <c r="V264" s="17">
        <f t="shared" si="185"/>
        <v>1.9568078730138296E-2</v>
      </c>
      <c r="W264" s="31" t="str">
        <f t="shared" si="175"/>
        <v>1-0.0611580522348727i</v>
      </c>
      <c r="X264" s="17">
        <f t="shared" si="186"/>
        <v>1.0018684082019771</v>
      </c>
      <c r="Y264" s="17">
        <f t="shared" si="187"/>
        <v>-6.1081972927198386E-2</v>
      </c>
      <c r="Z264" s="31" t="str">
        <f t="shared" si="176"/>
        <v>0.999477746582976+0.539502646899068i</v>
      </c>
      <c r="AA264" s="17">
        <f t="shared" si="188"/>
        <v>1.1357899770317061</v>
      </c>
      <c r="AB264" s="17">
        <f t="shared" si="189"/>
        <v>0.49496644078247931</v>
      </c>
      <c r="AC264" s="66" t="str">
        <f t="shared" si="190"/>
        <v>-0.145157867069449-0.244694131760619i</v>
      </c>
      <c r="AD264" s="64">
        <f t="shared" si="191"/>
        <v>-10.918044759328547</v>
      </c>
      <c r="AE264" s="61">
        <f t="shared" si="192"/>
        <v>-120.67733739976346</v>
      </c>
      <c r="AF264" s="31" t="str">
        <f t="shared" si="177"/>
        <v>-1512.12121212121</v>
      </c>
      <c r="AG264" s="31" t="str">
        <f t="shared" si="193"/>
        <v>18120.9043658882i</v>
      </c>
      <c r="AH264" s="31">
        <f t="shared" si="194"/>
        <v>18120.9043658882</v>
      </c>
      <c r="AI264" s="31">
        <f t="shared" si="195"/>
        <v>1.5707963267948966</v>
      </c>
      <c r="AJ264" s="31" t="str">
        <f t="shared" si="178"/>
        <v>-0.42750667963514+24.9754444976596i</v>
      </c>
      <c r="AK264" s="31">
        <f t="shared" si="196"/>
        <v>24.979103062696382</v>
      </c>
      <c r="AL264" s="31">
        <f t="shared" si="197"/>
        <v>1.5879117352776417</v>
      </c>
      <c r="AM264" s="31" t="str">
        <f t="shared" si="179"/>
        <v>1+124.381887567456i</v>
      </c>
      <c r="AN264" s="31">
        <f t="shared" si="198"/>
        <v>124.38590738039123</v>
      </c>
      <c r="AO264" s="31">
        <f t="shared" si="199"/>
        <v>1.5627567442278429</v>
      </c>
      <c r="AP264" s="31" t="str">
        <f t="shared" si="180"/>
        <v>1+4.78391875259448i</v>
      </c>
      <c r="AQ264" s="31">
        <f t="shared" si="200"/>
        <v>4.8873181430540331</v>
      </c>
      <c r="AR264" s="31">
        <f t="shared" si="201"/>
        <v>1.3647298458181885</v>
      </c>
      <c r="AS264" s="58" t="str">
        <f t="shared" si="202"/>
        <v>-1.976775355179+0.465396508541271i</v>
      </c>
      <c r="AT264" s="49">
        <f t="shared" si="203"/>
        <v>6.153433735200645</v>
      </c>
      <c r="AU264" s="61">
        <f t="shared" si="204"/>
        <v>166.75198552007896</v>
      </c>
      <c r="AV264" s="58" t="str">
        <f t="shared" si="181"/>
        <v>0.400824288815166+0.416149364699895i</v>
      </c>
      <c r="AW264" s="64">
        <f t="shared" si="205"/>
        <v>-4.7646110241279009</v>
      </c>
      <c r="AX264" s="61">
        <f t="shared" si="206"/>
        <v>46.074648120315459</v>
      </c>
    </row>
    <row r="265" spans="14:50" x14ac:dyDescent="0.25">
      <c r="N265" s="10">
        <v>47</v>
      </c>
      <c r="O265" s="50">
        <f t="shared" si="207"/>
        <v>2951.2092266663876</v>
      </c>
      <c r="P265" s="48" t="str">
        <f t="shared" si="172"/>
        <v>304.285714285714</v>
      </c>
      <c r="Q265" s="17" t="str">
        <f t="shared" si="173"/>
        <v>1+965.560211076635i</v>
      </c>
      <c r="R265" s="17">
        <f t="shared" si="182"/>
        <v>965.56072891059318</v>
      </c>
      <c r="S265" s="17">
        <f t="shared" si="183"/>
        <v>1.5697606589711894</v>
      </c>
      <c r="T265" s="17" t="str">
        <f t="shared" si="174"/>
        <v>1+0.0200264340075153i</v>
      </c>
      <c r="U265" s="17">
        <f t="shared" si="184"/>
        <v>1.0002005089276136</v>
      </c>
      <c r="V265" s="17">
        <f t="shared" si="185"/>
        <v>2.0023757397320475E-2</v>
      </c>
      <c r="W265" s="31" t="str">
        <f t="shared" si="175"/>
        <v>1-0.0625826062734855i</v>
      </c>
      <c r="X265" s="17">
        <f t="shared" si="186"/>
        <v>1.0019563775973395</v>
      </c>
      <c r="Y265" s="17">
        <f t="shared" si="187"/>
        <v>-6.2501094420895895E-2</v>
      </c>
      <c r="Z265" s="31" t="str">
        <f t="shared" si="176"/>
        <v>0.999453133537717+0.552069277888733i</v>
      </c>
      <c r="AA265" s="17">
        <f t="shared" si="188"/>
        <v>1.141791160294626</v>
      </c>
      <c r="AB265" s="17">
        <f t="shared" si="189"/>
        <v>0.50466200286156693</v>
      </c>
      <c r="AC265" s="66" t="str">
        <f t="shared" si="190"/>
        <v>-0.143655076072475-0.236369261266362i</v>
      </c>
      <c r="AD265" s="64">
        <f t="shared" si="191"/>
        <v>-11.162976434437917</v>
      </c>
      <c r="AE265" s="61">
        <f t="shared" si="192"/>
        <v>-121.28943558571665</v>
      </c>
      <c r="AF265" s="31" t="str">
        <f t="shared" si="177"/>
        <v>-1512.12121212121</v>
      </c>
      <c r="AG265" s="31" t="str">
        <f t="shared" si="193"/>
        <v>18542.9944514031i</v>
      </c>
      <c r="AH265" s="31">
        <f t="shared" si="194"/>
        <v>18542.994451403101</v>
      </c>
      <c r="AI265" s="31">
        <f t="shared" si="195"/>
        <v>1.5707963267948966</v>
      </c>
      <c r="AJ265" s="31" t="str">
        <f t="shared" si="178"/>
        <v>-0.49478299677931+25.557197333552i</v>
      </c>
      <c r="AK265" s="31">
        <f t="shared" si="196"/>
        <v>25.561986342223477</v>
      </c>
      <c r="AL265" s="31">
        <f t="shared" si="197"/>
        <v>1.5901537386751197</v>
      </c>
      <c r="AM265" s="31" t="str">
        <f t="shared" si="179"/>
        <v>1+127.279113914431i</v>
      </c>
      <c r="AN265" s="31">
        <f t="shared" si="198"/>
        <v>127.28304222810947</v>
      </c>
      <c r="AO265" s="31">
        <f t="shared" si="199"/>
        <v>1.5629397398511178</v>
      </c>
      <c r="AP265" s="31" t="str">
        <f t="shared" si="180"/>
        <v>1+4.89535053517042i</v>
      </c>
      <c r="AQ265" s="31">
        <f t="shared" si="200"/>
        <v>4.9964444220058439</v>
      </c>
      <c r="AR265" s="31">
        <f t="shared" si="201"/>
        <v>1.3692931446906316</v>
      </c>
      <c r="AS265" s="58" t="str">
        <f t="shared" si="202"/>
        <v>-1.97598660960753+0.459991149376296i</v>
      </c>
      <c r="AT265" s="49">
        <f t="shared" si="203"/>
        <v>6.1448749354728722</v>
      </c>
      <c r="AU265" s="61">
        <f t="shared" si="204"/>
        <v>166.89547083068027</v>
      </c>
      <c r="AV265" s="58" t="str">
        <f t="shared" si="181"/>
        <v>0.392588274888502+0.400982431628838i</v>
      </c>
      <c r="AW265" s="64">
        <f t="shared" si="205"/>
        <v>-5.0181014989650397</v>
      </c>
      <c r="AX265" s="61">
        <f t="shared" si="206"/>
        <v>45.606035244963593</v>
      </c>
    </row>
    <row r="266" spans="14:50" x14ac:dyDescent="0.25">
      <c r="N266" s="10">
        <v>48</v>
      </c>
      <c r="O266" s="50">
        <f t="shared" si="207"/>
        <v>3019.9517204020176</v>
      </c>
      <c r="P266" s="48" t="str">
        <f t="shared" si="172"/>
        <v>304.285714285714</v>
      </c>
      <c r="Q266" s="17" t="str">
        <f t="shared" si="173"/>
        <v>1+988.050997619847i</v>
      </c>
      <c r="R266" s="17">
        <f t="shared" si="182"/>
        <v>988.05150366647115</v>
      </c>
      <c r="S266" s="17">
        <f t="shared" si="183"/>
        <v>1.5697842336327372</v>
      </c>
      <c r="T266" s="17" t="str">
        <f t="shared" si="174"/>
        <v>1+0.0204929095802634i</v>
      </c>
      <c r="U266" s="17">
        <f t="shared" si="184"/>
        <v>1.0002099576304291</v>
      </c>
      <c r="V266" s="17">
        <f t="shared" si="185"/>
        <v>2.0490041573281582E-2</v>
      </c>
      <c r="W266" s="31" t="str">
        <f t="shared" si="175"/>
        <v>1-0.0640403424383233i</v>
      </c>
      <c r="X266" s="17">
        <f t="shared" si="186"/>
        <v>1.0020484845852609</v>
      </c>
      <c r="Y266" s="17">
        <f t="shared" si="187"/>
        <v>-6.3953010555168679E-2</v>
      </c>
      <c r="Z266" s="31" t="str">
        <f t="shared" si="176"/>
        <v>0.999427360515372+0.564928623317037i</v>
      </c>
      <c r="AA266" s="17">
        <f t="shared" si="188"/>
        <v>1.1480415490693732</v>
      </c>
      <c r="AB266" s="17">
        <f t="shared" si="189"/>
        <v>0.51447777615622936</v>
      </c>
      <c r="AC266" s="66" t="str">
        <f t="shared" si="190"/>
        <v>-0.142113791775938-0.228229563569958i</v>
      </c>
      <c r="AD266" s="64">
        <f t="shared" si="191"/>
        <v>-11.409514331282187</v>
      </c>
      <c r="AE266" s="61">
        <f t="shared" si="192"/>
        <v>-121.90966124813248</v>
      </c>
      <c r="AF266" s="31" t="str">
        <f t="shared" si="177"/>
        <v>-1512.12121212121</v>
      </c>
      <c r="AG266" s="31" t="str">
        <f t="shared" si="193"/>
        <v>18974.9162780217i</v>
      </c>
      <c r="AH266" s="31">
        <f t="shared" si="194"/>
        <v>18974.916278021701</v>
      </c>
      <c r="AI266" s="31">
        <f t="shared" si="195"/>
        <v>1.5707963267948966</v>
      </c>
      <c r="AJ266" s="31" t="str">
        <f t="shared" si="178"/>
        <v>-0.56522994906869+26.1525009337601i</v>
      </c>
      <c r="AK266" s="31">
        <f t="shared" si="196"/>
        <v>26.158608334268223</v>
      </c>
      <c r="AL266" s="31">
        <f t="shared" si="197"/>
        <v>1.5924058075101781</v>
      </c>
      <c r="AM266" s="31" t="str">
        <f t="shared" si="179"/>
        <v>1+130.243825332341i</v>
      </c>
      <c r="AN266" s="31">
        <f t="shared" si="198"/>
        <v>130.24766422934943</v>
      </c>
      <c r="AO266" s="31">
        <f t="shared" si="199"/>
        <v>1.5631185704939188</v>
      </c>
      <c r="AP266" s="31" t="str">
        <f t="shared" si="180"/>
        <v>1+5.00937789739773i</v>
      </c>
      <c r="AQ266" s="31">
        <f t="shared" si="200"/>
        <v>5.1082156296437704</v>
      </c>
      <c r="AR266" s="31">
        <f t="shared" si="201"/>
        <v>1.3737608059814315</v>
      </c>
      <c r="AS266" s="58" t="str">
        <f t="shared" si="202"/>
        <v>-1.97520547735934+0.454826302138204i</v>
      </c>
      <c r="AT266" s="49">
        <f t="shared" si="203"/>
        <v>6.1366253462476301</v>
      </c>
      <c r="AU266" s="61">
        <f t="shared" si="204"/>
        <v>167.03266116859533</v>
      </c>
      <c r="AV266" s="58" t="str">
        <f t="shared" si="181"/>
        <v>0.384508748361278+0.386163193662424i</v>
      </c>
      <c r="AW266" s="64">
        <f t="shared" si="205"/>
        <v>-5.2728889850345517</v>
      </c>
      <c r="AX266" s="61">
        <f t="shared" si="206"/>
        <v>45.122999920462796</v>
      </c>
    </row>
    <row r="267" spans="14:50" x14ac:dyDescent="0.25">
      <c r="N267" s="10">
        <v>49</v>
      </c>
      <c r="O267" s="50">
        <f t="shared" si="207"/>
        <v>3090.295432513592</v>
      </c>
      <c r="P267" s="48" t="str">
        <f t="shared" si="172"/>
        <v>304.285714285714</v>
      </c>
      <c r="Q267" s="17" t="str">
        <f t="shared" si="173"/>
        <v>1+1011.0656618804i</v>
      </c>
      <c r="R267" s="17">
        <f t="shared" si="182"/>
        <v>1011.0661564080024</v>
      </c>
      <c r="S267" s="17">
        <f t="shared" si="183"/>
        <v>1.5698072716705602</v>
      </c>
      <c r="T267" s="17" t="str">
        <f t="shared" si="174"/>
        <v>1+0.0209702507649267i</v>
      </c>
      <c r="U267" s="17">
        <f t="shared" si="184"/>
        <v>1.0002198515412219</v>
      </c>
      <c r="V267" s="17">
        <f t="shared" si="185"/>
        <v>2.0967177676559024E-2</v>
      </c>
      <c r="W267" s="31" t="str">
        <f t="shared" si="175"/>
        <v>1-0.065532033640396i</v>
      </c>
      <c r="X267" s="17">
        <f t="shared" si="186"/>
        <v>1.0021449233683948</v>
      </c>
      <c r="Y267" s="17">
        <f t="shared" si="187"/>
        <v>-6.5438466655544605E-2</v>
      </c>
      <c r="Z267" s="31" t="str">
        <f t="shared" si="176"/>
        <v>0.999400372847905+0.578087501379138i</v>
      </c>
      <c r="AA267" s="17">
        <f t="shared" si="188"/>
        <v>1.1545502433845425</v>
      </c>
      <c r="AB267" s="17">
        <f t="shared" si="189"/>
        <v>0.52441145178048187</v>
      </c>
      <c r="AC267" s="66" t="str">
        <f t="shared" si="190"/>
        <v>-0.140534327108888-0.220272936185238i</v>
      </c>
      <c r="AD267" s="64">
        <f t="shared" si="191"/>
        <v>-11.65769693124145</v>
      </c>
      <c r="AE267" s="61">
        <f t="shared" si="192"/>
        <v>-122.53791139902231</v>
      </c>
      <c r="AF267" s="31" t="str">
        <f t="shared" si="177"/>
        <v>-1512.12121212121</v>
      </c>
      <c r="AG267" s="31" t="str">
        <f t="shared" si="193"/>
        <v>19416.8988564136i</v>
      </c>
      <c r="AH267" s="31">
        <f t="shared" si="194"/>
        <v>19416.898856413602</v>
      </c>
      <c r="AI267" s="31">
        <f t="shared" si="195"/>
        <v>1.5707963267948966</v>
      </c>
      <c r="AJ267" s="31" t="str">
        <f t="shared" si="178"/>
        <v>-0.63899696393408+26.7616709361326i</v>
      </c>
      <c r="AK267" s="31">
        <f t="shared" si="196"/>
        <v>26.769298616395638</v>
      </c>
      <c r="AL267" s="31">
        <f t="shared" si="197"/>
        <v>1.5946691100243231</v>
      </c>
      <c r="AM267" s="31" t="str">
        <f t="shared" si="179"/>
        <v>1+133.277593750423i</v>
      </c>
      <c r="AN267" s="31">
        <f t="shared" si="198"/>
        <v>133.28134526595531</v>
      </c>
      <c r="AO267" s="31">
        <f t="shared" si="199"/>
        <v>1.563293330928841</v>
      </c>
      <c r="AP267" s="31" t="str">
        <f t="shared" si="180"/>
        <v>1+5.12606129809319i</v>
      </c>
      <c r="AQ267" s="31">
        <f t="shared" si="200"/>
        <v>5.2226913016000518</v>
      </c>
      <c r="AR267" s="31">
        <f t="shared" si="201"/>
        <v>1.3781344847690864</v>
      </c>
      <c r="AS267" s="58" t="str">
        <f t="shared" si="202"/>
        <v>-1.97443032451557+0.449899223841393i</v>
      </c>
      <c r="AT267" s="49">
        <f t="shared" si="203"/>
        <v>6.1286693862599853</v>
      </c>
      <c r="AU267" s="61">
        <f t="shared" si="204"/>
        <v>167.16358985759894</v>
      </c>
      <c r="AV267" s="58" t="str">
        <f t="shared" si="181"/>
        <v>0.376575860102182+0.371687280184856i</v>
      </c>
      <c r="AW267" s="64">
        <f t="shared" si="205"/>
        <v>-5.5290275449814654</v>
      </c>
      <c r="AX267" s="61">
        <f t="shared" si="206"/>
        <v>44.625678458576672</v>
      </c>
    </row>
    <row r="268" spans="14:50" x14ac:dyDescent="0.25">
      <c r="N268" s="10">
        <v>50</v>
      </c>
      <c r="O268" s="50">
        <f t="shared" si="207"/>
        <v>3162.2776601683804</v>
      </c>
      <c r="P268" s="48" t="str">
        <f t="shared" si="172"/>
        <v>304.285714285714</v>
      </c>
      <c r="Q268" s="17" t="str">
        <f t="shared" si="173"/>
        <v>1+1034.61640653791i</v>
      </c>
      <c r="R268" s="17">
        <f t="shared" si="182"/>
        <v>1034.6168898086953</v>
      </c>
      <c r="S268" s="17">
        <f t="shared" si="183"/>
        <v>1.5698297852996332</v>
      </c>
      <c r="T268" s="17" t="str">
        <f t="shared" si="174"/>
        <v>1+0.0214587106541196i</v>
      </c>
      <c r="U268" s="17">
        <f t="shared" si="184"/>
        <v>1.0002302116327706</v>
      </c>
      <c r="V268" s="17">
        <f t="shared" si="185"/>
        <v>2.1455417821537995E-2</v>
      </c>
      <c r="W268" s="31" t="str">
        <f t="shared" si="175"/>
        <v>1-0.0670584707941237i</v>
      </c>
      <c r="X268" s="17">
        <f t="shared" si="186"/>
        <v>1.0022458972254495</v>
      </c>
      <c r="Y268" s="17">
        <f t="shared" si="187"/>
        <v>-6.6958224093515442E-2</v>
      </c>
      <c r="Z268" s="31" t="str">
        <f t="shared" si="176"/>
        <v>0.999372113290855+0.591552889086361i</v>
      </c>
      <c r="AA268" s="17">
        <f t="shared" si="188"/>
        <v>1.1613265868866733</v>
      </c>
      <c r="AB268" s="17">
        <f t="shared" si="189"/>
        <v>0.53446051006161177</v>
      </c>
      <c r="AC268" s="66" t="str">
        <f t="shared" si="190"/>
        <v>-0.138917088780467-0.212497380625636i</v>
      </c>
      <c r="AD268" s="64">
        <f t="shared" si="191"/>
        <v>-11.907562277703896</v>
      </c>
      <c r="AE268" s="61">
        <f t="shared" si="192"/>
        <v>-123.17407154992257</v>
      </c>
      <c r="AF268" s="31" t="str">
        <f t="shared" si="177"/>
        <v>-1512.12121212121</v>
      </c>
      <c r="AG268" s="31" t="str">
        <f t="shared" si="193"/>
        <v>19869.1765315922i</v>
      </c>
      <c r="AH268" s="31">
        <f t="shared" si="194"/>
        <v>19869.176531592198</v>
      </c>
      <c r="AI268" s="31">
        <f t="shared" si="195"/>
        <v>1.5707963267948966</v>
      </c>
      <c r="AJ268" s="31" t="str">
        <f t="shared" si="178"/>
        <v>-0.71624051110412+27.385030330668i</v>
      </c>
      <c r="AK268" s="31">
        <f t="shared" si="196"/>
        <v>27.39439516910992</v>
      </c>
      <c r="AL268" s="31">
        <f t="shared" si="197"/>
        <v>1.5969448193610589</v>
      </c>
      <c r="AM268" s="31" t="str">
        <f t="shared" si="179"/>
        <v>1+136.382027712849i</v>
      </c>
      <c r="AN268" s="31">
        <f t="shared" si="198"/>
        <v>136.38569383578439</v>
      </c>
      <c r="AO268" s="31">
        <f t="shared" si="199"/>
        <v>1.5634641137734568</v>
      </c>
      <c r="AP268" s="31" t="str">
        <f t="shared" si="180"/>
        <v>1+5.24546260434034i</v>
      </c>
      <c r="AQ268" s="31">
        <f t="shared" si="200"/>
        <v>5.339932390352236</v>
      </c>
      <c r="AR268" s="31">
        <f t="shared" si="201"/>
        <v>1.3824158304004033</v>
      </c>
      <c r="AS268" s="58" t="str">
        <f t="shared" si="202"/>
        <v>-1.97365953041463+0.445207281627732i</v>
      </c>
      <c r="AT268" s="49">
        <f t="shared" si="203"/>
        <v>6.120991939425739</v>
      </c>
      <c r="AU268" s="61">
        <f t="shared" si="204"/>
        <v>167.28828948872649</v>
      </c>
      <c r="AV268" s="58" t="str">
        <f t="shared" si="181"/>
        <v>0.368780417390377+0.357550580992342i</v>
      </c>
      <c r="AW268" s="64">
        <f t="shared" si="205"/>
        <v>-5.7865703382781479</v>
      </c>
      <c r="AX268" s="61">
        <f t="shared" si="206"/>
        <v>44.114217938803918</v>
      </c>
    </row>
    <row r="269" spans="14:50" x14ac:dyDescent="0.25">
      <c r="N269" s="10">
        <v>51</v>
      </c>
      <c r="O269" s="50">
        <f t="shared" si="207"/>
        <v>3235.9365692962833</v>
      </c>
      <c r="P269" s="48" t="str">
        <f t="shared" si="172"/>
        <v>304.285714285714</v>
      </c>
      <c r="Q269" s="17" t="str">
        <f t="shared" si="173"/>
        <v>1+1058.71571850894i</v>
      </c>
      <c r="R269" s="17">
        <f t="shared" si="182"/>
        <v>1058.7161907791442</v>
      </c>
      <c r="S269" s="17">
        <f t="shared" si="183"/>
        <v>1.5698517864568888</v>
      </c>
      <c r="T269" s="17" t="str">
        <f t="shared" si="174"/>
        <v>1+0.0219585482357409i</v>
      </c>
      <c r="U269" s="17">
        <f t="shared" si="184"/>
        <v>1.0002410598653815</v>
      </c>
      <c r="V269" s="17">
        <f t="shared" si="185"/>
        <v>2.1955019947984804E-2</v>
      </c>
      <c r="W269" s="31" t="str">
        <f t="shared" si="175"/>
        <v>1-0.0686204632366904i</v>
      </c>
      <c r="X269" s="17">
        <f t="shared" si="186"/>
        <v>1.0023516189316093</v>
      </c>
      <c r="Y269" s="17">
        <f t="shared" si="187"/>
        <v>-6.8513060567767237E-2</v>
      </c>
      <c r="Z269" s="31" t="str">
        <f t="shared" si="176"/>
        <v>0.999342521901912+0.605331925965507i</v>
      </c>
      <c r="AA269" s="17">
        <f t="shared" si="188"/>
        <v>1.1683801678710501</v>
      </c>
      <c r="AB269" s="17">
        <f t="shared" si="189"/>
        <v>0.54462221876650274</v>
      </c>
      <c r="AC269" s="66" t="str">
        <f t="shared" si="190"/>
        <v>-0.137262580483248-0.204900994497914i</v>
      </c>
      <c r="AD269" s="64">
        <f t="shared" si="191"/>
        <v>-12.159147868531122</v>
      </c>
      <c r="AE269" s="61">
        <f t="shared" si="192"/>
        <v>-123.8180156193357</v>
      </c>
      <c r="AF269" s="31" t="str">
        <f t="shared" si="177"/>
        <v>-1512.12121212121</v>
      </c>
      <c r="AG269" s="31" t="str">
        <f t="shared" si="193"/>
        <v>20331.9891071675i</v>
      </c>
      <c r="AH269" s="31">
        <f t="shared" si="194"/>
        <v>20331.989107167501</v>
      </c>
      <c r="AI269" s="31">
        <f t="shared" si="195"/>
        <v>1.5707963267948966</v>
      </c>
      <c r="AJ269" s="31" t="str">
        <f t="shared" si="178"/>
        <v>-0.79712443449859+28.0229096307685i</v>
      </c>
      <c r="AK269" s="31">
        <f t="shared" si="196"/>
        <v>28.034244622216818</v>
      </c>
      <c r="AL269" s="31">
        <f t="shared" si="197"/>
        <v>1.599234114061753</v>
      </c>
      <c r="AM269" s="31" t="str">
        <f t="shared" si="179"/>
        <v>1+139.558773231597i</v>
      </c>
      <c r="AN269" s="31">
        <f t="shared" si="198"/>
        <v>139.56235590555326</v>
      </c>
      <c r="AO269" s="31">
        <f t="shared" si="199"/>
        <v>1.5636310095392185</v>
      </c>
      <c r="AP269" s="31" t="str">
        <f t="shared" si="180"/>
        <v>1+5.36764512429222i</v>
      </c>
      <c r="AQ269" s="31">
        <f t="shared" si="200"/>
        <v>5.4600012985655999</v>
      </c>
      <c r="AR269" s="31">
        <f t="shared" si="201"/>
        <v>1.3866064847846156</v>
      </c>
      <c r="AS269" s="58" t="str">
        <f t="shared" si="202"/>
        <v>-1.97289148441145+0.440747951286163i</v>
      </c>
      <c r="AT269" s="49">
        <f t="shared" si="203"/>
        <v>6.113578335915566</v>
      </c>
      <c r="AU269" s="61">
        <f t="shared" si="204"/>
        <v>167.40679179692509</v>
      </c>
      <c r="AV269" s="58" t="str">
        <f t="shared" si="181"/>
        <v>0.361113869705194+0.343749226056128i</v>
      </c>
      <c r="AW269" s="64">
        <f t="shared" si="205"/>
        <v>-6.045569532615561</v>
      </c>
      <c r="AX269" s="61">
        <f t="shared" si="206"/>
        <v>43.588776177589388</v>
      </c>
    </row>
    <row r="270" spans="14:50" x14ac:dyDescent="0.25">
      <c r="N270" s="10">
        <v>52</v>
      </c>
      <c r="O270" s="50">
        <f t="shared" si="207"/>
        <v>3311.3112148259115</v>
      </c>
      <c r="P270" s="48" t="str">
        <f t="shared" si="172"/>
        <v>304.285714285714</v>
      </c>
      <c r="Q270" s="17" t="str">
        <f t="shared" si="173"/>
        <v>1+1083.37637556768i</v>
      </c>
      <c r="R270" s="17">
        <f t="shared" si="182"/>
        <v>1083.3768370877065</v>
      </c>
      <c r="S270" s="17">
        <f t="shared" si="183"/>
        <v>1.5698732868075469</v>
      </c>
      <c r="T270" s="17" t="str">
        <f t="shared" si="174"/>
        <v>1+0.0224700285302927i</v>
      </c>
      <c r="U270" s="17">
        <f t="shared" si="184"/>
        <v>1.0002524192333413</v>
      </c>
      <c r="V270" s="17">
        <f t="shared" si="185"/>
        <v>2.2466247953373566E-2</v>
      </c>
      <c r="W270" s="31" t="str">
        <f t="shared" si="175"/>
        <v>1-0.0702188391571646i</v>
      </c>
      <c r="X270" s="17">
        <f t="shared" si="186"/>
        <v>1.0024623111980717</v>
      </c>
      <c r="Y270" s="17">
        <f t="shared" si="187"/>
        <v>-7.010377038552533E-2</v>
      </c>
      <c r="Z270" s="31" t="str">
        <f t="shared" si="176"/>
        <v>0.999311535913774+0.619431917844318i</v>
      </c>
      <c r="AA270" s="17">
        <f t="shared" si="188"/>
        <v>1.1757208200311142</v>
      </c>
      <c r="AB270" s="17">
        <f t="shared" si="189"/>
        <v>0.55489363208453302</v>
      </c>
      <c r="AC270" s="66" t="str">
        <f>(IMDIV(IMPRODUCT(P270,T270,W270),IMPRODUCT(Q270,Z270)))</f>
        <v>-0.135571405693051-0.19748196324086i</v>
      </c>
      <c r="AD270" s="64">
        <f t="shared" si="191"/>
        <v>-12.412490545200088</v>
      </c>
      <c r="AE270" s="61">
        <f t="shared" si="192"/>
        <v>-124.46960588335403</v>
      </c>
      <c r="AF270" s="31" t="str">
        <f t="shared" si="177"/>
        <v>-1512.12121212121</v>
      </c>
      <c r="AG270" s="31" t="str">
        <f t="shared" si="193"/>
        <v>20805.5819724932i</v>
      </c>
      <c r="AH270" s="31">
        <f t="shared" si="194"/>
        <v>20805.581972493201</v>
      </c>
      <c r="AI270" s="31">
        <f t="shared" si="195"/>
        <v>1.5707963267948966</v>
      </c>
      <c r="AJ270" s="31" t="str">
        <f t="shared" si="178"/>
        <v>-0.88182029976331+28.6756470484822i</v>
      </c>
      <c r="AK270" s="31">
        <f t="shared" si="196"/>
        <v>28.689202510529991</v>
      </c>
      <c r="AL270" s="31">
        <f t="shared" si="197"/>
        <v>1.6015381785589489</v>
      </c>
      <c r="AM270" s="31" t="str">
        <f t="shared" si="179"/>
        <v>1+142.809514659193i</v>
      </c>
      <c r="AN270" s="31">
        <f t="shared" si="198"/>
        <v>142.81301578355615</v>
      </c>
      <c r="AO270" s="31">
        <f t="shared" si="199"/>
        <v>1.5637941066792589</v>
      </c>
      <c r="AP270" s="31" t="str">
        <f t="shared" si="180"/>
        <v>1+5.4926736407382i</v>
      </c>
      <c r="AQ270" s="31">
        <f t="shared" si="200"/>
        <v>5.5829619131479156</v>
      </c>
      <c r="AR270" s="31">
        <f t="shared" si="201"/>
        <v>1.3907080808194097</v>
      </c>
      <c r="AS270" s="58" t="str">
        <f t="shared" si="202"/>
        <v>-1.97212458266446+0.436518815756532i</v>
      </c>
      <c r="AT270" s="49">
        <f t="shared" si="203"/>
        <v>6.1064143331697176</v>
      </c>
      <c r="AU270" s="61">
        <f t="shared" si="204"/>
        <v>167.51912754534607</v>
      </c>
      <c r="AV270" s="58" t="str">
        <f t="shared" si="181"/>
        <v>0.353568294600818+0.33027956487656i</v>
      </c>
      <c r="AW270" s="64">
        <f t="shared" si="205"/>
        <v>-6.3060762120303675</v>
      </c>
      <c r="AX270" s="61">
        <f t="shared" si="206"/>
        <v>43.049521661991974</v>
      </c>
    </row>
    <row r="271" spans="14:50" x14ac:dyDescent="0.25">
      <c r="N271" s="10">
        <v>53</v>
      </c>
      <c r="O271" s="50">
        <f t="shared" si="207"/>
        <v>3388.4415613920314</v>
      </c>
      <c r="P271" s="48" t="str">
        <f t="shared" si="172"/>
        <v>304.285714285714</v>
      </c>
      <c r="Q271" s="17" t="str">
        <f t="shared" si="173"/>
        <v>1+1108.61145312093i</v>
      </c>
      <c r="R271" s="17">
        <f t="shared" si="182"/>
        <v>1108.6119041354825</v>
      </c>
      <c r="S271" s="17">
        <f t="shared" si="183"/>
        <v>1.569894297751298</v>
      </c>
      <c r="T271" s="17" t="str">
        <f t="shared" si="174"/>
        <v>1+0.0229934227313971i</v>
      </c>
      <c r="U271" s="17">
        <f t="shared" si="184"/>
        <v>1.0002643138135563</v>
      </c>
      <c r="V271" s="17">
        <f t="shared" si="185"/>
        <v>2.298937182805446E-2</v>
      </c>
      <c r="W271" s="31" t="str">
        <f t="shared" si="175"/>
        <v>1-0.071854446035616i</v>
      </c>
      <c r="X271" s="17">
        <f t="shared" si="186"/>
        <v>1.0025782071315361</v>
      </c>
      <c r="Y271" s="17">
        <f t="shared" si="187"/>
        <v>-7.1731164743579739E-2</v>
      </c>
      <c r="Z271" s="31" t="str">
        <f t="shared" si="176"/>
        <v>0.999279089601005+0.633860340725119i</v>
      </c>
      <c r="AA271" s="17">
        <f t="shared" si="188"/>
        <v>1.1833586229279682</v>
      </c>
      <c r="AB271" s="17">
        <f t="shared" si="189"/>
        <v>0.56527159041476316</v>
      </c>
      <c r="AC271" s="66" t="str">
        <f t="shared" si="190"/>
        <v>-0.133844270016582-0.190238551534807i</v>
      </c>
      <c r="AD271" s="64">
        <f t="shared" si="191"/>
        <v>-12.667626379068469</v>
      </c>
      <c r="AE271" s="61">
        <f t="shared" si="192"/>
        <v>-125.1286929721774</v>
      </c>
      <c r="AF271" s="31" t="str">
        <f t="shared" si="177"/>
        <v>-1512.12121212121</v>
      </c>
      <c r="AG271" s="31" t="str">
        <f t="shared" si="193"/>
        <v>21290.2062327751i</v>
      </c>
      <c r="AH271" s="31">
        <f t="shared" si="194"/>
        <v>21290.206232775101</v>
      </c>
      <c r="AI271" s="31">
        <f t="shared" si="195"/>
        <v>1.5707963267948966</v>
      </c>
      <c r="AJ271" s="31" t="str">
        <f t="shared" si="178"/>
        <v>-0.97050775818387+29.3435886738282i</v>
      </c>
      <c r="AK271" s="31">
        <f t="shared" si="196"/>
        <v>29.359633539394078</v>
      </c>
      <c r="AL271" s="31">
        <f t="shared" si="197"/>
        <v>1.6038582036667959</v>
      </c>
      <c r="AM271" s="31" t="str">
        <f t="shared" si="179"/>
        <v>1+146.135975581768i</v>
      </c>
      <c r="AN271" s="31">
        <f t="shared" si="198"/>
        <v>146.13939701269845</v>
      </c>
      <c r="AO271" s="31">
        <f t="shared" si="199"/>
        <v>1.5639534916351125</v>
      </c>
      <c r="AP271" s="31" t="str">
        <f t="shared" si="180"/>
        <v>1+5.62061444545262i</v>
      </c>
      <c r="AQ271" s="31">
        <f t="shared" si="200"/>
        <v>5.7088796400371464</v>
      </c>
      <c r="AR271" s="31">
        <f t="shared" si="201"/>
        <v>1.3947222409424782</v>
      </c>
      <c r="AS271" s="58" t="str">
        <f t="shared" si="202"/>
        <v>-1.97135722494453+0.432517563616212i</v>
      </c>
      <c r="AT271" s="49">
        <f t="shared" si="203"/>
        <v>6.099486096886845</v>
      </c>
      <c r="AU271" s="61">
        <f t="shared" si="204"/>
        <v>167.62532641693198</v>
      </c>
      <c r="AV271" s="58" t="str">
        <f t="shared" si="181"/>
        <v>0.346136383530327+0.317138145459562i</v>
      </c>
      <c r="AW271" s="64">
        <f t="shared" si="205"/>
        <v>-6.5681402821816226</v>
      </c>
      <c r="AX271" s="61">
        <f t="shared" si="206"/>
        <v>42.49663344475465</v>
      </c>
    </row>
    <row r="272" spans="14:50" x14ac:dyDescent="0.25">
      <c r="N272" s="10">
        <v>54</v>
      </c>
      <c r="O272" s="50">
        <f t="shared" si="207"/>
        <v>3467.3685045253224</v>
      </c>
      <c r="P272" s="48" t="str">
        <f t="shared" si="172"/>
        <v>304.285714285714</v>
      </c>
      <c r="Q272" s="17" t="str">
        <f t="shared" si="173"/>
        <v>1+1134.43433114084i</v>
      </c>
      <c r="R272" s="17">
        <f t="shared" si="182"/>
        <v>1134.4347718890517</v>
      </c>
      <c r="S272" s="17">
        <f t="shared" si="183"/>
        <v>1.5699148304283486</v>
      </c>
      <c r="T272" s="17" t="str">
        <f t="shared" si="174"/>
        <v>1+0.0235290083495877i</v>
      </c>
      <c r="U272" s="17">
        <f t="shared" si="184"/>
        <v>1.0002767688164687</v>
      </c>
      <c r="V272" s="17">
        <f t="shared" si="185"/>
        <v>2.3524667793315333E-2</v>
      </c>
      <c r="W272" s="31" t="str">
        <f t="shared" si="175"/>
        <v>1-0.0735281510924615i</v>
      </c>
      <c r="X272" s="17">
        <f t="shared" si="186"/>
        <v>1.0026995507145078</v>
      </c>
      <c r="Y272" s="17">
        <f t="shared" si="187"/>
        <v>-7.3396072008517318E-2</v>
      </c>
      <c r="Z272" s="31" t="str">
        <f t="shared" si="176"/>
        <v>0.999245114140626+0.648624844748706i</v>
      </c>
      <c r="AA272" s="17">
        <f t="shared" si="188"/>
        <v>1.1913039021841554</v>
      </c>
      <c r="AB272" s="17">
        <f t="shared" si="189"/>
        <v>0.57575272100143426</v>
      </c>
      <c r="AC272" s="66" t="str">
        <f t="shared" si="190"/>
        <v>-0.132081983039631-0.183169094413913i</v>
      </c>
      <c r="AD272" s="64">
        <f t="shared" si="191"/>
        <v>-12.924590555264338</v>
      </c>
      <c r="AE272" s="61">
        <f t="shared" si="192"/>
        <v>-125.79511591501802</v>
      </c>
      <c r="AF272" s="31" t="str">
        <f t="shared" si="177"/>
        <v>-1512.12121212121</v>
      </c>
      <c r="AG272" s="31" t="str">
        <f t="shared" si="193"/>
        <v>21786.1188422108i</v>
      </c>
      <c r="AH272" s="31">
        <f t="shared" si="194"/>
        <v>21786.118842210799</v>
      </c>
      <c r="AI272" s="31">
        <f t="shared" si="195"/>
        <v>1.5707963267948966</v>
      </c>
      <c r="AJ272" s="31" t="str">
        <f t="shared" si="178"/>
        <v>-1.06337492775011+30.0270886582973i</v>
      </c>
      <c r="AK272" s="31">
        <f t="shared" si="196"/>
        <v>30.045911860521286</v>
      </c>
      <c r="AL272" s="31">
        <f t="shared" si="197"/>
        <v>1.6061953870682328</v>
      </c>
      <c r="AM272" s="31" t="str">
        <f t="shared" si="179"/>
        <v>1+149.539919732935i</v>
      </c>
      <c r="AN272" s="31">
        <f t="shared" si="198"/>
        <v>149.54326328435076</v>
      </c>
      <c r="AO272" s="31">
        <f t="shared" si="199"/>
        <v>1.5641092488823827</v>
      </c>
      <c r="AP272" s="31" t="str">
        <f t="shared" si="180"/>
        <v>1+5.75153537434365i</v>
      </c>
      <c r="AQ272" s="31">
        <f t="shared" si="200"/>
        <v>5.8378214397432844</v>
      </c>
      <c r="AR272" s="31">
        <f t="shared" si="201"/>
        <v>1.3986505758023393</v>
      </c>
      <c r="AS272" s="58" t="str">
        <f t="shared" si="202"/>
        <v>-1.97058781146157+0.428741987547994i</v>
      </c>
      <c r="AT272" s="49">
        <f t="shared" si="203"/>
        <v>6.0927801820214924</v>
      </c>
      <c r="AU272" s="61">
        <f t="shared" si="204"/>
        <v>167.72541691296286</v>
      </c>
      <c r="AV272" s="58" t="str">
        <f t="shared" si="181"/>
        <v>0.338811427487958+0.304321692960819i</v>
      </c>
      <c r="AW272" s="64">
        <f t="shared" si="205"/>
        <v>-6.8318103732428392</v>
      </c>
      <c r="AX272" s="61">
        <f t="shared" si="206"/>
        <v>41.930300997944876</v>
      </c>
    </row>
    <row r="273" spans="14:50" x14ac:dyDescent="0.25">
      <c r="N273" s="10">
        <v>55</v>
      </c>
      <c r="O273" s="50">
        <f t="shared" si="207"/>
        <v>3548.1338923357539</v>
      </c>
      <c r="P273" s="48" t="str">
        <f t="shared" si="172"/>
        <v>304.285714285714</v>
      </c>
      <c r="Q273" s="17" t="str">
        <f t="shared" si="173"/>
        <v>1+1160.85870125912i</v>
      </c>
      <c r="R273" s="17">
        <f t="shared" si="182"/>
        <v>1160.8591319746813</v>
      </c>
      <c r="S273" s="17">
        <f t="shared" si="183"/>
        <v>1.5699348957253265</v>
      </c>
      <c r="T273" s="17" t="str">
        <f t="shared" si="174"/>
        <v>1+0.0240770693594483i</v>
      </c>
      <c r="U273" s="17">
        <f t="shared" si="184"/>
        <v>1.0002898106393665</v>
      </c>
      <c r="V273" s="17">
        <f t="shared" si="185"/>
        <v>2.4072418442381734E-2</v>
      </c>
      <c r="W273" s="31" t="str">
        <f t="shared" si="175"/>
        <v>1-0.075240841748276i</v>
      </c>
      <c r="X273" s="17">
        <f t="shared" si="186"/>
        <v>1.0028265973073256</v>
      </c>
      <c r="Y273" s="17">
        <f t="shared" si="187"/>
        <v>-7.5099337995641488E-2</v>
      </c>
      <c r="Z273" s="31" t="str">
        <f t="shared" si="176"/>
        <v>0.999209537466129+0.663733258250539i</v>
      </c>
      <c r="AA273" s="17">
        <f t="shared" si="188"/>
        <v>1.199567229408653</v>
      </c>
      <c r="AB273" s="17">
        <f t="shared" si="189"/>
        <v>0.58633343945732208</v>
      </c>
      <c r="AC273" s="66" t="str">
        <f t="shared" si="190"/>
        <v>-0.130285459630832-0.176271988119395i</v>
      </c>
      <c r="AD273" s="64">
        <f t="shared" si="191"/>
        <v>-13.183417254747754</v>
      </c>
      <c r="AE273" s="61">
        <f t="shared" si="192"/>
        <v>-126.46870223562139</v>
      </c>
      <c r="AF273" s="31" t="str">
        <f t="shared" si="177"/>
        <v>-1512.12121212121</v>
      </c>
      <c r="AG273" s="31" t="str">
        <f t="shared" si="193"/>
        <v>22293.5827402299i</v>
      </c>
      <c r="AH273" s="31">
        <f t="shared" si="194"/>
        <v>22293.5827402299</v>
      </c>
      <c r="AI273" s="31">
        <f t="shared" si="195"/>
        <v>1.5707963267948966</v>
      </c>
      <c r="AJ273" s="31" t="str">
        <f t="shared" si="178"/>
        <v>-1.16061879217958+30.7265094026285i</v>
      </c>
      <c r="AK273" s="31">
        <f t="shared" si="196"/>
        <v>30.7484213586743</v>
      </c>
      <c r="AL273" s="31">
        <f t="shared" si="197"/>
        <v>1.6085509337985331</v>
      </c>
      <c r="AM273" s="31" t="str">
        <f t="shared" si="179"/>
        <v>1+153.023151928938i</v>
      </c>
      <c r="AN273" s="31">
        <f t="shared" si="198"/>
        <v>153.02641937347562</v>
      </c>
      <c r="AO273" s="31">
        <f t="shared" si="199"/>
        <v>1.564261460975376</v>
      </c>
      <c r="AP273" s="31" t="str">
        <f t="shared" si="180"/>
        <v>1+5.88550584342069i</v>
      </c>
      <c r="AQ273" s="31">
        <f t="shared" si="200"/>
        <v>5.9698558636653107</v>
      </c>
      <c r="AR273" s="31">
        <f t="shared" si="201"/>
        <v>1.4024946830422798</v>
      </c>
      <c r="AS273" s="58" t="str">
        <f t="shared" si="202"/>
        <v>-1.96981473970336+0.425189982787126i</v>
      </c>
      <c r="AT273" s="49">
        <f t="shared" si="203"/>
        <v>6.086283513814859</v>
      </c>
      <c r="AU273" s="61">
        <f t="shared" si="204"/>
        <v>167.81942625823447</v>
      </c>
      <c r="AV273" s="58" t="str">
        <f t="shared" si="181"/>
        <v>0.331587302344178+0.291827088056554i</v>
      </c>
      <c r="AW273" s="64">
        <f t="shared" si="205"/>
        <v>-7.0971337409328914</v>
      </c>
      <c r="AX273" s="61">
        <f t="shared" si="206"/>
        <v>41.350724022613086</v>
      </c>
    </row>
    <row r="274" spans="14:50" x14ac:dyDescent="0.25">
      <c r="N274" s="10">
        <v>56</v>
      </c>
      <c r="O274" s="50">
        <f t="shared" si="207"/>
        <v>3630.7805477010188</v>
      </c>
      <c r="P274" s="48" t="str">
        <f t="shared" si="172"/>
        <v>304.285714285714</v>
      </c>
      <c r="Q274" s="17" t="str">
        <f t="shared" si="173"/>
        <v>1+1187.8985740266i</v>
      </c>
      <c r="R274" s="17">
        <f t="shared" si="182"/>
        <v>1187.8989949378818</v>
      </c>
      <c r="S274" s="17">
        <f t="shared" si="183"/>
        <v>1.569954504281053</v>
      </c>
      <c r="T274" s="17" t="str">
        <f t="shared" si="174"/>
        <v>1+0.0246378963501812i</v>
      </c>
      <c r="U274" s="17">
        <f t="shared" si="184"/>
        <v>1.0003034669221946</v>
      </c>
      <c r="V274" s="17">
        <f t="shared" si="185"/>
        <v>2.463291288440881E-2</v>
      </c>
      <c r="W274" s="31" t="str">
        <f t="shared" si="175"/>
        <v>1-0.0769934260943163i</v>
      </c>
      <c r="X274" s="17">
        <f t="shared" si="186"/>
        <v>1.0029596141728443</v>
      </c>
      <c r="Y274" s="17">
        <f t="shared" si="187"/>
        <v>-7.684182624602387E-2</v>
      </c>
      <c r="Z274" s="31" t="str">
        <f t="shared" si="176"/>
        <v>0.999172284114619+0.679193591911451i</v>
      </c>
      <c r="AA274" s="17">
        <f t="shared" si="188"/>
        <v>1.2081594218630272</v>
      </c>
      <c r="AB274" s="17">
        <f t="shared" si="189"/>
        <v>0.59700995220936048</v>
      </c>
      <c r="AC274" s="66" t="str">
        <f t="shared" si="190"/>
        <v>-0.128455720659074-0.169545680737889i</v>
      </c>
      <c r="AD274" s="64">
        <f t="shared" si="191"/>
        <v>-13.444139535141289</v>
      </c>
      <c r="AE274" s="61">
        <f t="shared" si="192"/>
        <v>-127.14926810034578</v>
      </c>
      <c r="AF274" s="31" t="str">
        <f t="shared" si="177"/>
        <v>-1512.12121212121</v>
      </c>
      <c r="AG274" s="31" t="str">
        <f t="shared" si="193"/>
        <v>22812.8669909085i</v>
      </c>
      <c r="AH274" s="31">
        <f t="shared" si="194"/>
        <v>22812.8669909085</v>
      </c>
      <c r="AI274" s="31">
        <f t="shared" si="195"/>
        <v>1.5707963267948966</v>
      </c>
      <c r="AJ274" s="31" t="str">
        <f t="shared" si="178"/>
        <v>-1.26244561874651+31.4422217489585i</v>
      </c>
      <c r="AK274" s="31">
        <f t="shared" si="196"/>
        <v>31.467555949755152</v>
      </c>
      <c r="AL274" s="31">
        <f t="shared" si="197"/>
        <v>1.6109260567247903</v>
      </c>
      <c r="AM274" s="31" t="str">
        <f t="shared" si="179"/>
        <v>1+156.587519025596i</v>
      </c>
      <c r="AN274" s="31">
        <f t="shared" si="198"/>
        <v>156.59071209554989</v>
      </c>
      <c r="AO274" s="31">
        <f t="shared" si="199"/>
        <v>1.5644102085907312</v>
      </c>
      <c r="AP274" s="31" t="str">
        <f t="shared" si="180"/>
        <v>1+6.02259688559984i</v>
      </c>
      <c r="AQ274" s="31">
        <f t="shared" si="200"/>
        <v>6.1050530912054226</v>
      </c>
      <c r="AR274" s="31">
        <f t="shared" si="201"/>
        <v>1.406256146191456</v>
      </c>
      <c r="AS274" s="58" t="str">
        <f t="shared" si="202"/>
        <v>-1.96903640128196+0.421859545545319i</v>
      </c>
      <c r="AT274" s="49">
        <f t="shared" si="203"/>
        <v>6.0799833688822797</v>
      </c>
      <c r="AU274" s="61">
        <f t="shared" si="204"/>
        <v>167.90738031254944</v>
      </c>
      <c r="AV274" s="58" t="str">
        <f t="shared" si="181"/>
        <v>0.324458453755881+0.2796513451131i</v>
      </c>
      <c r="AW274" s="64">
        <f t="shared" si="205"/>
        <v>-7.3641561662590096</v>
      </c>
      <c r="AX274" s="61">
        <f t="shared" si="206"/>
        <v>40.758112212203706</v>
      </c>
    </row>
    <row r="275" spans="14:50" x14ac:dyDescent="0.25">
      <c r="N275" s="10">
        <v>57</v>
      </c>
      <c r="O275" s="50">
        <f t="shared" si="207"/>
        <v>3715.352290971724</v>
      </c>
      <c r="P275" s="48" t="str">
        <f t="shared" ref="P275:P338" si="208">COMPLEX(Adc,0)</f>
        <v>304.285714285714</v>
      </c>
      <c r="Q275" s="17" t="str">
        <f t="shared" ref="Q275:Q338" si="209">IMSUM(COMPLEX(1,0),IMDIV(COMPLEX(0,2*PI()*O275),COMPLEX(wp_lf,0)))</f>
        <v>1+1215.56828634172i</v>
      </c>
      <c r="R275" s="17">
        <f t="shared" si="182"/>
        <v>1215.5686976718946</v>
      </c>
      <c r="S275" s="17">
        <f t="shared" si="183"/>
        <v>1.5699736664921837</v>
      </c>
      <c r="T275" s="17" t="str">
        <f t="shared" ref="T275:T338" si="210">IMSUM(COMPLEX(1,0),IMDIV(COMPLEX(0,2*PI()*O275),COMPLEX(wz_esr,0)))</f>
        <v>1+0.02521178667968i</v>
      </c>
      <c r="U275" s="17">
        <f t="shared" si="184"/>
        <v>1.0003177666059828</v>
      </c>
      <c r="V275" s="17">
        <f t="shared" si="185"/>
        <v>2.5206446891508718E-2</v>
      </c>
      <c r="W275" s="31" t="str">
        <f t="shared" ref="W275:W338" si="211">IMSUB(COMPLEX(1,0),IMDIV(COMPLEX(0,2*PI()*O275),COMPLEX(wz_rhp,0)))</f>
        <v>1-0.078786833374i</v>
      </c>
      <c r="X275" s="17">
        <f t="shared" si="186"/>
        <v>1.0030988810247485</v>
      </c>
      <c r="Y275" s="17">
        <f t="shared" si="187"/>
        <v>-7.8624418301072807E-2</v>
      </c>
      <c r="Z275" s="31" t="str">
        <f t="shared" ref="Z275:Z338" si="212">IMSUM(COMPLEX(1,0),IMDIV(COMPLEX(0,2*PI()*O275),COMPLEX(Q*(wsl/2),0)),IMDIV(IMPOWER(COMPLEX(0,2*PI()*O275),2),IMPOWER(COMPLEX(wsl/2,0),2)))</f>
        <v>0.999133275066743+0.695014043004982i</v>
      </c>
      <c r="AA275" s="17">
        <f t="shared" si="188"/>
        <v>1.2170915418815986</v>
      </c>
      <c r="AB275" s="17">
        <f t="shared" si="189"/>
        <v>0.6077782598949194</v>
      </c>
      <c r="AC275" s="66" t="str">
        <f t="shared" si="190"/>
        <v>-0.126593893086594-0.16298866267509i</v>
      </c>
      <c r="AD275" s="64">
        <f t="shared" si="191"/>
        <v>-13.70678921096559</v>
      </c>
      <c r="AE275" s="61">
        <f t="shared" si="192"/>
        <v>-127.83661852038419</v>
      </c>
      <c r="AF275" s="31" t="str">
        <f t="shared" ref="AF275:AF338" si="213">COMPLEX(Adc_ea_iso,0)</f>
        <v>-1512.12121212121</v>
      </c>
      <c r="AG275" s="31" t="str">
        <f t="shared" si="193"/>
        <v>23344.2469256296i</v>
      </c>
      <c r="AH275" s="31">
        <f t="shared" si="194"/>
        <v>23344.246925629599</v>
      </c>
      <c r="AI275" s="31">
        <f t="shared" si="195"/>
        <v>1.5707963267948966</v>
      </c>
      <c r="AJ275" s="31" t="str">
        <f t="shared" ref="AJ275:AJ338" si="214">IMSUM(IMPRODUCT(COMPLEX(wpA_ea_iso,0),IMPOWER(COMPLEX(0,2*PI()*O275),2)),COMPLEX(0,wpB_ea_iso*2*PI()*O275),COMPLEX(1,0))</f>
        <v>-1.36907139580215+32.1746051774467i</v>
      </c>
      <c r="AK275" s="31">
        <f t="shared" si="196"/>
        <v>32.203719890897446</v>
      </c>
      <c r="AL275" s="31">
        <f t="shared" si="197"/>
        <v>1.6133219770208762</v>
      </c>
      <c r="AM275" s="31" t="str">
        <f t="shared" ref="AM275:AM338" si="215">IMSUM(COMPLEX(1,0),IMDIV(COMPLEX(0,2*PI()*O275),COMPLEX(wz1_ea_iso,0)))</f>
        <v>1+160.234910897521i</v>
      </c>
      <c r="AN275" s="31">
        <f t="shared" si="198"/>
        <v>160.23803128576091</v>
      </c>
      <c r="AO275" s="31">
        <f t="shared" si="199"/>
        <v>1.5645555705700578</v>
      </c>
      <c r="AP275" s="31" t="str">
        <f t="shared" ref="AP275:AP338" si="216">IMSUM(COMPLEX(1,0),IMDIV(COMPLEX(0,2*PI()*O275),COMPLEX(wz2_ea_iso,0)))</f>
        <v>1+6.16288118836621i</v>
      </c>
      <c r="AQ275" s="31">
        <f t="shared" si="200"/>
        <v>6.2434849677017823</v>
      </c>
      <c r="AR275" s="31">
        <f t="shared" si="201"/>
        <v>1.4099365336573124</v>
      </c>
      <c r="AS275" s="58" t="str">
        <f t="shared" si="202"/>
        <v>-1.96825117878296+0.418748771409004i</v>
      </c>
      <c r="AT275" s="49">
        <f t="shared" si="203"/>
        <v>6.0738673563758603</v>
      </c>
      <c r="AU275" s="61">
        <f t="shared" si="204"/>
        <v>167.98930348821747</v>
      </c>
      <c r="AV275" s="58" t="str">
        <f t="shared" ref="AV275:AV338" si="217">IMPRODUCT(AC275,AS275)</f>
        <v>0.317419881543203+0.26779159024061i</v>
      </c>
      <c r="AW275" s="64">
        <f t="shared" si="205"/>
        <v>-7.6329218545897319</v>
      </c>
      <c r="AX275" s="61">
        <f t="shared" si="206"/>
        <v>40.152684967833295</v>
      </c>
    </row>
    <row r="276" spans="14:50" x14ac:dyDescent="0.25">
      <c r="N276" s="10">
        <v>58</v>
      </c>
      <c r="O276" s="50">
        <f t="shared" si="207"/>
        <v>3801.8939632056172</v>
      </c>
      <c r="P276" s="48" t="str">
        <f t="shared" si="208"/>
        <v>304.285714285714</v>
      </c>
      <c r="Q276" s="17" t="str">
        <f t="shared" si="209"/>
        <v>1+1243.8825090522i</v>
      </c>
      <c r="R276" s="17">
        <f t="shared" ref="R276:R339" si="218">IMABS(Q276)</f>
        <v>1243.8829110193597</v>
      </c>
      <c r="S276" s="17">
        <f t="shared" ref="S276:S339" si="219">IMARGUMENT(Q276)</f>
        <v>1.5699923925187202</v>
      </c>
      <c r="T276" s="17" t="str">
        <f t="shared" si="210"/>
        <v>1+0.0257990446321938i</v>
      </c>
      <c r="U276" s="17">
        <f t="shared" ref="U276:U339" si="220">IMABS(T276)</f>
        <v>1.0003327399940152</v>
      </c>
      <c r="V276" s="17">
        <f t="shared" ref="V276:V339" si="221">IMARGUMENT(T276)</f>
        <v>2.5793323048867133E-2</v>
      </c>
      <c r="W276" s="31" t="str">
        <f t="shared" si="211"/>
        <v>1-0.0806220144756056i</v>
      </c>
      <c r="X276" s="17">
        <f t="shared" ref="X276:X339" si="222">IMABS(W276)</f>
        <v>1.0032446906005059</v>
      </c>
      <c r="Y276" s="17">
        <f t="shared" ref="Y276:Y339" si="223">IMARGUMENT(W276)</f>
        <v>-8.0448013973971153E-2</v>
      </c>
      <c r="Z276" s="31" t="str">
        <f t="shared" si="212"/>
        <v>0.999092427579079+0.711202999743713i</v>
      </c>
      <c r="AA276" s="17">
        <f t="shared" ref="AA276:AA339" si="224">IMABS(Z276)</f>
        <v>1.2263748960616867</v>
      </c>
      <c r="AB276" s="17">
        <f t="shared" ref="AB276:AB339" si="225">IMARGUMENT(Z276)</f>
        <v>0.61863416173062902</v>
      </c>
      <c r="AC276" s="66" t="str">
        <f t="shared" ref="AC276:AC339" si="226">(IMDIV(IMPRODUCT(P276,T276,W276),IMPRODUCT(Q276,Z276)))</f>
        <v>-0.12470120940455-0.156599457020234i</v>
      </c>
      <c r="AD276" s="64">
        <f t="shared" ref="AD276:AD339" si="227">20*LOG(IMABS(AC276))</f>
        <v>-13.971396733958187</v>
      </c>
      <c r="AE276" s="61">
        <f t="shared" ref="AE276:AE339" si="228">(180/PI())*IMARGUMENT(AC276)</f>
        <v>-128.53054760934825</v>
      </c>
      <c r="AF276" s="31" t="str">
        <f t="shared" si="213"/>
        <v>-1512.12121212121</v>
      </c>
      <c r="AG276" s="31" t="str">
        <f t="shared" ref="AG276:AG339" si="229">COMPLEX(0,1*2*PI()*O276)</f>
        <v>23888.0042890683i</v>
      </c>
      <c r="AH276" s="31">
        <f t="shared" ref="AH276:AH339" si="230">IMABS(AG276)</f>
        <v>23888.0042890683</v>
      </c>
      <c r="AI276" s="31">
        <f t="shared" ref="AI276:AI339" si="231">IMARGUMENT(AG276)</f>
        <v>1.5707963267948966</v>
      </c>
      <c r="AJ276" s="31" t="str">
        <f t="shared" si="214"/>
        <v>-1.48072229091522+32.9240480074813i</v>
      </c>
      <c r="AK276" s="31">
        <f t="shared" ref="AK276:AK339" si="232">IMABS(AJ276)</f>
        <v>32.957328103196502</v>
      </c>
      <c r="AL276" s="31">
        <f t="shared" ref="AL276:AL339" si="233">IMARGUMENT(AJ276)</f>
        <v>1.6157399246373905</v>
      </c>
      <c r="AM276" s="31" t="str">
        <f t="shared" si="215"/>
        <v>1+163.967261440164i</v>
      </c>
      <c r="AN276" s="31">
        <f t="shared" ref="AN276:AN339" si="234">IMABS(AM276)</f>
        <v>163.97031080103221</v>
      </c>
      <c r="AO276" s="31">
        <f t="shared" ref="AO276:AO339" si="235">IMARGUMENT(AM276)</f>
        <v>1.5646976239616153</v>
      </c>
      <c r="AP276" s="31" t="str">
        <f t="shared" si="216"/>
        <v>1+6.30643313231403i</v>
      </c>
      <c r="AQ276" s="31">
        <f t="shared" ref="AQ276:AQ339" si="236">IMABS(AP276)</f>
        <v>6.3852250432031088</v>
      </c>
      <c r="AR276" s="31">
        <f t="shared" ref="AR276:AR339" si="237">IMARGUMENT(AP276)</f>
        <v>1.4135373978137116</v>
      </c>
      <c r="AS276" s="58" t="str">
        <f t="shared" ref="AS276:AS339" si="238">IMDIV(IMPRODUCT(AF276,AM276,AP276),IMPRODUCT(AG276,AJ276))</f>
        <v>-1.96745744261302+0.415855853708904i</v>
      </c>
      <c r="AT276" s="49">
        <f t="shared" ref="AT276:AT339" si="239">20*LOG(IMABS(AS276))</f>
        <v>6.0679233992374151</v>
      </c>
      <c r="AU276" s="61">
        <f t="shared" ref="AU276:AU339" si="240">(180/PI())*IMARGUMENT(AS276)</f>
        <v>168.06521867327092</v>
      </c>
      <c r="AV276" s="58" t="str">
        <f t="shared" si="217"/>
        <v>0.310467123435327+0.256245039328155i</v>
      </c>
      <c r="AW276" s="64">
        <f t="shared" ref="AW276:AW339" si="241">20*LOG(IMABS(AV276))</f>
        <v>-7.9034733347207737</v>
      </c>
      <c r="AX276" s="61">
        <f t="shared" ref="AX276:AX339" si="242">(180/PI())*IMARGUMENT(AV276)</f>
        <v>39.53467106392263</v>
      </c>
    </row>
    <row r="277" spans="14:50" x14ac:dyDescent="0.25">
      <c r="N277" s="10">
        <v>59</v>
      </c>
      <c r="O277" s="50">
        <f t="shared" si="207"/>
        <v>3890.451449942811</v>
      </c>
      <c r="P277" s="48" t="str">
        <f t="shared" si="208"/>
        <v>304.285714285714</v>
      </c>
      <c r="Q277" s="17" t="str">
        <f t="shared" si="209"/>
        <v>1+1272.85625473372i</v>
      </c>
      <c r="R277" s="17">
        <f t="shared" si="218"/>
        <v>1272.8566475509931</v>
      </c>
      <c r="S277" s="17">
        <f t="shared" si="219"/>
        <v>1.5700106922893973</v>
      </c>
      <c r="T277" s="17" t="str">
        <f t="shared" si="210"/>
        <v>1+0.0263999815796623i</v>
      </c>
      <c r="U277" s="17">
        <f t="shared" si="220"/>
        <v>1.0003484188158676</v>
      </c>
      <c r="V277" s="17">
        <f t="shared" si="221"/>
        <v>2.6393850907992577E-2</v>
      </c>
      <c r="W277" s="31" t="str">
        <f t="shared" si="211"/>
        <v>1-0.0824999424364448i</v>
      </c>
      <c r="X277" s="17">
        <f t="shared" si="222"/>
        <v>1.003397349260011</v>
      </c>
      <c r="Y277" s="17">
        <f t="shared" si="223"/>
        <v>-8.2313531617261917E-2</v>
      </c>
      <c r="Z277" s="31" t="str">
        <f t="shared" si="212"/>
        <v>0.99904965500863+0.727769045726792i</v>
      </c>
      <c r="AA277" s="17">
        <f t="shared" si="224"/>
        <v>1.2360210342429243</v>
      </c>
      <c r="AB277" s="17">
        <f t="shared" si="225"/>
        <v>0.62957326086819643</v>
      </c>
      <c r="AC277" s="66" t="str">
        <f t="shared" si="226"/>
        <v>-0.122779006383459-0.150376609862158i</v>
      </c>
      <c r="AD277" s="64">
        <f t="shared" si="227"/>
        <v>-14.237991074183389</v>
      </c>
      <c r="AE277" s="61">
        <f t="shared" si="228"/>
        <v>-129.23083889699166</v>
      </c>
      <c r="AF277" s="31" t="str">
        <f t="shared" si="213"/>
        <v>-1512.12121212121</v>
      </c>
      <c r="AG277" s="31" t="str">
        <f t="shared" si="229"/>
        <v>24444.4273885762i</v>
      </c>
      <c r="AH277" s="31">
        <f t="shared" si="230"/>
        <v>24444.427388576201</v>
      </c>
      <c r="AI277" s="31">
        <f t="shared" si="231"/>
        <v>1.5707963267948966</v>
      </c>
      <c r="AJ277" s="31" t="str">
        <f t="shared" si="214"/>
        <v>-1.59763513060355+33.6909476035707i</v>
      </c>
      <c r="AK277" s="31">
        <f t="shared" si="232"/>
        <v>33.728806507747713</v>
      </c>
      <c r="AL277" s="31">
        <f t="shared" si="233"/>
        <v>1.6181811387660461</v>
      </c>
      <c r="AM277" s="31" t="str">
        <f t="shared" si="215"/>
        <v>1+167.786549595187i</v>
      </c>
      <c r="AN277" s="31">
        <f t="shared" si="234"/>
        <v>167.78952954537465</v>
      </c>
      <c r="AO277" s="31">
        <f t="shared" si="235"/>
        <v>1.5648364440610469</v>
      </c>
      <c r="AP277" s="31" t="str">
        <f t="shared" si="216"/>
        <v>1+6.45332883058411i</v>
      </c>
      <c r="AQ277" s="31">
        <f t="shared" si="236"/>
        <v>6.5303486121070184</v>
      </c>
      <c r="AR277" s="31">
        <f t="shared" si="237"/>
        <v>1.4170602741792904</v>
      </c>
      <c r="AS277" s="58" t="str">
        <f t="shared" si="238"/>
        <v>-1.96665354784131+0.413179081857645i</v>
      </c>
      <c r="AT277" s="49">
        <f t="shared" si="239"/>
        <v>6.0621397155537782</v>
      </c>
      <c r="AU277" s="61">
        <f t="shared" si="240"/>
        <v>168.13514716011426</v>
      </c>
      <c r="AV277" s="58" t="str">
        <f t="shared" si="217"/>
        <v>0.303596238100172+0.24500897616885i</v>
      </c>
      <c r="AW277" s="64">
        <f t="shared" si="241"/>
        <v>-8.1758513586296129</v>
      </c>
      <c r="AX277" s="61">
        <f t="shared" si="242"/>
        <v>38.90430826312263</v>
      </c>
    </row>
    <row r="278" spans="14:50" x14ac:dyDescent="0.25">
      <c r="N278" s="10">
        <v>60</v>
      </c>
      <c r="O278" s="50">
        <f t="shared" si="207"/>
        <v>3981.0717055349769</v>
      </c>
      <c r="P278" s="48" t="str">
        <f t="shared" si="208"/>
        <v>304.285714285714</v>
      </c>
      <c r="Q278" s="17" t="str">
        <f t="shared" si="209"/>
        <v>1+1302.50488564974i</v>
      </c>
      <c r="R278" s="17">
        <f t="shared" si="218"/>
        <v>1302.5052695254026</v>
      </c>
      <c r="S278" s="17">
        <f t="shared" si="219"/>
        <v>1.5700285755069463</v>
      </c>
      <c r="T278" s="17" t="str">
        <f t="shared" si="210"/>
        <v>1+0.0270149161468094i</v>
      </c>
      <c r="U278" s="17">
        <f t="shared" si="220"/>
        <v>1.0003648362944486</v>
      </c>
      <c r="V278" s="17">
        <f t="shared" si="221"/>
        <v>2.7008347143147943E-2</v>
      </c>
      <c r="W278" s="31" t="str">
        <f t="shared" si="211"/>
        <v>1-0.0844216129587793i</v>
      </c>
      <c r="X278" s="17">
        <f t="shared" si="222"/>
        <v>1.0035571776110028</v>
      </c>
      <c r="Y278" s="17">
        <f t="shared" si="223"/>
        <v>-8.4221908385817543E-2</v>
      </c>
      <c r="Z278" s="31" t="str">
        <f t="shared" si="212"/>
        <v>0.999004866629039+0.744720964491077i</v>
      </c>
      <c r="AA278" s="17">
        <f t="shared" si="224"/>
        <v>1.2460417482977943</v>
      </c>
      <c r="AB278" s="17">
        <f t="shared" si="225"/>
        <v>0.6405909707439208</v>
      </c>
      <c r="AC278" s="66" t="str">
        <f t="shared" si="226"/>
        <v>-0.12082872311732-0.144318680622098i</v>
      </c>
      <c r="AD278" s="64">
        <f t="shared" si="227"/>
        <v>-14.506599602667016</v>
      </c>
      <c r="AE278" s="61">
        <f t="shared" si="228"/>
        <v>-129.93726569941802</v>
      </c>
      <c r="AF278" s="31" t="str">
        <f t="shared" si="213"/>
        <v>-1512.12121212121</v>
      </c>
      <c r="AG278" s="31" t="str">
        <f t="shared" si="229"/>
        <v>25013.8112470457i</v>
      </c>
      <c r="AH278" s="31">
        <f t="shared" si="230"/>
        <v>25013.811247045702</v>
      </c>
      <c r="AI278" s="31">
        <f t="shared" si="231"/>
        <v>1.5707963267948966</v>
      </c>
      <c r="AJ278" s="31" t="str">
        <f t="shared" si="214"/>
        <v>-1.7200579026749+34.475710586032i</v>
      </c>
      <c r="AK278" s="31">
        <f t="shared" si="232"/>
        <v>34.518592375709552</v>
      </c>
      <c r="AL278" s="31">
        <f t="shared" si="233"/>
        <v>1.6206468682979136</v>
      </c>
      <c r="AM278" s="31" t="str">
        <f t="shared" si="215"/>
        <v>1+171.694800399721i</v>
      </c>
      <c r="AN278" s="31">
        <f t="shared" si="234"/>
        <v>171.69771251912482</v>
      </c>
      <c r="AO278" s="31">
        <f t="shared" si="235"/>
        <v>1.5649721044511931</v>
      </c>
      <c r="AP278" s="31" t="str">
        <f t="shared" si="216"/>
        <v>1+6.60364616922006i</v>
      </c>
      <c r="AQ278" s="31">
        <f t="shared" si="236"/>
        <v>6.6789327536856344</v>
      </c>
      <c r="AR278" s="31">
        <f t="shared" si="237"/>
        <v>1.4205066806808013</v>
      </c>
      <c r="AS278" s="58" t="str">
        <f t="shared" si="238"/>
        <v>-1.96583783103039+0.410716839651681i</v>
      </c>
      <c r="AT278" s="49">
        <f t="shared" si="239"/>
        <v>6.0565048000223429</v>
      </c>
      <c r="AU278" s="61">
        <f t="shared" si="240"/>
        <v>168.19910857934298</v>
      </c>
      <c r="AV278" s="58" t="str">
        <f t="shared" si="217"/>
        <v>0.296803787386932+0.234080730793419i</v>
      </c>
      <c r="AW278" s="64">
        <f t="shared" si="241"/>
        <v>-8.4500948026446778</v>
      </c>
      <c r="AX278" s="61">
        <f t="shared" si="242"/>
        <v>38.261842879924977</v>
      </c>
    </row>
    <row r="279" spans="14:50" x14ac:dyDescent="0.25">
      <c r="N279" s="10">
        <v>61</v>
      </c>
      <c r="O279" s="50">
        <f t="shared" si="207"/>
        <v>4073.8027780411317</v>
      </c>
      <c r="P279" s="48" t="str">
        <f t="shared" si="208"/>
        <v>304.285714285714</v>
      </c>
      <c r="Q279" s="17" t="str">
        <f t="shared" si="209"/>
        <v>1+1332.84412189683i</v>
      </c>
      <c r="R279" s="17">
        <f t="shared" si="218"/>
        <v>1332.8444970344185</v>
      </c>
      <c r="S279" s="17">
        <f t="shared" si="219"/>
        <v>1.57004605165324</v>
      </c>
      <c r="T279" s="17" t="str">
        <f t="shared" si="210"/>
        <v>1+0.0276441743800822i</v>
      </c>
      <c r="U279" s="17">
        <f t="shared" si="220"/>
        <v>1.0003820272161812</v>
      </c>
      <c r="V279" s="17">
        <f t="shared" si="221"/>
        <v>2.7637135711010095E-2</v>
      </c>
      <c r="W279" s="31" t="str">
        <f t="shared" si="211"/>
        <v>1-0.0863880449377571i</v>
      </c>
      <c r="X279" s="17">
        <f t="shared" si="222"/>
        <v>1.0037245111623847</v>
      </c>
      <c r="Y279" s="17">
        <f t="shared" si="223"/>
        <v>-8.6174100494364608E-2</v>
      </c>
      <c r="Z279" s="31" t="str">
        <f t="shared" si="212"/>
        <v>0.998957967438148+0.762067744168284i</v>
      </c>
      <c r="AA279" s="17">
        <f t="shared" si="224"/>
        <v>1.2564490707584979</v>
      </c>
      <c r="AB279" s="17">
        <f t="shared" si="225"/>
        <v>0.65168252242016034</v>
      </c>
      <c r="AC279" s="66" t="str">
        <f t="shared" si="226"/>
        <v>-0.118851898347234-0.138424232472119i</v>
      </c>
      <c r="AD279" s="64">
        <f t="shared" si="227"/>
        <v>-14.777247976312344</v>
      </c>
      <c r="AE279" s="61">
        <f t="shared" si="228"/>
        <v>-130.64959154561649</v>
      </c>
      <c r="AF279" s="31" t="str">
        <f t="shared" si="213"/>
        <v>-1512.12121212121</v>
      </c>
      <c r="AG279" s="31" t="str">
        <f t="shared" si="229"/>
        <v>25596.4577593354i</v>
      </c>
      <c r="AH279" s="31">
        <f t="shared" si="230"/>
        <v>25596.457759335401</v>
      </c>
      <c r="AI279" s="31">
        <f t="shared" si="231"/>
        <v>1.5707963267948966</v>
      </c>
      <c r="AJ279" s="31" t="str">
        <f t="shared" si="214"/>
        <v>-1.84825028224234+35.278753046586i</v>
      </c>
      <c r="AK279" s="31">
        <f t="shared" si="232"/>
        <v>35.32713469314784</v>
      </c>
      <c r="AL279" s="31">
        <f t="shared" si="233"/>
        <v>1.6231383722748938</v>
      </c>
      <c r="AM279" s="31" t="str">
        <f t="shared" si="215"/>
        <v>1+175.694086060078i</v>
      </c>
      <c r="AN279" s="31">
        <f t="shared" si="234"/>
        <v>175.69693189263751</v>
      </c>
      <c r="AO279" s="31">
        <f t="shared" si="235"/>
        <v>1.5651046770410031</v>
      </c>
      <c r="AP279" s="31" t="str">
        <f t="shared" si="216"/>
        <v>1+6.75746484846454i</v>
      </c>
      <c r="AQ279" s="31">
        <f t="shared" si="236"/>
        <v>6.8310563735218794</v>
      </c>
      <c r="AR279" s="31">
        <f t="shared" si="237"/>
        <v>1.4238781169963666</v>
      </c>
      <c r="AS279" s="58" t="str">
        <f t="shared" si="238"/>
        <v>-1.96500860705259+0.408467603533625i</v>
      </c>
      <c r="AT279" s="49">
        <f t="shared" si="239"/>
        <v>6.0510074055336442</v>
      </c>
      <c r="AU279" s="61">
        <f t="shared" si="240"/>
        <v>168.2571208384762</v>
      </c>
      <c r="AV279" s="58" t="str">
        <f t="shared" si="217"/>
        <v>0.290086817725722+0.223457658139046i</v>
      </c>
      <c r="AW279" s="64">
        <f t="shared" si="241"/>
        <v>-8.7262405707786996</v>
      </c>
      <c r="AX279" s="61">
        <f t="shared" si="242"/>
        <v>37.607529292859731</v>
      </c>
    </row>
    <row r="280" spans="14:50" x14ac:dyDescent="0.25">
      <c r="N280" s="10">
        <v>62</v>
      </c>
      <c r="O280" s="50">
        <f t="shared" si="207"/>
        <v>4168.6938347033583</v>
      </c>
      <c r="P280" s="48" t="str">
        <f t="shared" si="208"/>
        <v>304.285714285714</v>
      </c>
      <c r="Q280" s="17" t="str">
        <f t="shared" si="209"/>
        <v>1+1363.89004973962i</v>
      </c>
      <c r="R280" s="17">
        <f t="shared" si="218"/>
        <v>1363.8904163380366</v>
      </c>
      <c r="S280" s="17">
        <f t="shared" si="219"/>
        <v>1.57006312999432</v>
      </c>
      <c r="T280" s="17" t="str">
        <f t="shared" si="210"/>
        <v>1+0.0282880899205254i</v>
      </c>
      <c r="U280" s="17">
        <f t="shared" si="220"/>
        <v>1.0004000280044738</v>
      </c>
      <c r="V280" s="17">
        <f t="shared" si="221"/>
        <v>2.8280548013603697E-2</v>
      </c>
      <c r="W280" s="31" t="str">
        <f t="shared" si="211"/>
        <v>1-0.0884002810016419i</v>
      </c>
      <c r="X280" s="17">
        <f t="shared" si="222"/>
        <v>1.0038997010066142</v>
      </c>
      <c r="Y280" s="17">
        <f t="shared" si="223"/>
        <v>-8.8171083468663411E-2</v>
      </c>
      <c r="Z280" s="31" t="str">
        <f t="shared" si="212"/>
        <v>0.998908857956487+0.779818582250609i</v>
      </c>
      <c r="AA280" s="17">
        <f t="shared" si="224"/>
        <v>1.2672552733081377</v>
      </c>
      <c r="AB280" s="17">
        <f t="shared" si="225"/>
        <v>0.66284297290824101</v>
      </c>
      <c r="AC280" s="66" t="str">
        <f t="shared" si="226"/>
        <v>-0.116850167058161-0.132691822911057i</v>
      </c>
      <c r="AD280" s="64">
        <f t="shared" si="227"/>
        <v>-15.049960025858946</v>
      </c>
      <c r="AE280" s="61">
        <f t="shared" si="228"/>
        <v>-131.36757065967473</v>
      </c>
      <c r="AF280" s="31" t="str">
        <f t="shared" si="213"/>
        <v>-1512.12121212121</v>
      </c>
      <c r="AG280" s="31" t="str">
        <f t="shared" si="229"/>
        <v>26192.6758523383i</v>
      </c>
      <c r="AH280" s="31">
        <f t="shared" si="230"/>
        <v>26192.6758523383</v>
      </c>
      <c r="AI280" s="31">
        <f t="shared" si="231"/>
        <v>1.5707963267948966</v>
      </c>
      <c r="AJ280" s="31" t="str">
        <f t="shared" si="214"/>
        <v>-1.98248418253+36.1005007689747i</v>
      </c>
      <c r="AK280" s="31">
        <f t="shared" si="232"/>
        <v>36.154894541468714</v>
      </c>
      <c r="AL280" s="31">
        <f t="shared" si="233"/>
        <v>1.625656920333731</v>
      </c>
      <c r="AM280" s="31" t="str">
        <f t="shared" si="215"/>
        <v>1+179.78652705045i</v>
      </c>
      <c r="AN280" s="31">
        <f t="shared" si="234"/>
        <v>179.78930810496541</v>
      </c>
      <c r="AO280" s="31">
        <f t="shared" si="235"/>
        <v>1.5652342321035686</v>
      </c>
      <c r="AP280" s="31" t="str">
        <f t="shared" si="216"/>
        <v>1+6.91486642501731i</v>
      </c>
      <c r="AQ280" s="31">
        <f t="shared" si="236"/>
        <v>6.9868002458802039</v>
      </c>
      <c r="AR280" s="31">
        <f t="shared" si="237"/>
        <v>1.4271760639737769</v>
      </c>
      <c r="AS280" s="58" t="str">
        <f t="shared" si="238"/>
        <v>-1.96416416588762+0.406429940810517i</v>
      </c>
      <c r="AT280" s="49">
        <f t="shared" si="239"/>
        <v>6.0456365248729771</v>
      </c>
      <c r="AU280" s="61">
        <f t="shared" si="240"/>
        <v>168.30920006536712</v>
      </c>
      <c r="AV280" s="58" t="str">
        <f t="shared" si="217"/>
        <v>0.283442840645402+0.213137117187057i</v>
      </c>
      <c r="AW280" s="64">
        <f t="shared" si="241"/>
        <v>-9.0043235009859721</v>
      </c>
      <c r="AX280" s="61">
        <f t="shared" si="242"/>
        <v>36.94162940569246</v>
      </c>
    </row>
    <row r="281" spans="14:50" x14ac:dyDescent="0.25">
      <c r="N281" s="10">
        <v>63</v>
      </c>
      <c r="O281" s="50">
        <f t="shared" si="207"/>
        <v>4265.7951880159299</v>
      </c>
      <c r="P281" s="48" t="str">
        <f t="shared" si="208"/>
        <v>304.285714285714</v>
      </c>
      <c r="Q281" s="17" t="str">
        <f t="shared" si="209"/>
        <v>1+1395.65913014i</v>
      </c>
      <c r="R281" s="17">
        <f t="shared" si="218"/>
        <v>1395.6594883936202</v>
      </c>
      <c r="S281" s="17">
        <f t="shared" si="219"/>
        <v>1.5700798195853087</v>
      </c>
      <c r="T281" s="17" t="str">
        <f t="shared" si="210"/>
        <v>1+0.0289470041806814i</v>
      </c>
      <c r="U281" s="17">
        <f t="shared" si="220"/>
        <v>1.0004188767966327</v>
      </c>
      <c r="V281" s="17">
        <f t="shared" si="221"/>
        <v>2.8938923064552521E-2</v>
      </c>
      <c r="W281" s="31" t="str">
        <f t="shared" si="211"/>
        <v>1-0.0904593880646296i</v>
      </c>
      <c r="X281" s="17">
        <f t="shared" si="222"/>
        <v>1.0040831145323714</v>
      </c>
      <c r="Y281" s="17">
        <f t="shared" si="223"/>
        <v>-9.0213852389387145E-2</v>
      </c>
      <c r="Z281" s="31" t="str">
        <f t="shared" si="212"/>
        <v>0.998857434016258+0.79798289046736i</v>
      </c>
      <c r="AA281" s="17">
        <f t="shared" si="224"/>
        <v>1.2784728651669484</v>
      </c>
      <c r="AB281" s="17">
        <f t="shared" si="225"/>
        <v>0.6740672144532176</v>
      </c>
      <c r="AC281" s="66" t="str">
        <f t="shared" si="226"/>
        <v>-0.114825256350598-0.127119994571765i</v>
      </c>
      <c r="AD281" s="64">
        <f t="shared" si="227"/>
        <v>-15.324757647653559</v>
      </c>
      <c r="AE281" s="61">
        <f t="shared" si="228"/>
        <v>-132.09094849748436</v>
      </c>
      <c r="AF281" s="31" t="str">
        <f t="shared" si="213"/>
        <v>-1512.12121212121</v>
      </c>
      <c r="AG281" s="31" t="str">
        <f t="shared" si="229"/>
        <v>26802.7816487791i</v>
      </c>
      <c r="AH281" s="31">
        <f t="shared" si="230"/>
        <v>26802.781648779099</v>
      </c>
      <c r="AI281" s="31">
        <f t="shared" si="231"/>
        <v>1.5707963267948966</v>
      </c>
      <c r="AJ281" s="31" t="str">
        <f t="shared" si="214"/>
        <v>-2.12304433163741+36.9413894547178i</v>
      </c>
      <c r="AK281" s="31">
        <f t="shared" si="232"/>
        <v>37.002345494295803</v>
      </c>
      <c r="AL281" s="31">
        <f t="shared" si="233"/>
        <v>1.6282037931418236</v>
      </c>
      <c r="AM281" s="31" t="str">
        <f t="shared" si="215"/>
        <v>1+183.974293237219i</v>
      </c>
      <c r="AN281" s="31">
        <f t="shared" si="234"/>
        <v>183.97701098815102</v>
      </c>
      <c r="AO281" s="31">
        <f t="shared" si="235"/>
        <v>1.565360838313292</v>
      </c>
      <c r="AP281" s="31" t="str">
        <f t="shared" si="216"/>
        <v>1+7.07593435527768i</v>
      </c>
      <c r="AQ281" s="31">
        <f t="shared" si="236"/>
        <v>7.146247057036228</v>
      </c>
      <c r="AR281" s="31">
        <f t="shared" si="237"/>
        <v>1.4304019831191772</v>
      </c>
      <c r="AS281" s="58" t="str">
        <f t="shared" si="238"/>
        <v>-1.96330276939772+0.404602507823348i</v>
      </c>
      <c r="AT281" s="49">
        <f t="shared" si="239"/>
        <v>6.040381372542587</v>
      </c>
      <c r="AU281" s="61">
        <f t="shared" si="240"/>
        <v>168.35536055606593</v>
      </c>
      <c r="AV281" s="58" t="str">
        <f t="shared" si="217"/>
        <v>0.276869812388159+0.203116450707659i</v>
      </c>
      <c r="AW281" s="64">
        <f t="shared" si="241"/>
        <v>-9.2843762751109615</v>
      </c>
      <c r="AX281" s="61">
        <f t="shared" si="242"/>
        <v>36.264412058581605</v>
      </c>
    </row>
    <row r="282" spans="14:50" x14ac:dyDescent="0.25">
      <c r="N282" s="10">
        <v>64</v>
      </c>
      <c r="O282" s="50">
        <f t="shared" si="207"/>
        <v>4365.1583224016631</v>
      </c>
      <c r="P282" s="48" t="str">
        <f t="shared" si="208"/>
        <v>304.285714285714</v>
      </c>
      <c r="Q282" s="17" t="str">
        <f t="shared" si="209"/>
        <v>1+1428.16820748491i</v>
      </c>
      <c r="R282" s="17">
        <f t="shared" si="218"/>
        <v>1428.1685575836841</v>
      </c>
      <c r="S282" s="17">
        <f t="shared" si="219"/>
        <v>1.5700961292752111</v>
      </c>
      <c r="T282" s="17" t="str">
        <f t="shared" si="210"/>
        <v>1+0.0296212665256129i</v>
      </c>
      <c r="U282" s="17">
        <f t="shared" si="220"/>
        <v>1.0004386135243788</v>
      </c>
      <c r="V282" s="17">
        <f t="shared" si="221"/>
        <v>2.9612607658694844E-2</v>
      </c>
      <c r="W282" s="31" t="str">
        <f t="shared" si="211"/>
        <v>1-0.0925664578925405i</v>
      </c>
      <c r="X282" s="17">
        <f t="shared" si="222"/>
        <v>1.004275136168755</v>
      </c>
      <c r="Y282" s="17">
        <f t="shared" si="223"/>
        <v>-9.2303422127660295E-2</v>
      </c>
      <c r="Z282" s="31" t="str">
        <f t="shared" si="212"/>
        <v>0.998803586540392+0.816570299775189i</v>
      </c>
      <c r="AA282" s="17">
        <f t="shared" si="224"/>
        <v>1.2901145914068612</v>
      </c>
      <c r="AB282" s="17">
        <f t="shared" si="225"/>
        <v>0.68534998475160924</v>
      </c>
      <c r="AC282" s="66" t="str">
        <f t="shared" si="226"/>
        <v>-0.112778980597653-0.121707266334425i</v>
      </c>
      <c r="AD282" s="64">
        <f t="shared" si="227"/>
        <v>-15.601660699992429</v>
      </c>
      <c r="AE282" s="61">
        <f t="shared" si="228"/>
        <v>-132.81946233622855</v>
      </c>
      <c r="AF282" s="31" t="str">
        <f t="shared" si="213"/>
        <v>-1512.12121212121</v>
      </c>
      <c r="AG282" s="31" t="str">
        <f t="shared" si="229"/>
        <v>27427.0986348268i</v>
      </c>
      <c r="AH282" s="31">
        <f t="shared" si="230"/>
        <v>27427.098634826802</v>
      </c>
      <c r="AI282" s="31">
        <f t="shared" si="231"/>
        <v>1.5707963267948966</v>
      </c>
      <c r="AJ282" s="31" t="str">
        <f t="shared" si="214"/>
        <v>-2.27022887648606+37.8018649541269i</v>
      </c>
      <c r="AK282" s="31">
        <f t="shared" si="232"/>
        <v>37.869974031700615</v>
      </c>
      <c r="AL282" s="31">
        <f t="shared" si="233"/>
        <v>1.6307802828240452</v>
      </c>
      <c r="AM282" s="31" t="str">
        <f t="shared" si="215"/>
        <v>1+188.259605029451i</v>
      </c>
      <c r="AN282" s="31">
        <f t="shared" si="234"/>
        <v>188.26226091770198</v>
      </c>
      <c r="AO282" s="31">
        <f t="shared" si="235"/>
        <v>1.5654845627822174</v>
      </c>
      <c r="AP282" s="31" t="str">
        <f t="shared" si="216"/>
        <v>1+7.24075403959427i</v>
      </c>
      <c r="AQ282" s="31">
        <f t="shared" si="236"/>
        <v>7.3094814495900282</v>
      </c>
      <c r="AR282" s="31">
        <f t="shared" si="237"/>
        <v>1.4335573161516704</v>
      </c>
      <c r="AS282" s="58" t="str">
        <f t="shared" si="238"/>
        <v>-1.9624226480769+0.402984048062723i</v>
      </c>
      <c r="AT282" s="49">
        <f t="shared" si="239"/>
        <v>6.0352313667038802</v>
      </c>
      <c r="AU282" s="61">
        <f t="shared" si="240"/>
        <v>168.39561472692759</v>
      </c>
      <c r="AV282" s="58" t="str">
        <f t="shared" si="217"/>
        <v>0.270366112617954+0.193392965752573i</v>
      </c>
      <c r="AW282" s="64">
        <f t="shared" si="241"/>
        <v>-9.566429333288557</v>
      </c>
      <c r="AX282" s="61">
        <f t="shared" si="242"/>
        <v>35.576152390698979</v>
      </c>
    </row>
    <row r="283" spans="14:50" x14ac:dyDescent="0.25">
      <c r="N283" s="10">
        <v>65</v>
      </c>
      <c r="O283" s="50">
        <f t="shared" si="207"/>
        <v>4466.8359215096343</v>
      </c>
      <c r="P283" s="48" t="str">
        <f t="shared" si="208"/>
        <v>304.285714285714</v>
      </c>
      <c r="Q283" s="17" t="str">
        <f t="shared" si="209"/>
        <v>1+1461.43451851748i</v>
      </c>
      <c r="R283" s="17">
        <f t="shared" si="218"/>
        <v>1461.4348606470351</v>
      </c>
      <c r="S283" s="17">
        <f t="shared" si="219"/>
        <v>1.5701120677116061</v>
      </c>
      <c r="T283" s="17" t="str">
        <f t="shared" si="210"/>
        <v>1+0.0303112344581402i</v>
      </c>
      <c r="U283" s="17">
        <f t="shared" si="220"/>
        <v>1.0004592799981298</v>
      </c>
      <c r="V283" s="17">
        <f t="shared" si="221"/>
        <v>3.0301956545101108E-2</v>
      </c>
      <c r="W283" s="31" t="str">
        <f t="shared" si="211"/>
        <v>1-0.0947226076816882i</v>
      </c>
      <c r="X283" s="17">
        <f t="shared" si="222"/>
        <v>1.0044761681623009</v>
      </c>
      <c r="Y283" s="17">
        <f t="shared" si="223"/>
        <v>-9.4440827571144428E-2</v>
      </c>
      <c r="Z283" s="31" t="str">
        <f t="shared" si="212"/>
        <v>0.998747201311173+0.835590665464546i</v>
      </c>
      <c r="AA283" s="17">
        <f t="shared" si="224"/>
        <v>1.3021934312299321</v>
      </c>
      <c r="AB283" s="17">
        <f t="shared" si="225"/>
        <v>0.69668587806393489</v>
      </c>
      <c r="AC283" s="66" t="str">
        <f t="shared" si="226"/>
        <v>-0.110713235906826-0.11645212482053i</v>
      </c>
      <c r="AD283" s="64">
        <f t="shared" si="227"/>
        <v>-15.880686904779509</v>
      </c>
      <c r="AE283" s="61">
        <f t="shared" si="228"/>
        <v>-133.55284191438943</v>
      </c>
      <c r="AF283" s="31" t="str">
        <f t="shared" si="213"/>
        <v>-1512.12121212121</v>
      </c>
      <c r="AG283" s="31" t="str">
        <f t="shared" si="229"/>
        <v>28065.9578316113i</v>
      </c>
      <c r="AH283" s="31">
        <f t="shared" si="230"/>
        <v>28065.9578316113</v>
      </c>
      <c r="AI283" s="31">
        <f t="shared" si="231"/>
        <v>1.5707963267948966</v>
      </c>
      <c r="AJ283" s="31" t="str">
        <f t="shared" si="214"/>
        <v>-2.42435001522898+38.6823835027014i</v>
      </c>
      <c r="AK283" s="31">
        <f t="shared" si="232"/>
        <v>38.758279972754288</v>
      </c>
      <c r="AL283" s="31">
        <f t="shared" si="233"/>
        <v>1.6333876933796978</v>
      </c>
      <c r="AM283" s="31" t="str">
        <f t="shared" si="215"/>
        <v>1+192.64473455618i</v>
      </c>
      <c r="AN283" s="31">
        <f t="shared" si="234"/>
        <v>192.6473299898575</v>
      </c>
      <c r="AO283" s="31">
        <f t="shared" si="235"/>
        <v>1.5656054710955352</v>
      </c>
      <c r="AP283" s="31" t="str">
        <f t="shared" si="216"/>
        <v>1+7.40941286754538i</v>
      </c>
      <c r="AQ283" s="31">
        <f t="shared" si="236"/>
        <v>7.4765900677880577</v>
      </c>
      <c r="AR283" s="31">
        <f t="shared" si="237"/>
        <v>1.4366434846195755</v>
      </c>
      <c r="AS283" s="58" t="str">
        <f t="shared" si="238"/>
        <v>-1.96152199777029+0.401573390225078i</v>
      </c>
      <c r="AT283" s="49">
        <f t="shared" si="239"/>
        <v>6.0301761112341747</v>
      </c>
      <c r="AU283" s="61">
        <f t="shared" si="240"/>
        <v>168.42997307076936</v>
      </c>
      <c r="AV283" s="58" t="str">
        <f t="shared" si="217"/>
        <v>0.263930522238665+0.183963915036668i</v>
      </c>
      <c r="AW283" s="64">
        <f t="shared" si="241"/>
        <v>-9.850510793545336</v>
      </c>
      <c r="AX283" s="61">
        <f t="shared" si="242"/>
        <v>34.877131156379875</v>
      </c>
    </row>
    <row r="284" spans="14:50" x14ac:dyDescent="0.25">
      <c r="N284" s="10">
        <v>66</v>
      </c>
      <c r="O284" s="50">
        <f t="shared" ref="O284:O318" si="243">10^(3+(N284/100))</f>
        <v>4570.8818961487532</v>
      </c>
      <c r="P284" s="48" t="str">
        <f t="shared" si="208"/>
        <v>304.285714285714</v>
      </c>
      <c r="Q284" s="17" t="str">
        <f t="shared" si="209"/>
        <v>1+1495.47570147613i</v>
      </c>
      <c r="R284" s="17">
        <f t="shared" si="218"/>
        <v>1495.4760358178671</v>
      </c>
      <c r="S284" s="17">
        <f t="shared" si="219"/>
        <v>1.5701276433452309</v>
      </c>
      <c r="T284" s="17" t="str">
        <f t="shared" si="210"/>
        <v>1+0.0310172738083938i</v>
      </c>
      <c r="U284" s="17">
        <f t="shared" si="220"/>
        <v>1.0004809199952316</v>
      </c>
      <c r="V284" s="17">
        <f t="shared" si="221"/>
        <v>3.10073326035369E-2</v>
      </c>
      <c r="W284" s="31" t="str">
        <f t="shared" si="211"/>
        <v>1-0.0969289806512307i</v>
      </c>
      <c r="X284" s="17">
        <f t="shared" si="222"/>
        <v>1.0046866313881591</v>
      </c>
      <c r="Y284" s="17">
        <f t="shared" si="223"/>
        <v>-9.6627123839475609E-2</v>
      </c>
      <c r="Z284" s="31" t="str">
        <f t="shared" si="212"/>
        <v>0.998688158727968+0.855054072385082i</v>
      </c>
      <c r="AA284" s="17">
        <f t="shared" si="224"/>
        <v>1.3147225962482625</v>
      </c>
      <c r="AB284" s="17">
        <f t="shared" si="225"/>
        <v>0.70806935717464758</v>
      </c>
      <c r="AC284" s="66" t="str">
        <f t="shared" si="226"/>
        <v>-0.108629993914822-0.111353016340758i</v>
      </c>
      <c r="AD284" s="64">
        <f t="shared" si="227"/>
        <v>-16.161851755219661</v>
      </c>
      <c r="AE284" s="61">
        <f t="shared" si="228"/>
        <v>-134.2908101195012</v>
      </c>
      <c r="AF284" s="31" t="str">
        <f t="shared" si="213"/>
        <v>-1512.12121212121</v>
      </c>
      <c r="AG284" s="31" t="str">
        <f t="shared" si="229"/>
        <v>28719.697970735i</v>
      </c>
      <c r="AH284" s="31">
        <f t="shared" si="230"/>
        <v>28719.697970735</v>
      </c>
      <c r="AI284" s="31">
        <f t="shared" si="231"/>
        <v>1.5707963267948966</v>
      </c>
      <c r="AJ284" s="31" t="str">
        <f t="shared" si="214"/>
        <v>-2.58573465946479+39.583411963031i</v>
      </c>
      <c r="AK284" s="31">
        <f t="shared" si="232"/>
        <v>39.667776927427923</v>
      </c>
      <c r="AL284" s="31">
        <f t="shared" si="233"/>
        <v>1.6360273410886719</v>
      </c>
      <c r="AM284" s="31" t="str">
        <f t="shared" si="215"/>
        <v>1+197.132006871125i</v>
      </c>
      <c r="AN284" s="31">
        <f t="shared" si="234"/>
        <v>197.13454322628814</v>
      </c>
      <c r="AO284" s="31">
        <f t="shared" si="235"/>
        <v>1.5657236273462858</v>
      </c>
      <c r="AP284" s="31" t="str">
        <f t="shared" si="216"/>
        <v>1+7.58200026427404i</v>
      </c>
      <c r="AQ284" s="31">
        <f t="shared" si="236"/>
        <v>7.647661603879425</v>
      </c>
      <c r="AR284" s="31">
        <f t="shared" si="237"/>
        <v>1.439661889574269</v>
      </c>
      <c r="AS284" s="58" t="str">
        <f t="shared" si="238"/>
        <v>-1.96059897636078+0.400369446203589i</v>
      </c>
      <c r="AT284" s="49">
        <f t="shared" si="239"/>
        <v>6.0252053778947401</v>
      </c>
      <c r="AU284" s="61">
        <f t="shared" si="240"/>
        <v>168.45844411690015</v>
      </c>
      <c r="AV284" s="58" t="str">
        <f t="shared" si="217"/>
        <v>0.257562200356926+0.174826479347599i</v>
      </c>
      <c r="AW284" s="64">
        <f t="shared" si="241"/>
        <v>-10.136646377324926</v>
      </c>
      <c r="AX284" s="61">
        <f t="shared" si="242"/>
        <v>34.167633997399001</v>
      </c>
    </row>
    <row r="285" spans="14:50" x14ac:dyDescent="0.25">
      <c r="N285" s="10">
        <v>67</v>
      </c>
      <c r="O285" s="50">
        <f t="shared" si="243"/>
        <v>4677.3514128719844</v>
      </c>
      <c r="P285" s="48" t="str">
        <f t="shared" si="208"/>
        <v>304.285714285714</v>
      </c>
      <c r="Q285" s="17" t="str">
        <f t="shared" si="209"/>
        <v>1+1530.30980544667i</v>
      </c>
      <c r="R285" s="17">
        <f t="shared" si="218"/>
        <v>1530.3101321778618</v>
      </c>
      <c r="S285" s="17">
        <f t="shared" si="219"/>
        <v>1.5701428644344628</v>
      </c>
      <c r="T285" s="17" t="str">
        <f t="shared" si="210"/>
        <v>1+0.0317397589277827i</v>
      </c>
      <c r="U285" s="17">
        <f t="shared" si="220"/>
        <v>1.0005035793523149</v>
      </c>
      <c r="V285" s="17">
        <f t="shared" si="221"/>
        <v>3.1729107024409821E-2</v>
      </c>
      <c r="W285" s="31" t="str">
        <f t="shared" si="211"/>
        <v>1-0.0991867466493211i</v>
      </c>
      <c r="X285" s="17">
        <f t="shared" si="222"/>
        <v>1.00490696619681</v>
      </c>
      <c r="Y285" s="17">
        <f t="shared" si="223"/>
        <v>-9.8863386487775082E-2</v>
      </c>
      <c r="Z285" s="31" t="str">
        <f t="shared" si="212"/>
        <v>0.998626333553544+0.874970840292774i</v>
      </c>
      <c r="AA285" s="17">
        <f t="shared" si="224"/>
        <v>1.3277155288047349</v>
      </c>
      <c r="AB285" s="17">
        <f t="shared" si="225"/>
        <v>0.71949476614309815</v>
      </c>
      <c r="AC285" s="66" t="str">
        <f t="shared" si="226"/>
        <v>-0.106531294952562-0.106408339367492i</v>
      </c>
      <c r="AD285" s="64">
        <f t="shared" si="227"/>
        <v>-16.445168430230709</v>
      </c>
      <c r="AE285" s="61">
        <f t="shared" si="228"/>
        <v>-135.0330837203305</v>
      </c>
      <c r="AF285" s="31" t="str">
        <f t="shared" si="213"/>
        <v>-1512.12121212121</v>
      </c>
      <c r="AG285" s="31" t="str">
        <f t="shared" si="229"/>
        <v>29388.6656738729i</v>
      </c>
      <c r="AH285" s="31">
        <f t="shared" si="230"/>
        <v>29388.6656738729</v>
      </c>
      <c r="AI285" s="31">
        <f t="shared" si="231"/>
        <v>1.5707963267948966</v>
      </c>
      <c r="AJ285" s="31" t="str">
        <f t="shared" si="214"/>
        <v>-2.75472512766115+40.5054280723318i</v>
      </c>
      <c r="AK285" s="31">
        <f t="shared" si="232"/>
        <v>40.598992768932249</v>
      </c>
      <c r="AL285" s="31">
        <f t="shared" si="233"/>
        <v>1.6387005549058167</v>
      </c>
      <c r="AM285" s="31" t="str">
        <f t="shared" si="215"/>
        <v>1+201.723801185463i</v>
      </c>
      <c r="AN285" s="31">
        <f t="shared" si="234"/>
        <v>201.72627980685166</v>
      </c>
      <c r="AO285" s="31">
        <f t="shared" si="235"/>
        <v>1.5658390941692726</v>
      </c>
      <c r="AP285" s="31" t="str">
        <f t="shared" si="216"/>
        <v>1+7.75860773790244i</v>
      </c>
      <c r="AQ285" s="31">
        <f t="shared" si="236"/>
        <v>7.8227868455327112</v>
      </c>
      <c r="AR285" s="31">
        <f t="shared" si="237"/>
        <v>1.4426139112977421</v>
      </c>
      <c r="AS285" s="58" t="str">
        <f t="shared" si="238"/>
        <v>-1.95965170041995+0.399371209007429i</v>
      </c>
      <c r="AT285" s="49">
        <f t="shared" si="239"/>
        <v>6.0203090886035451</v>
      </c>
      <c r="AU285" s="61">
        <f t="shared" si="240"/>
        <v>168.4810343948586</v>
      </c>
      <c r="AV285" s="58" t="str">
        <f t="shared" si="217"/>
        <v>0.251260660443395+0.165977751118037i</v>
      </c>
      <c r="AW285" s="64">
        <f t="shared" si="241"/>
        <v>-10.42485934162718</v>
      </c>
      <c r="AX285" s="61">
        <f t="shared" si="242"/>
        <v>33.44795067452813</v>
      </c>
    </row>
    <row r="286" spans="14:50" x14ac:dyDescent="0.25">
      <c r="N286" s="10">
        <v>68</v>
      </c>
      <c r="O286" s="50">
        <f t="shared" si="243"/>
        <v>4786.3009232263848</v>
      </c>
      <c r="P286" s="48" t="str">
        <f t="shared" si="208"/>
        <v>304.285714285714</v>
      </c>
      <c r="Q286" s="17" t="str">
        <f t="shared" si="209"/>
        <v>1+1565.9552999321i</v>
      </c>
      <c r="R286" s="17">
        <f t="shared" si="218"/>
        <v>1565.9556192259831</v>
      </c>
      <c r="S286" s="17">
        <f t="shared" si="219"/>
        <v>1.5701577390496961</v>
      </c>
      <c r="T286" s="17" t="str">
        <f t="shared" si="210"/>
        <v>1+0.0324790728874806i</v>
      </c>
      <c r="U286" s="17">
        <f t="shared" si="220"/>
        <v>1.0005273060619737</v>
      </c>
      <c r="V286" s="17">
        <f t="shared" si="221"/>
        <v>3.2467659492236407E-2</v>
      </c>
      <c r="W286" s="31" t="str">
        <f t="shared" si="211"/>
        <v>1-0.101497102773377i</v>
      </c>
      <c r="X286" s="17">
        <f t="shared" si="222"/>
        <v>1.0051376332977437</v>
      </c>
      <c r="Y286" s="17">
        <f t="shared" si="223"/>
        <v>-0.10115071169685869</v>
      </c>
      <c r="Z286" s="31" t="str">
        <f t="shared" si="212"/>
        <v>0.998561594648416+0.895351529321599i</v>
      </c>
      <c r="AA286" s="17">
        <f t="shared" si="224"/>
        <v>1.3411859003752289</v>
      </c>
      <c r="AB286" s="17">
        <f t="shared" si="225"/>
        <v>0.73095634378056362</v>
      </c>
      <c r="AC286" s="66" t="str">
        <f t="shared" si="226"/>
        <v>-0.104419240626272-0.101616437598983i</v>
      </c>
      <c r="AD286" s="64">
        <f t="shared" si="227"/>
        <v>-16.730647716212633</v>
      </c>
      <c r="AE286" s="61">
        <f t="shared" si="228"/>
        <v>-135.77937413969286</v>
      </c>
      <c r="AF286" s="31" t="str">
        <f t="shared" si="213"/>
        <v>-1512.12121212121</v>
      </c>
      <c r="AG286" s="31" t="str">
        <f t="shared" si="229"/>
        <v>30073.2156365561i</v>
      </c>
      <c r="AH286" s="31">
        <f t="shared" si="230"/>
        <v>30073.215636556099</v>
      </c>
      <c r="AI286" s="31">
        <f t="shared" si="231"/>
        <v>1.5707963267948966</v>
      </c>
      <c r="AJ286" s="31" t="str">
        <f t="shared" si="214"/>
        <v>-2.93167987125805+41.4489206957493i</v>
      </c>
      <c r="AK286" s="31">
        <f t="shared" si="232"/>
        <v>41.552470127659731</v>
      </c>
      <c r="AL286" s="31">
        <f t="shared" si="233"/>
        <v>1.6414086768424287</v>
      </c>
      <c r="AM286" s="31" t="str">
        <f t="shared" si="215"/>
        <v>1+206.422552129321i</v>
      </c>
      <c r="AN286" s="31">
        <f t="shared" si="234"/>
        <v>206.4249743310684</v>
      </c>
      <c r="AO286" s="31">
        <f t="shared" si="235"/>
        <v>1.5659519327742111</v>
      </c>
      <c r="AP286" s="31" t="str">
        <f t="shared" si="216"/>
        <v>1+7.93932892805081i</v>
      </c>
      <c r="AQ286" s="31">
        <f t="shared" si="236"/>
        <v>8.0020587243399071</v>
      </c>
      <c r="AR286" s="31">
        <f t="shared" si="237"/>
        <v>1.4455009090801825</v>
      </c>
      <c r="AS286" s="58" t="str">
        <f t="shared" si="238"/>
        <v>-1.9586782418202+0.398577750602554i</v>
      </c>
      <c r="AT286" s="49">
        <f t="shared" si="239"/>
        <v>6.0154772978031934</v>
      </c>
      <c r="AU286" s="61">
        <f t="shared" si="240"/>
        <v>168.49774840171048</v>
      </c>
      <c r="AV286" s="58" t="str">
        <f t="shared" si="217"/>
        <v>0.245025745764514+0.157414719287962i</v>
      </c>
      <c r="AW286" s="64">
        <f t="shared" si="241"/>
        <v>-10.715170418409441</v>
      </c>
      <c r="AX286" s="61">
        <f t="shared" si="242"/>
        <v>32.718374262017669</v>
      </c>
    </row>
    <row r="287" spans="14:50" x14ac:dyDescent="0.25">
      <c r="N287" s="10">
        <v>69</v>
      </c>
      <c r="O287" s="50">
        <f t="shared" si="243"/>
        <v>4897.7881936844633</v>
      </c>
      <c r="P287" s="48" t="str">
        <f t="shared" si="208"/>
        <v>304.285714285714</v>
      </c>
      <c r="Q287" s="17" t="str">
        <f t="shared" si="209"/>
        <v>1+1602.43108464543i</v>
      </c>
      <c r="R287" s="17">
        <f t="shared" si="218"/>
        <v>1602.4313966712989</v>
      </c>
      <c r="S287" s="17">
        <f t="shared" si="219"/>
        <v>1.5701722750776224</v>
      </c>
      <c r="T287" s="17" t="str">
        <f t="shared" si="210"/>
        <v>1+0.0332356076815348i</v>
      </c>
      <c r="U287" s="17">
        <f t="shared" si="220"/>
        <v>1.0005521503739627</v>
      </c>
      <c r="V287" s="17">
        <f t="shared" si="221"/>
        <v>3.322337837266303E-2</v>
      </c>
      <c r="W287" s="31" t="str">
        <f t="shared" si="211"/>
        <v>1-0.103861274004796i</v>
      </c>
      <c r="X287" s="17">
        <f t="shared" si="222"/>
        <v>1.0053791146815709</v>
      </c>
      <c r="Y287" s="17">
        <f t="shared" si="223"/>
        <v>-0.10349021644867419</v>
      </c>
      <c r="Z287" s="31" t="str">
        <f t="shared" si="212"/>
        <v>0.998493804692687+0.91620694558265i</v>
      </c>
      <c r="AA287" s="17">
        <f t="shared" si="224"/>
        <v>1.3551476100940321</v>
      </c>
      <c r="AB287" s="17">
        <f t="shared" si="225"/>
        <v>0.74244823778030089</v>
      </c>
      <c r="AC287" s="66" t="str">
        <f t="shared" si="226"/>
        <v>-0.102295985868675-0.0969755936772942i</v>
      </c>
      <c r="AD287" s="64">
        <f t="shared" si="227"/>
        <v>-17.018297936760572</v>
      </c>
      <c r="AE287" s="61">
        <f t="shared" si="228"/>
        <v>-136.52938826362345</v>
      </c>
      <c r="AF287" s="31" t="str">
        <f t="shared" si="213"/>
        <v>-1512.12121212121</v>
      </c>
      <c r="AG287" s="31" t="str">
        <f t="shared" si="229"/>
        <v>30773.7108162359i</v>
      </c>
      <c r="AH287" s="31">
        <f t="shared" si="230"/>
        <v>30773.7108162359</v>
      </c>
      <c r="AI287" s="31">
        <f t="shared" si="231"/>
        <v>1.5707963267948966</v>
      </c>
      <c r="AJ287" s="31" t="str">
        <f t="shared" si="214"/>
        <v>-3.1169742349914+42.414390085561i</v>
      </c>
      <c r="AK287" s="31">
        <f t="shared" si="232"/>
        <v>42.528766907961675</v>
      </c>
      <c r="AL287" s="31">
        <f t="shared" si="233"/>
        <v>1.6441530623337057</v>
      </c>
      <c r="AM287" s="31" t="str">
        <f t="shared" si="215"/>
        <v>1+211.230751042643i</v>
      </c>
      <c r="AN287" s="31">
        <f t="shared" si="234"/>
        <v>211.23311810897226</v>
      </c>
      <c r="AO287" s="31">
        <f t="shared" si="235"/>
        <v>1.5660622029781224</v>
      </c>
      <c r="AP287" s="31" t="str">
        <f t="shared" si="216"/>
        <v>1+8.12425965548627i</v>
      </c>
      <c r="AQ287" s="31">
        <f t="shared" si="236"/>
        <v>8.1855723654343127</v>
      </c>
      <c r="AR287" s="31">
        <f t="shared" si="237"/>
        <v>1.4483242210440848</v>
      </c>
      <c r="AS287" s="58" t="str">
        <f t="shared" si="238"/>
        <v>-1.95767662430575+0.397988219666807i</v>
      </c>
      <c r="AT287" s="49">
        <f t="shared" si="239"/>
        <v>6.010700174915411</v>
      </c>
      <c r="AU287" s="61">
        <f t="shared" si="240"/>
        <v>168.50858857277396</v>
      </c>
      <c r="AV287" s="58" t="str">
        <f t="shared" si="217"/>
        <v>0.238857604174174+0.149134255575277i</v>
      </c>
      <c r="AW287" s="64">
        <f t="shared" si="241"/>
        <v>-11.007597761845162</v>
      </c>
      <c r="AX287" s="61">
        <f t="shared" si="242"/>
        <v>31.979200309150677</v>
      </c>
    </row>
    <row r="288" spans="14:50" x14ac:dyDescent="0.25">
      <c r="N288" s="10">
        <v>70</v>
      </c>
      <c r="O288" s="50">
        <f t="shared" si="243"/>
        <v>5011.8723362727324</v>
      </c>
      <c r="P288" s="48" t="str">
        <f t="shared" si="208"/>
        <v>304.285714285714</v>
      </c>
      <c r="Q288" s="17" t="str">
        <f t="shared" si="209"/>
        <v>1+1639.75649953052i</v>
      </c>
      <c r="R288" s="17">
        <f t="shared" si="218"/>
        <v>1639.7568044538143</v>
      </c>
      <c r="S288" s="17">
        <f t="shared" si="219"/>
        <v>1.5701864802254117</v>
      </c>
      <c r="T288" s="17" t="str">
        <f t="shared" si="210"/>
        <v>1+0.034009764434707i</v>
      </c>
      <c r="U288" s="17">
        <f t="shared" si="220"/>
        <v>1.0005781649011256</v>
      </c>
      <c r="V288" s="17">
        <f t="shared" si="221"/>
        <v>3.3996660903074315E-2</v>
      </c>
      <c r="W288" s="31" t="str">
        <f t="shared" si="211"/>
        <v>1-0.106280513858459i</v>
      </c>
      <c r="X288" s="17">
        <f t="shared" si="222"/>
        <v>1.0056319145820791</v>
      </c>
      <c r="Y288" s="17">
        <f t="shared" si="223"/>
        <v>-0.10588303868540037</v>
      </c>
      <c r="Z288" s="31" t="str">
        <f t="shared" si="212"/>
        <v>0.998422819894773+0.937548146893681i</v>
      </c>
      <c r="AA288" s="17">
        <f t="shared" si="224"/>
        <v>1.3696147834447487</v>
      </c>
      <c r="AB288" s="17">
        <f t="shared" si="225"/>
        <v>0.75396451942023235</v>
      </c>
      <c r="AC288" s="66" t="str">
        <f t="shared" si="226"/>
        <v>-0.100163730522006-0.0924840236161458i</v>
      </c>
      <c r="AD288" s="64">
        <f t="shared" si="227"/>
        <v>-17.308124890844425</v>
      </c>
      <c r="AE288" s="61">
        <f t="shared" si="228"/>
        <v>-137.28282928221682</v>
      </c>
      <c r="AF288" s="31" t="str">
        <f t="shared" si="213"/>
        <v>-1512.12121212121</v>
      </c>
      <c r="AG288" s="31" t="str">
        <f t="shared" si="229"/>
        <v>31490.5226247287i</v>
      </c>
      <c r="AH288" s="31">
        <f t="shared" si="230"/>
        <v>31490.522624728699</v>
      </c>
      <c r="AI288" s="31">
        <f t="shared" si="231"/>
        <v>1.5707963267948966</v>
      </c>
      <c r="AJ288" s="31" t="str">
        <f t="shared" si="214"/>
        <v>-3.31100125304953+43.4023481464169i</v>
      </c>
      <c r="AK288" s="31">
        <f t="shared" si="232"/>
        <v>43.528456829073022</v>
      </c>
      <c r="AL288" s="31">
        <f t="shared" si="233"/>
        <v>1.6469350805909129</v>
      </c>
      <c r="AM288" s="31" t="str">
        <f t="shared" si="215"/>
        <v>1+216.150947296137i</v>
      </c>
      <c r="AN288" s="31">
        <f t="shared" si="234"/>
        <v>216.15326048204176</v>
      </c>
      <c r="AO288" s="31">
        <f t="shared" si="235"/>
        <v>1.5661699632369959</v>
      </c>
      <c r="AP288" s="31" t="str">
        <f t="shared" si="216"/>
        <v>1+8.31349797292837i</v>
      </c>
      <c r="AQ288" s="31">
        <f t="shared" si="236"/>
        <v>8.3734251382504237</v>
      </c>
      <c r="AR288" s="31">
        <f t="shared" si="237"/>
        <v>1.4510851640115723</v>
      </c>
      <c r="AS288" s="58" t="str">
        <f t="shared" si="238"/>
        <v>-1.9566448200206+0.397601839251771i</v>
      </c>
      <c r="AT288" s="49">
        <f t="shared" si="239"/>
        <v>6.0059679868728333</v>
      </c>
      <c r="AU288" s="61">
        <f t="shared" si="240"/>
        <v>168.51355525565367</v>
      </c>
      <c r="AV288" s="58" t="str">
        <f t="shared" si="217"/>
        <v>0.232756662371006+0.141133102261326i</v>
      </c>
      <c r="AW288" s="64">
        <f t="shared" si="241"/>
        <v>-11.302156903971596</v>
      </c>
      <c r="AX288" s="61">
        <f t="shared" si="242"/>
        <v>31.23072597343684</v>
      </c>
    </row>
    <row r="289" spans="14:50" x14ac:dyDescent="0.25">
      <c r="N289" s="10">
        <v>71</v>
      </c>
      <c r="O289" s="50">
        <f t="shared" si="243"/>
        <v>5128.6138399136489</v>
      </c>
      <c r="P289" s="48" t="str">
        <f t="shared" si="208"/>
        <v>304.285714285714</v>
      </c>
      <c r="Q289" s="17" t="str">
        <f t="shared" si="209"/>
        <v>1+1677.95133501639i</v>
      </c>
      <c r="R289" s="17">
        <f t="shared" si="218"/>
        <v>1677.9516329987837</v>
      </c>
      <c r="S289" s="17">
        <f t="shared" si="219"/>
        <v>1.5702003620247986</v>
      </c>
      <c r="T289" s="17" t="str">
        <f t="shared" si="210"/>
        <v>1+0.0348019536151548i</v>
      </c>
      <c r="U289" s="17">
        <f t="shared" si="220"/>
        <v>1.0006054047302719</v>
      </c>
      <c r="V289" s="17">
        <f t="shared" si="221"/>
        <v>3.4787913386816791E-2</v>
      </c>
      <c r="W289" s="31" t="str">
        <f t="shared" si="211"/>
        <v>1-0.108756105047359i</v>
      </c>
      <c r="X289" s="17">
        <f t="shared" si="222"/>
        <v>1.0058965604797903</v>
      </c>
      <c r="Y289" s="17">
        <f t="shared" si="223"/>
        <v>-0.10833033745052294</v>
      </c>
      <c r="Z289" s="31" t="str">
        <f t="shared" si="212"/>
        <v>0.998348489686399+0.959386448642108i</v>
      </c>
      <c r="AA289" s="17">
        <f t="shared" si="224"/>
        <v>1.3846017711592131</v>
      </c>
      <c r="AB289" s="17">
        <f t="shared" si="225"/>
        <v>0.76549919875126449</v>
      </c>
      <c r="AC289" s="66" t="str">
        <f t="shared" si="226"/>
        <v>-0.0980247105213542-0.0881398719877947i</v>
      </c>
      <c r="AD289" s="64">
        <f t="shared" si="227"/>
        <v>-17.600131799909452</v>
      </c>
      <c r="AE289" s="61">
        <f t="shared" si="228"/>
        <v>-138.03939755704022</v>
      </c>
      <c r="AF289" s="31" t="str">
        <f t="shared" si="213"/>
        <v>-1512.12121212121</v>
      </c>
      <c r="AG289" s="31" t="str">
        <f t="shared" si="229"/>
        <v>32224.0311251433i</v>
      </c>
      <c r="AH289" s="31">
        <f t="shared" si="230"/>
        <v>32224.031125143301</v>
      </c>
      <c r="AI289" s="31">
        <f t="shared" si="231"/>
        <v>1.5707963267948966</v>
      </c>
      <c r="AJ289" s="31" t="str">
        <f t="shared" si="214"/>
        <v>-3.51417248275131+44.4133187067579i</v>
      </c>
      <c r="AK289" s="31">
        <f t="shared" si="232"/>
        <v>44.552129991579278</v>
      </c>
      <c r="AL289" s="31">
        <f t="shared" si="233"/>
        <v>1.6497561149369213</v>
      </c>
      <c r="AM289" s="31" t="str">
        <f t="shared" si="215"/>
        <v>1+221.185749642983i</v>
      </c>
      <c r="AN289" s="31">
        <f t="shared" si="234"/>
        <v>221.18801017489253</v>
      </c>
      <c r="AO289" s="31">
        <f t="shared" si="235"/>
        <v>1.5662752706767304</v>
      </c>
      <c r="AP289" s="31" t="str">
        <f t="shared" si="216"/>
        <v>1+8.50714421703783i</v>
      </c>
      <c r="AQ289" s="31">
        <f t="shared" si="236"/>
        <v>8.565716708453543</v>
      </c>
      <c r="AR289" s="31">
        <f t="shared" si="237"/>
        <v>1.4537850334117832</v>
      </c>
      <c r="AS289" s="58" t="str">
        <f t="shared" si="238"/>
        <v>-1.95558074599115+0.397417904343063i</v>
      </c>
      <c r="AT289" s="49">
        <f t="shared" si="239"/>
        <v>6.001271080714722</v>
      </c>
      <c r="AU289" s="61">
        <f t="shared" si="240"/>
        <v>168.51264668748269</v>
      </c>
      <c r="AV289" s="58" t="str">
        <f t="shared" si="217"/>
        <v>0.226723599741372+0.133407861584224i</v>
      </c>
      <c r="AW289" s="64">
        <f t="shared" si="241"/>
        <v>-11.598860719194718</v>
      </c>
      <c r="AX289" s="61">
        <f t="shared" si="242"/>
        <v>30.473249130442408</v>
      </c>
    </row>
    <row r="290" spans="14:50" x14ac:dyDescent="0.25">
      <c r="N290" s="10">
        <v>72</v>
      </c>
      <c r="O290" s="50">
        <f t="shared" si="243"/>
        <v>5248.0746024977261</v>
      </c>
      <c r="P290" s="48" t="str">
        <f t="shared" si="208"/>
        <v>304.285714285714</v>
      </c>
      <c r="Q290" s="17" t="str">
        <f t="shared" si="209"/>
        <v>1+1717.03584251042i</v>
      </c>
      <c r="R290" s="17">
        <f t="shared" si="218"/>
        <v>1717.0361337099075</v>
      </c>
      <c r="S290" s="17">
        <f t="shared" si="219"/>
        <v>1.5702139278360752</v>
      </c>
      <c r="T290" s="17" t="str">
        <f t="shared" si="210"/>
        <v>1+0.0356125952520678i</v>
      </c>
      <c r="U290" s="17">
        <f t="shared" si="220"/>
        <v>1.0006339275382319</v>
      </c>
      <c r="V290" s="17">
        <f t="shared" si="221"/>
        <v>3.5597551391064693E-2</v>
      </c>
      <c r="W290" s="31" t="str">
        <f t="shared" si="211"/>
        <v>1-0.111289360162712i</v>
      </c>
      <c r="X290" s="17">
        <f t="shared" si="222"/>
        <v>1.0061736041486209</v>
      </c>
      <c r="Y290" s="17">
        <f t="shared" si="223"/>
        <v>-0.11083329301009968</v>
      </c>
      <c r="Z290" s="31" t="str">
        <f t="shared" si="212"/>
        <v>0.998270656403228+0.98173342978459i</v>
      </c>
      <c r="AA290" s="17">
        <f t="shared" si="224"/>
        <v>1.4001231483667236</v>
      </c>
      <c r="AB290" s="17">
        <f t="shared" si="225"/>
        <v>0.77704624017859536</v>
      </c>
      <c r="AC290" s="66" t="str">
        <f t="shared" si="226"/>
        <v>-0.0958811887528258-0.0839412079101086i</v>
      </c>
      <c r="AD290" s="64">
        <f t="shared" si="227"/>
        <v>-17.894319264275381</v>
      </c>
      <c r="AE290" s="61">
        <f t="shared" si="228"/>
        <v>-138.79879150971655</v>
      </c>
      <c r="AF290" s="31" t="str">
        <f t="shared" si="213"/>
        <v>-1512.12121212121</v>
      </c>
      <c r="AG290" s="31" t="str">
        <f t="shared" si="229"/>
        <v>32974.6252333961i</v>
      </c>
      <c r="AH290" s="31">
        <f t="shared" si="230"/>
        <v>32974.625233396102</v>
      </c>
      <c r="AI290" s="31">
        <f t="shared" si="231"/>
        <v>1.5707963267948966</v>
      </c>
      <c r="AJ290" s="31" t="str">
        <f t="shared" si="214"/>
        <v>-3.72691887751473+45.4478377965571i</v>
      </c>
      <c r="AK290" s="31">
        <f t="shared" si="232"/>
        <v>45.600393470909218</v>
      </c>
      <c r="AL290" s="31">
        <f t="shared" si="233"/>
        <v>1.6526175631236923</v>
      </c>
      <c r="AM290" s="31" t="str">
        <f t="shared" si="215"/>
        <v>1+226.33782760203i</v>
      </c>
      <c r="AN290" s="31">
        <f t="shared" si="234"/>
        <v>226.3400366784592</v>
      </c>
      <c r="AO290" s="31">
        <f t="shared" si="235"/>
        <v>1.5663781811233766</v>
      </c>
      <c r="AP290" s="31" t="str">
        <f t="shared" si="216"/>
        <v>1+8.70530106161657i</v>
      </c>
      <c r="AQ290" s="31">
        <f t="shared" si="236"/>
        <v>8.7625490910683386</v>
      </c>
      <c r="AR290" s="31">
        <f t="shared" si="237"/>
        <v>1.4564251032253532</v>
      </c>
      <c r="AS290" s="58" t="str">
        <f t="shared" si="238"/>
        <v>-1.95448226056235+0.397435779310621i</v>
      </c>
      <c r="AT290" s="49">
        <f t="shared" si="239"/>
        <v>5.9965998662359787</v>
      </c>
      <c r="AU290" s="61">
        <f t="shared" si="240"/>
        <v>168.50585897528345</v>
      </c>
      <c r="AV290" s="58" t="str">
        <f t="shared" si="217"/>
        <v>0.220759321921057+0.125954986817275i</v>
      </c>
      <c r="AW290" s="64">
        <f t="shared" si="241"/>
        <v>-11.897719398039413</v>
      </c>
      <c r="AX290" s="61">
        <f t="shared" si="242"/>
        <v>29.707067465566855</v>
      </c>
    </row>
    <row r="291" spans="14:50" x14ac:dyDescent="0.25">
      <c r="N291" s="10">
        <v>73</v>
      </c>
      <c r="O291" s="50">
        <f t="shared" si="243"/>
        <v>5370.3179637025269</v>
      </c>
      <c r="P291" s="48" t="str">
        <f t="shared" si="208"/>
        <v>304.285714285714</v>
      </c>
      <c r="Q291" s="17" t="str">
        <f t="shared" si="209"/>
        <v>1+1757.03074513579i</v>
      </c>
      <c r="R291" s="17">
        <f t="shared" si="218"/>
        <v>1757.0310297067692</v>
      </c>
      <c r="S291" s="17">
        <f t="shared" si="219"/>
        <v>1.5702271848519942</v>
      </c>
      <c r="T291" s="17" t="str">
        <f t="shared" si="210"/>
        <v>1+0.0364421191583718i</v>
      </c>
      <c r="U291" s="17">
        <f t="shared" si="220"/>
        <v>1.0006637937133296</v>
      </c>
      <c r="V291" s="17">
        <f t="shared" si="221"/>
        <v>3.6425999948348768E-2</v>
      </c>
      <c r="W291" s="31" t="str">
        <f t="shared" si="211"/>
        <v>1-0.113881622369912i</v>
      </c>
      <c r="X291" s="17">
        <f t="shared" si="222"/>
        <v>1.0064636227472921</v>
      </c>
      <c r="Y291" s="17">
        <f t="shared" si="223"/>
        <v>-0.11339310695230592</v>
      </c>
      <c r="Z291" s="31" t="str">
        <f t="shared" si="212"/>
        <v>0.99818915495043+1.00460093898632i</v>
      </c>
      <c r="AA291" s="17">
        <f t="shared" si="224"/>
        <v>1.4161937140352125</v>
      </c>
      <c r="AB291" s="17">
        <f t="shared" si="225"/>
        <v>0.78859957833872008</v>
      </c>
      <c r="AC291" s="66" t="str">
        <f t="shared" si="226"/>
        <v>-0.0937354456659076-0.0798860218663167i</v>
      </c>
      <c r="AD291" s="64">
        <f t="shared" si="227"/>
        <v>-18.190685229127187</v>
      </c>
      <c r="AE291" s="61">
        <f t="shared" si="228"/>
        <v>-139.56070852599129</v>
      </c>
      <c r="AF291" s="31" t="str">
        <f t="shared" si="213"/>
        <v>-1512.12121212121</v>
      </c>
      <c r="AG291" s="31" t="str">
        <f t="shared" si="229"/>
        <v>33742.7029244183i</v>
      </c>
      <c r="AH291" s="31">
        <f t="shared" si="230"/>
        <v>33742.7029244183</v>
      </c>
      <c r="AI291" s="31">
        <f t="shared" si="231"/>
        <v>1.5707963267948966</v>
      </c>
      <c r="AJ291" s="31" t="str">
        <f t="shared" si="214"/>
        <v>-3.94969170096639+46.5064539315293i</v>
      </c>
      <c r="AK291" s="31">
        <f t="shared" si="232"/>
        <v>46.67387193942816</v>
      </c>
      <c r="AL291" s="31">
        <f t="shared" si="233"/>
        <v>1.6555208376301411</v>
      </c>
      <c r="AM291" s="31" t="str">
        <f t="shared" si="215"/>
        <v>1+231.609912873207i</v>
      </c>
      <c r="AN291" s="31">
        <f t="shared" si="234"/>
        <v>231.61207166539174</v>
      </c>
      <c r="AO291" s="31">
        <f t="shared" si="235"/>
        <v>1.5664787491326915</v>
      </c>
      <c r="AP291" s="31" t="str">
        <f t="shared" si="216"/>
        <v>1+8.90807357204643i</v>
      </c>
      <c r="AQ291" s="31">
        <f t="shared" si="236"/>
        <v>8.9640267048348345</v>
      </c>
      <c r="AR291" s="31">
        <f t="shared" si="237"/>
        <v>1.4590066259631744</v>
      </c>
      <c r="AS291" s="58" t="str">
        <f t="shared" si="238"/>
        <v>-1.95334715978604+0.39765489523972i</v>
      </c>
      <c r="AT291" s="49">
        <f t="shared" si="239"/>
        <v>5.9919447986754371</v>
      </c>
      <c r="AU291" s="61">
        <f t="shared" si="240"/>
        <v>168.49318607937795</v>
      </c>
      <c r="AV291" s="58" t="str">
        <f t="shared" si="217"/>
        <v>0.214864934219147+0.11877077509265i</v>
      </c>
      <c r="AW291" s="64">
        <f t="shared" si="241"/>
        <v>-12.198740430451767</v>
      </c>
      <c r="AX291" s="61">
        <f t="shared" si="242"/>
        <v>28.932477553386661</v>
      </c>
    </row>
    <row r="292" spans="14:50" x14ac:dyDescent="0.25">
      <c r="N292" s="10">
        <v>74</v>
      </c>
      <c r="O292" s="50">
        <f t="shared" si="243"/>
        <v>5495.4087385762541</v>
      </c>
      <c r="P292" s="48" t="str">
        <f t="shared" si="208"/>
        <v>304.285714285714</v>
      </c>
      <c r="Q292" s="17" t="str">
        <f t="shared" si="209"/>
        <v>1+1797.95724871928i</v>
      </c>
      <c r="R292" s="17">
        <f t="shared" si="218"/>
        <v>1797.9575268126339</v>
      </c>
      <c r="S292" s="17">
        <f t="shared" si="219"/>
        <v>1.5702401401015824</v>
      </c>
      <c r="T292" s="17" t="str">
        <f t="shared" si="210"/>
        <v>1+0.0372909651586221i</v>
      </c>
      <c r="U292" s="17">
        <f t="shared" si="220"/>
        <v>1.0006950664825232</v>
      </c>
      <c r="V292" s="17">
        <f t="shared" si="221"/>
        <v>3.7273693761769436E-2</v>
      </c>
      <c r="W292" s="31" t="str">
        <f t="shared" si="211"/>
        <v>1-0.116534266120694i</v>
      </c>
      <c r="X292" s="17">
        <f t="shared" si="222"/>
        <v>1.00676721995717</v>
      </c>
      <c r="Y292" s="17">
        <f t="shared" si="223"/>
        <v>-0.11601100226322007</v>
      </c>
      <c r="Z292" s="31" t="str">
        <f t="shared" si="212"/>
        <v>0.998103812452499+1.02800110090337i</v>
      </c>
      <c r="AA292" s="17">
        <f t="shared" si="224"/>
        <v>1.4328284907450557</v>
      </c>
      <c r="AB292" s="17">
        <f t="shared" si="225"/>
        <v>0.800153134171389</v>
      </c>
      <c r="AC292" s="66" t="str">
        <f t="shared" si="226"/>
        <v>-0.0915897697230889-0.0759722233805195i</v>
      </c>
      <c r="AD292" s="64">
        <f t="shared" si="227"/>
        <v>-18.489224960308533</v>
      </c>
      <c r="AE292" s="61">
        <f t="shared" si="228"/>
        <v>-140.32484586939015</v>
      </c>
      <c r="AF292" s="31" t="str">
        <f t="shared" si="213"/>
        <v>-1512.12121212121</v>
      </c>
      <c r="AG292" s="31" t="str">
        <f t="shared" si="229"/>
        <v>34528.6714431686i</v>
      </c>
      <c r="AH292" s="31">
        <f t="shared" si="230"/>
        <v>34528.671443168598</v>
      </c>
      <c r="AI292" s="31">
        <f t="shared" si="231"/>
        <v>1.5707963267948966</v>
      </c>
      <c r="AJ292" s="31" t="str">
        <f t="shared" si="214"/>
        <v>-4.18296348413254+47.5897284039617i</v>
      </c>
      <c r="AK292" s="31">
        <f t="shared" si="232"/>
        <v>47.773208318810084</v>
      </c>
      <c r="AL292" s="31">
        <f t="shared" si="233"/>
        <v>1.6584673659387692</v>
      </c>
      <c r="AM292" s="31" t="str">
        <f t="shared" si="215"/>
        <v>1+237.004800785909i</v>
      </c>
      <c r="AN292" s="31">
        <f t="shared" si="234"/>
        <v>237.00691043842673</v>
      </c>
      <c r="AO292" s="31">
        <f t="shared" si="235"/>
        <v>1.5665770280190228</v>
      </c>
      <c r="AP292" s="31" t="str">
        <f t="shared" si="216"/>
        <v>1+9.11556926099651i</v>
      </c>
      <c r="AQ292" s="31">
        <f t="shared" si="236"/>
        <v>9.1702564278227499</v>
      </c>
      <c r="AR292" s="31">
        <f t="shared" si="237"/>
        <v>1.461530832676792</v>
      </c>
      <c r="AS292" s="58" t="str">
        <f t="shared" si="238"/>
        <v>-1.95217317376109+0.398074747133222i</v>
      </c>
      <c r="AT292" s="49">
        <f t="shared" si="239"/>
        <v>5.9872963614311256</v>
      </c>
      <c r="AU292" s="61">
        <f t="shared" si="240"/>
        <v>168.47461979978863</v>
      </c>
      <c r="AV292" s="58" t="str">
        <f t="shared" si="217"/>
        <v>0.209041715055719+0.111851362011927i</v>
      </c>
      <c r="AW292" s="64">
        <f t="shared" si="241"/>
        <v>-12.501928598877397</v>
      </c>
      <c r="AX292" s="61">
        <f t="shared" si="242"/>
        <v>28.149773930398542</v>
      </c>
    </row>
    <row r="293" spans="14:50" x14ac:dyDescent="0.25">
      <c r="N293" s="10">
        <v>75</v>
      </c>
      <c r="O293" s="50">
        <f t="shared" si="243"/>
        <v>5623.4132519034993</v>
      </c>
      <c r="P293" s="48" t="str">
        <f t="shared" si="208"/>
        <v>304.285714285714</v>
      </c>
      <c r="Q293" s="17" t="str">
        <f t="shared" si="209"/>
        <v>1+1839.83705303483i</v>
      </c>
      <c r="R293" s="17">
        <f t="shared" si="218"/>
        <v>1839.8373247980071</v>
      </c>
      <c r="S293" s="17">
        <f t="shared" si="219"/>
        <v>1.5702528004538672</v>
      </c>
      <c r="T293" s="17" t="str">
        <f t="shared" si="210"/>
        <v>1+0.0381595833222037i</v>
      </c>
      <c r="U293" s="17">
        <f t="shared" si="220"/>
        <v>1.000727812044476</v>
      </c>
      <c r="V293" s="17">
        <f t="shared" si="221"/>
        <v>3.8141077413905766E-2</v>
      </c>
      <c r="W293" s="31" t="str">
        <f t="shared" si="211"/>
        <v>1-0.119248697881887i</v>
      </c>
      <c r="X293" s="17">
        <f t="shared" si="222"/>
        <v>1.0070850271682752</v>
      </c>
      <c r="Y293" s="17">
        <f t="shared" si="223"/>
        <v>-0.11868822337668783</v>
      </c>
      <c r="Z293" s="31" t="str">
        <f t="shared" si="212"/>
        <v>0.998014447886553+1.05194632261132i</v>
      </c>
      <c r="AA293" s="17">
        <f t="shared" si="224"/>
        <v>1.4500427248346099</v>
      </c>
      <c r="AB293" s="17">
        <f t="shared" si="225"/>
        <v>0.81170083108337054</v>
      </c>
      <c r="AC293" s="66" t="str">
        <f t="shared" si="226"/>
        <v>-0.0894464477723383-0.0721976395622987i</v>
      </c>
      <c r="AD293" s="64">
        <f t="shared" si="227"/>
        <v>-18.789931030033312</v>
      </c>
      <c r="AE293" s="61">
        <f t="shared" si="228"/>
        <v>-141.0909015984349</v>
      </c>
      <c r="AF293" s="31" t="str">
        <f t="shared" si="213"/>
        <v>-1512.12121212121</v>
      </c>
      <c r="AG293" s="31" t="str">
        <f t="shared" si="229"/>
        <v>35332.947520559i</v>
      </c>
      <c r="AH293" s="31">
        <f t="shared" si="230"/>
        <v>35332.947520558999</v>
      </c>
      <c r="AI293" s="31">
        <f t="shared" si="231"/>
        <v>1.5707963267948966</v>
      </c>
      <c r="AJ293" s="31" t="str">
        <f t="shared" si="214"/>
        <v>-4.42722902774053+48.6982355803184i</v>
      </c>
      <c r="AK293" s="31">
        <f t="shared" si="232"/>
        <v>48.899064464468623</v>
      </c>
      <c r="AL293" s="31">
        <f t="shared" si="233"/>
        <v>1.6614585907892723</v>
      </c>
      <c r="AM293" s="31" t="str">
        <f t="shared" si="215"/>
        <v>1+242.525351781116i</v>
      </c>
      <c r="AN293" s="31">
        <f t="shared" si="234"/>
        <v>242.52741341249254</v>
      </c>
      <c r="AO293" s="31">
        <f t="shared" si="235"/>
        <v>1.5666730698835385</v>
      </c>
      <c r="AP293" s="31" t="str">
        <f t="shared" si="216"/>
        <v>1+9.32789814542757i</v>
      </c>
      <c r="AQ293" s="31">
        <f t="shared" si="236"/>
        <v>9.3813476543336307</v>
      </c>
      <c r="AR293" s="31">
        <f t="shared" si="237"/>
        <v>1.4639989329979213</v>
      </c>
      <c r="AS293" s="58" t="str">
        <f t="shared" si="238"/>
        <v>-1.95095796292501+0.39869489097486i</v>
      </c>
      <c r="AT293" s="49">
        <f t="shared" si="239"/>
        <v>5.9826450487879113</v>
      </c>
      <c r="AU293" s="61">
        <f t="shared" si="240"/>
        <v>168.45014976558906</v>
      </c>
      <c r="AV293" s="58" t="str">
        <f t="shared" si="217"/>
        <v>0.203291089570732+0.105192718065775i</v>
      </c>
      <c r="AW293" s="64">
        <f t="shared" si="241"/>
        <v>-12.807285981245419</v>
      </c>
      <c r="AX293" s="61">
        <f t="shared" si="242"/>
        <v>27.359248167154117</v>
      </c>
    </row>
    <row r="294" spans="14:50" x14ac:dyDescent="0.25">
      <c r="N294" s="10">
        <v>76</v>
      </c>
      <c r="O294" s="50">
        <f t="shared" si="243"/>
        <v>5754.399373371567</v>
      </c>
      <c r="P294" s="48" t="str">
        <f t="shared" si="208"/>
        <v>304.285714285714</v>
      </c>
      <c r="Q294" s="17" t="str">
        <f t="shared" si="209"/>
        <v>1+1882.69236330901i</v>
      </c>
      <c r="R294" s="17">
        <f t="shared" si="218"/>
        <v>1882.6926288861032</v>
      </c>
      <c r="S294" s="17">
        <f t="shared" si="219"/>
        <v>1.5702651726215187</v>
      </c>
      <c r="T294" s="17" t="str">
        <f t="shared" si="210"/>
        <v>1+0.0390484342019645i</v>
      </c>
      <c r="U294" s="17">
        <f t="shared" si="220"/>
        <v>1.0007620997088296</v>
      </c>
      <c r="V294" s="17">
        <f t="shared" si="221"/>
        <v>3.9028605579432489E-2</v>
      </c>
      <c r="W294" s="31" t="str">
        <f t="shared" si="211"/>
        <v>1-0.122026356881139i</v>
      </c>
      <c r="X294" s="17">
        <f t="shared" si="222"/>
        <v>1.0074177047152204</v>
      </c>
      <c r="Y294" s="17">
        <f t="shared" si="223"/>
        <v>-0.12142603619595785</v>
      </c>
      <c r="Z294" s="31" t="str">
        <f t="shared" si="212"/>
        <v>0.997920871698367+1.07644930018367i</v>
      </c>
      <c r="AA294" s="17">
        <f t="shared" si="224"/>
        <v>1.4678518869549275</v>
      </c>
      <c r="AB294" s="17">
        <f t="shared" si="225"/>
        <v>0.82323661109984825</v>
      </c>
      <c r="AC294" s="66" t="str">
        <f t="shared" si="226"/>
        <v>-0.0873077554291731-0.0685600145236624i</v>
      </c>
      <c r="AD294" s="64">
        <f t="shared" si="227"/>
        <v>-19.092793312541406</v>
      </c>
      <c r="AE294" s="61">
        <f t="shared" si="228"/>
        <v>-141.85857548131756</v>
      </c>
      <c r="AF294" s="31" t="str">
        <f t="shared" si="213"/>
        <v>-1512.12121212121</v>
      </c>
      <c r="AG294" s="31" t="str">
        <f t="shared" si="229"/>
        <v>36155.9575944116i</v>
      </c>
      <c r="AH294" s="31">
        <f t="shared" si="230"/>
        <v>36155.9575944116</v>
      </c>
      <c r="AI294" s="31">
        <f t="shared" si="231"/>
        <v>1.5707963267948966</v>
      </c>
      <c r="AJ294" s="31" t="str">
        <f t="shared" si="214"/>
        <v>-4.6830064517576+49.832563205777i</v>
      </c>
      <c r="AK294" s="31">
        <f t="shared" si="232"/>
        <v>50.05212188394178</v>
      </c>
      <c r="AL294" s="31">
        <f t="shared" si="233"/>
        <v>1.6644959704072635</v>
      </c>
      <c r="AM294" s="31" t="str">
        <f t="shared" si="215"/>
        <v>1+248.174492928041i</v>
      </c>
      <c r="AN294" s="31">
        <f t="shared" si="234"/>
        <v>248.17650763134341</v>
      </c>
      <c r="AO294" s="31">
        <f t="shared" si="235"/>
        <v>1.5667669256418155</v>
      </c>
      <c r="AP294" s="31" t="str">
        <f t="shared" si="216"/>
        <v>1+9.54517280492466i</v>
      </c>
      <c r="AQ294" s="31">
        <f t="shared" si="236"/>
        <v>9.5974123531227562</v>
      </c>
      <c r="AR294" s="31">
        <f t="shared" si="237"/>
        <v>1.4664121152047467</v>
      </c>
      <c r="AS294" s="58" t="str">
        <f t="shared" si="238"/>
        <v>-1.94969911429752+0.399514940642935i</v>
      </c>
      <c r="AT294" s="49">
        <f t="shared" si="239"/>
        <v>5.9779813486439313</v>
      </c>
      <c r="AU294" s="61">
        <f t="shared" si="240"/>
        <v>168.41976342717859</v>
      </c>
      <c r="AV294" s="58" t="str">
        <f t="shared" si="217"/>
        <v>0.197614603564463+0.0987906468650557i</v>
      </c>
      <c r="AW294" s="64">
        <f t="shared" si="241"/>
        <v>-13.114811963897473</v>
      </c>
      <c r="AX294" s="61">
        <f t="shared" si="242"/>
        <v>26.561187945861057</v>
      </c>
    </row>
    <row r="295" spans="14:50" x14ac:dyDescent="0.25">
      <c r="N295" s="10">
        <v>77</v>
      </c>
      <c r="O295" s="50">
        <f t="shared" si="243"/>
        <v>5888.4365535558973</v>
      </c>
      <c r="P295" s="48" t="str">
        <f t="shared" si="208"/>
        <v>304.285714285714</v>
      </c>
      <c r="Q295" s="17" t="str">
        <f t="shared" si="209"/>
        <v>1+1926.5459019946i</v>
      </c>
      <c r="R295" s="17">
        <f t="shared" si="218"/>
        <v>1926.5461615264212</v>
      </c>
      <c r="S295" s="17">
        <f t="shared" si="219"/>
        <v>1.5702772631644086</v>
      </c>
      <c r="T295" s="17" t="str">
        <f t="shared" si="210"/>
        <v>1+0.0399579890784065i</v>
      </c>
      <c r="U295" s="17">
        <f t="shared" si="220"/>
        <v>1.0007980020419656</v>
      </c>
      <c r="V295" s="17">
        <f t="shared" si="221"/>
        <v>3.9936743241448081E-2</v>
      </c>
      <c r="W295" s="31" t="str">
        <f t="shared" si="211"/>
        <v>1-0.124868715870021i</v>
      </c>
      <c r="X295" s="17">
        <f t="shared" si="222"/>
        <v>1.0077659431648938</v>
      </c>
      <c r="Y295" s="17">
        <f t="shared" si="223"/>
        <v>-0.12422572808465472</v>
      </c>
      <c r="Z295" s="31" t="str">
        <f t="shared" si="212"/>
        <v>0.9978228854003+1.10152302542347i</v>
      </c>
      <c r="AA295" s="17">
        <f t="shared" si="224"/>
        <v>1.4862716730687748</v>
      </c>
      <c r="AB295" s="17">
        <f t="shared" si="225"/>
        <v>0.83475445089938027</v>
      </c>
      <c r="AC295" s="66" t="str">
        <f t="shared" si="226"/>
        <v>-0.0851759475548765-0.0650570096614257i</v>
      </c>
      <c r="AD295" s="64">
        <f t="shared" si="227"/>
        <v>-19.397798989633333</v>
      </c>
      <c r="AE295" s="61">
        <f t="shared" si="228"/>
        <v>-142.62756990192716</v>
      </c>
      <c r="AF295" s="31" t="str">
        <f t="shared" si="213"/>
        <v>-1512.12121212121</v>
      </c>
      <c r="AG295" s="31" t="str">
        <f t="shared" si="229"/>
        <v>36998.1380355616i</v>
      </c>
      <c r="AH295" s="31">
        <f t="shared" si="230"/>
        <v>36998.138035561598</v>
      </c>
      <c r="AI295" s="31">
        <f t="shared" si="231"/>
        <v>1.5707963267948966</v>
      </c>
      <c r="AJ295" s="31" t="str">
        <f t="shared" si="214"/>
        <v>-4.95083829439286+50.9933127158594i</v>
      </c>
      <c r="AK295" s="31">
        <f t="shared" si="232"/>
        <v>51.23308249124441</v>
      </c>
      <c r="AL295" s="31">
        <f t="shared" si="233"/>
        <v>1.667580978706094</v>
      </c>
      <c r="AM295" s="31" t="str">
        <f t="shared" si="215"/>
        <v>1+253.955219476094i</v>
      </c>
      <c r="AN295" s="31">
        <f t="shared" si="234"/>
        <v>253.95718831951001</v>
      </c>
      <c r="AO295" s="31">
        <f t="shared" si="235"/>
        <v>1.5668586450508011</v>
      </c>
      <c r="AP295" s="31" t="str">
        <f t="shared" si="216"/>
        <v>1+9.76750844138826i</v>
      </c>
      <c r="AQ295" s="31">
        <f t="shared" si="236"/>
        <v>9.8185651269720111</v>
      </c>
      <c r="AR295" s="31">
        <f t="shared" si="237"/>
        <v>1.4687715463127693</v>
      </c>
      <c r="AS295" s="58" t="str">
        <f t="shared" si="238"/>
        <v>-1.9483941376768+0.400534564663194i</v>
      </c>
      <c r="AT295" s="49">
        <f t="shared" si="239"/>
        <v>5.9732957252204653</v>
      </c>
      <c r="AU295" s="61">
        <f t="shared" si="240"/>
        <v>168.38344605146861</v>
      </c>
      <c r="AV295" s="58" t="str">
        <f t="shared" si="217"/>
        <v>0.192013897930016+0.0926407851654373i</v>
      </c>
      <c r="AW295" s="64">
        <f t="shared" si="241"/>
        <v>-13.424503264412879</v>
      </c>
      <c r="AX295" s="61">
        <f t="shared" si="242"/>
        <v>25.755876149541471</v>
      </c>
    </row>
    <row r="296" spans="14:50" x14ac:dyDescent="0.25">
      <c r="N296" s="10">
        <v>78</v>
      </c>
      <c r="O296" s="50">
        <f t="shared" si="243"/>
        <v>6025.595860743585</v>
      </c>
      <c r="P296" s="48" t="str">
        <f t="shared" si="208"/>
        <v>304.285714285714</v>
      </c>
      <c r="Q296" s="17" t="str">
        <f t="shared" si="209"/>
        <v>1+1971.42092081828i</v>
      </c>
      <c r="R296" s="17">
        <f t="shared" si="218"/>
        <v>1971.4211744424363</v>
      </c>
      <c r="S296" s="17">
        <f t="shared" si="219"/>
        <v>1.570289078493089</v>
      </c>
      <c r="T296" s="17" t="str">
        <f t="shared" si="210"/>
        <v>1+0.0408887302095643i</v>
      </c>
      <c r="U296" s="17">
        <f t="shared" si="220"/>
        <v>1.0008355950195569</v>
      </c>
      <c r="V296" s="17">
        <f t="shared" si="221"/>
        <v>4.0865965911512973E-2</v>
      </c>
      <c r="W296" s="31" t="str">
        <f t="shared" si="211"/>
        <v>1-0.127777281904889i</v>
      </c>
      <c r="X296" s="17">
        <f t="shared" si="222"/>
        <v>1.0081304646577256</v>
      </c>
      <c r="Y296" s="17">
        <f t="shared" si="223"/>
        <v>-0.12708860782446901</v>
      </c>
      <c r="Z296" s="31" t="str">
        <f t="shared" si="212"/>
        <v>0.997720281150275+1.12718079275173i</v>
      </c>
      <c r="AA296" s="17">
        <f t="shared" si="224"/>
        <v>1.5053180059266555</v>
      </c>
      <c r="AB296" s="17">
        <f t="shared" si="225"/>
        <v>0.84624837762976357</v>
      </c>
      <c r="AC296" s="66" t="str">
        <f t="shared" si="226"/>
        <v>-0.083053248915968-0.0616862047881303i</v>
      </c>
      <c r="AD296" s="64">
        <f t="shared" si="227"/>
        <v>-19.704932565923045</v>
      </c>
      <c r="AE296" s="61">
        <f t="shared" si="228"/>
        <v>-143.39759075119994</v>
      </c>
      <c r="AF296" s="31" t="str">
        <f t="shared" si="213"/>
        <v>-1512.12121212121</v>
      </c>
      <c r="AG296" s="31" t="str">
        <f t="shared" si="229"/>
        <v>37859.9353792262i</v>
      </c>
      <c r="AH296" s="31">
        <f t="shared" si="230"/>
        <v>37859.935379226197</v>
      </c>
      <c r="AI296" s="31">
        <f t="shared" si="231"/>
        <v>1.5707963267948966</v>
      </c>
      <c r="AJ296" s="31" t="str">
        <f t="shared" si="214"/>
        <v>-5.23129266289327+52.18109955532i</v>
      </c>
      <c r="AK296" s="31">
        <f t="shared" si="232"/>
        <v>52.442669399326526</v>
      </c>
      <c r="AL296" s="31">
        <f t="shared" si="233"/>
        <v>1.6707151054596332</v>
      </c>
      <c r="AM296" s="31" t="str">
        <f t="shared" si="215"/>
        <v>1+259.870596443008i</v>
      </c>
      <c r="AN296" s="31">
        <f t="shared" si="234"/>
        <v>259.87252047041204</v>
      </c>
      <c r="AO296" s="31">
        <f t="shared" si="235"/>
        <v>1.5669482767351637</v>
      </c>
      <c r="AP296" s="31" t="str">
        <f t="shared" si="216"/>
        <v>1+9.99502294011571i</v>
      </c>
      <c r="AQ296" s="31">
        <f t="shared" si="236"/>
        <v>10.04492327364621</v>
      </c>
      <c r="AR296" s="31">
        <f t="shared" si="237"/>
        <v>1.47107837218813</v>
      </c>
      <c r="AS296" s="58" t="str">
        <f t="shared" si="238"/>
        <v>-1.94704046179048+0.40175348278922i</v>
      </c>
      <c r="AT296" s="49">
        <f t="shared" si="239"/>
        <v>5.9685786017429674</v>
      </c>
      <c r="AU296" s="61">
        <f t="shared" si="240"/>
        <v>168.34118071998614</v>
      </c>
      <c r="AV296" s="58" t="str">
        <f t="shared" si="217"/>
        <v>0.186490683736226+0.0867386046478332i</v>
      </c>
      <c r="AW296" s="64">
        <f t="shared" si="241"/>
        <v>-13.736353964180097</v>
      </c>
      <c r="AX296" s="61">
        <f t="shared" si="242"/>
        <v>24.943589968786277</v>
      </c>
    </row>
    <row r="297" spans="14:50" x14ac:dyDescent="0.25">
      <c r="N297" s="10">
        <v>79</v>
      </c>
      <c r="O297" s="50">
        <f t="shared" si="243"/>
        <v>6165.9500186148289</v>
      </c>
      <c r="P297" s="48" t="str">
        <f t="shared" si="208"/>
        <v>304.285714285714</v>
      </c>
      <c r="Q297" s="17" t="str">
        <f t="shared" si="209"/>
        <v>1+2017.34121310902i</v>
      </c>
      <c r="R297" s="17">
        <f t="shared" si="218"/>
        <v>2017.3414609599863</v>
      </c>
      <c r="S297" s="17">
        <f t="shared" si="219"/>
        <v>1.57030062487219</v>
      </c>
      <c r="T297" s="17" t="str">
        <f t="shared" si="210"/>
        <v>1+0.0418411510867056i</v>
      </c>
      <c r="U297" s="17">
        <f t="shared" si="220"/>
        <v>1.0008749581862164</v>
      </c>
      <c r="V297" s="17">
        <f t="shared" si="221"/>
        <v>4.1816759853392879E-2</v>
      </c>
      <c r="W297" s="31" t="str">
        <f t="shared" si="211"/>
        <v>1-0.130753597145955i</v>
      </c>
      <c r="X297" s="17">
        <f t="shared" si="222"/>
        <v>1.0085120243044237</v>
      </c>
      <c r="Y297" s="17">
        <f t="shared" si="223"/>
        <v>-0.1300160055368508</v>
      </c>
      <c r="Z297" s="31" t="str">
        <f t="shared" si="212"/>
        <v>0.997612841310923+1.15343620625631i</v>
      </c>
      <c r="AA297" s="17">
        <f t="shared" si="224"/>
        <v>1.5250070370497972</v>
      </c>
      <c r="AB297" s="17">
        <f t="shared" si="225"/>
        <v>0.85771248440478265</v>
      </c>
      <c r="AC297" s="66" t="str">
        <f t="shared" si="226"/>
        <v>-0.0809418451072002-0.0584451000848613i</v>
      </c>
      <c r="AD297" s="64">
        <f t="shared" si="227"/>
        <v>-20.014175893563028</v>
      </c>
      <c r="AE297" s="61">
        <f t="shared" si="228"/>
        <v>-144.16834829790648</v>
      </c>
      <c r="AF297" s="31" t="str">
        <f t="shared" si="213"/>
        <v>-1512.12121212121</v>
      </c>
      <c r="AG297" s="31" t="str">
        <f t="shared" si="229"/>
        <v>38741.8065617644i</v>
      </c>
      <c r="AH297" s="31">
        <f t="shared" si="230"/>
        <v>38741.806561764402</v>
      </c>
      <c r="AI297" s="31">
        <f t="shared" si="231"/>
        <v>1.5707963267948966</v>
      </c>
      <c r="AJ297" s="31" t="str">
        <f t="shared" si="214"/>
        <v>-5.52496443857567+53.3965535044633i</v>
      </c>
      <c r="AK297" s="31">
        <f t="shared" si="232"/>
        <v>53.681627752915034</v>
      </c>
      <c r="AL297" s="31">
        <f t="shared" si="233"/>
        <v>1.6738998564437446</v>
      </c>
      <c r="AM297" s="31" t="str">
        <f t="shared" si="215"/>
        <v>1+265.92376023995i</v>
      </c>
      <c r="AN297" s="31">
        <f t="shared" si="234"/>
        <v>265.92564047145663</v>
      </c>
      <c r="AO297" s="31">
        <f t="shared" si="235"/>
        <v>1.5670358682130447</v>
      </c>
      <c r="AP297" s="31" t="str">
        <f t="shared" si="216"/>
        <v>1+10.2278369323058i</v>
      </c>
      <c r="AQ297" s="31">
        <f t="shared" si="236"/>
        <v>10.276606848266528</v>
      </c>
      <c r="AR297" s="31">
        <f t="shared" si="237"/>
        <v>1.4733337176814514</v>
      </c>
      <c r="AS297" s="58" t="str">
        <f t="shared" si="238"/>
        <v>-1.9456354304031+0.403171462398046i</v>
      </c>
      <c r="AT297" s="49">
        <f t="shared" si="239"/>
        <v>5.9638203430766188</v>
      </c>
      <c r="AU297" s="61">
        <f t="shared" si="240"/>
        <v>168.29294832991147</v>
      </c>
      <c r="AV297" s="58" t="str">
        <f t="shared" si="217"/>
        <v>0.181046718113982+0.0810794153974953i</v>
      </c>
      <c r="AW297" s="64">
        <f t="shared" si="241"/>
        <v>-14.050355550486419</v>
      </c>
      <c r="AX297" s="61">
        <f t="shared" si="242"/>
        <v>24.124600032005024</v>
      </c>
    </row>
    <row r="298" spans="14:50" x14ac:dyDescent="0.25">
      <c r="N298" s="10">
        <v>80</v>
      </c>
      <c r="O298" s="50">
        <f t="shared" si="243"/>
        <v>6309.5734448019384</v>
      </c>
      <c r="P298" s="48" t="str">
        <f t="shared" si="208"/>
        <v>304.285714285714</v>
      </c>
      <c r="Q298" s="17" t="str">
        <f t="shared" si="209"/>
        <v>1+2064.33112641362i</v>
      </c>
      <c r="R298" s="17">
        <f t="shared" si="218"/>
        <v>2064.3313686228103</v>
      </c>
      <c r="S298" s="17">
        <f t="shared" si="219"/>
        <v>1.5703119084237427</v>
      </c>
      <c r="T298" s="17" t="str">
        <f t="shared" si="210"/>
        <v>1+0.042815756695986i</v>
      </c>
      <c r="U298" s="17">
        <f t="shared" si="220"/>
        <v>1.0009161748225721</v>
      </c>
      <c r="V298" s="17">
        <f t="shared" si="221"/>
        <v>4.2789622310490327E-2</v>
      </c>
      <c r="W298" s="31" t="str">
        <f t="shared" si="211"/>
        <v>1-0.133799239674956i</v>
      </c>
      <c r="X298" s="17">
        <f t="shared" si="222"/>
        <v>1.0089114116400886</v>
      </c>
      <c r="Y298" s="17">
        <f t="shared" si="223"/>
        <v>-0.13300927256576051</v>
      </c>
      <c r="Z298" s="31" t="str">
        <f t="shared" si="212"/>
        <v>0.99750033798794+1.18030318690498i</v>
      </c>
      <c r="AA298" s="17">
        <f t="shared" si="224"/>
        <v>1.5453551492469644</v>
      </c>
      <c r="AB298" s="17">
        <f t="shared" si="225"/>
        <v>0.86914094538557984</v>
      </c>
      <c r="AC298" s="66" t="str">
        <f t="shared" si="226"/>
        <v>-0.0788438738163574-0.0553311188401432i</v>
      </c>
      <c r="AD298" s="64">
        <f t="shared" si="227"/>
        <v>-20.325508206107529</v>
      </c>
      <c r="AE298" s="61">
        <f t="shared" si="228"/>
        <v>-144.93955803319179</v>
      </c>
      <c r="AF298" s="31" t="str">
        <f t="shared" si="213"/>
        <v>-1512.12121212121</v>
      </c>
      <c r="AG298" s="31" t="str">
        <f t="shared" si="229"/>
        <v>39644.21916295i</v>
      </c>
      <c r="AH298" s="31">
        <f t="shared" si="230"/>
        <v>39644.219162950001</v>
      </c>
      <c r="AI298" s="31">
        <f t="shared" si="231"/>
        <v>1.5707963267948966</v>
      </c>
      <c r="AJ298" s="31" t="str">
        <f t="shared" si="214"/>
        <v>-5.83247653864948+54.6403190130617i</v>
      </c>
      <c r="AK298" s="31">
        <f t="shared" si="232"/>
        <v>54.950725604154208</v>
      </c>
      <c r="AL298" s="31">
        <f t="shared" si="233"/>
        <v>1.6771367535440154</v>
      </c>
      <c r="AM298" s="31" t="str">
        <f t="shared" si="215"/>
        <v>1+272.117920334488i</v>
      </c>
      <c r="AN298" s="31">
        <f t="shared" si="234"/>
        <v>272.11975776699268</v>
      </c>
      <c r="AO298" s="31">
        <f t="shared" si="235"/>
        <v>1.567121465921226</v>
      </c>
      <c r="AP298" s="31" t="str">
        <f t="shared" si="216"/>
        <v>1+10.4660738590188i</v>
      </c>
      <c r="AQ298" s="31">
        <f t="shared" si="236"/>
        <v>10.513738727133973</v>
      </c>
      <c r="AR298" s="31">
        <f t="shared" si="237"/>
        <v>1.4755386867803562</v>
      </c>
      <c r="AS298" s="58" t="str">
        <f t="shared" si="238"/>
        <v>-1.94417629838355+0.404788314688155i</v>
      </c>
      <c r="AT298" s="49">
        <f t="shared" si="239"/>
        <v>5.9590112383042673</v>
      </c>
      <c r="AU298" s="61">
        <f t="shared" si="240"/>
        <v>168.23872759808663</v>
      </c>
      <c r="AV298" s="58" t="str">
        <f t="shared" si="217"/>
        <v>0.175683781091617+0.075658371006441i</v>
      </c>
      <c r="AW298" s="64">
        <f t="shared" si="241"/>
        <v>-14.366496967803265</v>
      </c>
      <c r="AX298" s="61">
        <f t="shared" si="242"/>
        <v>23.299169564894871</v>
      </c>
    </row>
    <row r="299" spans="14:50" x14ac:dyDescent="0.25">
      <c r="N299" s="10">
        <v>81</v>
      </c>
      <c r="O299" s="50">
        <f t="shared" si="243"/>
        <v>6456.5422903465615</v>
      </c>
      <c r="P299" s="48" t="str">
        <f t="shared" si="208"/>
        <v>304.285714285714</v>
      </c>
      <c r="Q299" s="17" t="str">
        <f t="shared" si="209"/>
        <v>1+2112.41557540609i</v>
      </c>
      <c r="R299" s="17">
        <f t="shared" si="218"/>
        <v>2112.4158121019268</v>
      </c>
      <c r="S299" s="17">
        <f t="shared" si="219"/>
        <v>1.5703229351304238</v>
      </c>
      <c r="T299" s="17" t="str">
        <f t="shared" si="210"/>
        <v>1+0.0438130637862003i</v>
      </c>
      <c r="U299" s="17">
        <f t="shared" si="220"/>
        <v>1.0009593321201085</v>
      </c>
      <c r="V299" s="17">
        <f t="shared" si="221"/>
        <v>4.3785061736946941E-2</v>
      </c>
      <c r="W299" s="31" t="str">
        <f t="shared" si="211"/>
        <v>1-0.136915824331876i</v>
      </c>
      <c r="X299" s="17">
        <f t="shared" si="222"/>
        <v>1.0093294521376444</v>
      </c>
      <c r="Y299" s="17">
        <f t="shared" si="223"/>
        <v>-0.13606978131842004</v>
      </c>
      <c r="Z299" s="31" t="str">
        <f t="shared" si="212"/>
        <v>0.997382532546694+1.20779597992651i</v>
      </c>
      <c r="AA299" s="17">
        <f t="shared" si="224"/>
        <v>1.5663789596888411</v>
      </c>
      <c r="AB299" s="17">
        <f t="shared" si="225"/>
        <v>0.88052803035528937</v>
      </c>
      <c r="AC299" s="66" t="str">
        <f t="shared" si="226"/>
        <v>-0.0767614165039668-0.0523416109305294i</v>
      </c>
      <c r="AD299" s="64">
        <f t="shared" si="227"/>
        <v>-20.638906161100429</v>
      </c>
      <c r="AE299" s="61">
        <f t="shared" si="228"/>
        <v>-145.71094148346108</v>
      </c>
      <c r="AF299" s="31" t="str">
        <f t="shared" si="213"/>
        <v>-1512.12121212121</v>
      </c>
      <c r="AG299" s="31" t="str">
        <f t="shared" si="229"/>
        <v>40567.6516538892i</v>
      </c>
      <c r="AH299" s="31">
        <f t="shared" si="230"/>
        <v>40567.651653889203</v>
      </c>
      <c r="AI299" s="31">
        <f t="shared" si="231"/>
        <v>1.5707963267948966</v>
      </c>
      <c r="AJ299" s="31" t="str">
        <f t="shared" si="214"/>
        <v>-6.15448123750791+55.9130555420508i</v>
      </c>
      <c r="AK299" s="31">
        <f t="shared" si="232"/>
        <v>56.25075483361352</v>
      </c>
      <c r="AL299" s="31">
        <f t="shared" si="233"/>
        <v>1.680427334827193</v>
      </c>
      <c r="AM299" s="31" t="str">
        <f t="shared" si="215"/>
        <v>1+278.456360952295i</v>
      </c>
      <c r="AN299" s="31">
        <f t="shared" si="234"/>
        <v>278.45815656000235</v>
      </c>
      <c r="AO299" s="31">
        <f t="shared" si="235"/>
        <v>1.5672051152397253</v>
      </c>
      <c r="AP299" s="31" t="str">
        <f t="shared" si="216"/>
        <v>1+10.7098600366267i</v>
      </c>
      <c r="AQ299" s="31">
        <f t="shared" si="236"/>
        <v>10.756444673038285</v>
      </c>
      <c r="AR299" s="31">
        <f t="shared" si="237"/>
        <v>1.4776943627789469</v>
      </c>
      <c r="AS299" s="58" t="str">
        <f t="shared" si="238"/>
        <v>-1.94266022773603+0.406603890666576i</v>
      </c>
      <c r="AT299" s="49">
        <f t="shared" si="239"/>
        <v>5.9541414832316075</v>
      </c>
      <c r="AU299" s="61">
        <f t="shared" si="240"/>
        <v>168.17849506804185</v>
      </c>
      <c r="AV299" s="58" t="str">
        <f t="shared" si="217"/>
        <v>0.170403653515046+0.0704704752067825i</v>
      </c>
      <c r="AW299" s="64">
        <f t="shared" si="241"/>
        <v>-14.684764677868813</v>
      </c>
      <c r="AX299" s="61">
        <f t="shared" si="242"/>
        <v>22.467553584580749</v>
      </c>
    </row>
    <row r="300" spans="14:50" x14ac:dyDescent="0.25">
      <c r="N300" s="10">
        <v>82</v>
      </c>
      <c r="O300" s="50">
        <f t="shared" si="243"/>
        <v>6606.9344800759654</v>
      </c>
      <c r="P300" s="48" t="str">
        <f t="shared" si="208"/>
        <v>304.285714285714</v>
      </c>
      <c r="Q300" s="17" t="str">
        <f t="shared" si="209"/>
        <v>1+2161.62005509777i</v>
      </c>
      <c r="R300" s="17">
        <f t="shared" si="218"/>
        <v>2161.6202864057523</v>
      </c>
      <c r="S300" s="17">
        <f t="shared" si="219"/>
        <v>1.5703337108387281</v>
      </c>
      <c r="T300" s="17" t="str">
        <f t="shared" si="210"/>
        <v>1+0.0448336011427684i</v>
      </c>
      <c r="U300" s="17">
        <f t="shared" si="220"/>
        <v>1.001004521364129</v>
      </c>
      <c r="V300" s="17">
        <f t="shared" si="221"/>
        <v>4.4803598032383637E-2</v>
      </c>
      <c r="W300" s="31" t="str">
        <f t="shared" si="211"/>
        <v>1-0.140105003571151i</v>
      </c>
      <c r="X300" s="17">
        <f t="shared" si="222"/>
        <v>1.0097670087825568</v>
      </c>
      <c r="Y300" s="17">
        <f t="shared" si="223"/>
        <v>-0.13919892506079798</v>
      </c>
      <c r="Z300" s="31" t="str">
        <f t="shared" si="212"/>
        <v>0.997259175106049+1.23592916236366i</v>
      </c>
      <c r="AA300" s="17">
        <f t="shared" si="224"/>
        <v>1.5880953235603128</v>
      </c>
      <c r="AB300" s="17">
        <f t="shared" si="225"/>
        <v>0.89186811870144511</v>
      </c>
      <c r="AC300" s="66" t="str">
        <f t="shared" si="226"/>
        <v>-0.0746964905648482-0.049473856990779i</v>
      </c>
      <c r="AD300" s="64">
        <f t="shared" si="227"/>
        <v>-20.954343890900176</v>
      </c>
      <c r="AE300" s="61">
        <f t="shared" si="228"/>
        <v>-146.482226986527</v>
      </c>
      <c r="AF300" s="31" t="str">
        <f t="shared" si="213"/>
        <v>-1512.12121212121</v>
      </c>
      <c r="AG300" s="31" t="str">
        <f t="shared" si="229"/>
        <v>41512.5936507115i</v>
      </c>
      <c r="AH300" s="31">
        <f t="shared" si="230"/>
        <v>41512.593650711497</v>
      </c>
      <c r="AI300" s="31">
        <f t="shared" si="231"/>
        <v>1.5707963267948966</v>
      </c>
      <c r="AJ300" s="31" t="str">
        <f t="shared" si="214"/>
        <v>-6.49166155028902+57.2154379131852i</v>
      </c>
      <c r="AK300" s="31">
        <f t="shared" si="232"/>
        <v>57.582532119394088</v>
      </c>
      <c r="AL300" s="31">
        <f t="shared" si="233"/>
        <v>1.6837731545735737</v>
      </c>
      <c r="AM300" s="31" t="str">
        <f t="shared" si="215"/>
        <v>1+284.942442818483i</v>
      </c>
      <c r="AN300" s="31">
        <f t="shared" si="234"/>
        <v>284.94419755342358</v>
      </c>
      <c r="AO300" s="31">
        <f t="shared" si="235"/>
        <v>1.5672868605158332</v>
      </c>
      <c r="AP300" s="31" t="str">
        <f t="shared" si="216"/>
        <v>1+10.9593247237878i</v>
      </c>
      <c r="AQ300" s="31">
        <f t="shared" si="236"/>
        <v>11.004853402087033</v>
      </c>
      <c r="AR300" s="31">
        <f t="shared" si="237"/>
        <v>1.4798018084626376</v>
      </c>
      <c r="AS300" s="58" t="str">
        <f t="shared" si="238"/>
        <v>-1.94108428359962+0.40861807691113i</v>
      </c>
      <c r="AT300" s="49">
        <f t="shared" si="239"/>
        <v>5.9492011628076034</v>
      </c>
      <c r="AU300" s="61">
        <f t="shared" si="240"/>
        <v>168.11222512010741</v>
      </c>
      <c r="AV300" s="58" t="str">
        <f t="shared" si="217"/>
        <v>0.165208096176423+0.0655105899272377i</v>
      </c>
      <c r="AW300" s="64">
        <f t="shared" si="241"/>
        <v>-15.005142728092549</v>
      </c>
      <c r="AX300" s="61">
        <f t="shared" si="242"/>
        <v>21.629998133580376</v>
      </c>
    </row>
    <row r="301" spans="14:50" x14ac:dyDescent="0.25">
      <c r="N301" s="10">
        <v>83</v>
      </c>
      <c r="O301" s="50">
        <f t="shared" si="243"/>
        <v>6760.8297539198229</v>
      </c>
      <c r="P301" s="48" t="str">
        <f t="shared" si="208"/>
        <v>304.285714285714</v>
      </c>
      <c r="Q301" s="17" t="str">
        <f t="shared" si="209"/>
        <v>1+2211.97065435508i</v>
      </c>
      <c r="R301" s="17">
        <f t="shared" si="218"/>
        <v>2211.9708803978506</v>
      </c>
      <c r="S301" s="17">
        <f t="shared" si="219"/>
        <v>1.5703442412620692</v>
      </c>
      <c r="T301" s="17" t="str">
        <f t="shared" si="210"/>
        <v>1+0.0458779098681053i</v>
      </c>
      <c r="U301" s="17">
        <f t="shared" si="220"/>
        <v>1.0010518381252123</v>
      </c>
      <c r="V301" s="17">
        <f t="shared" si="221"/>
        <v>4.5845762780245512E-2</v>
      </c>
      <c r="W301" s="31" t="str">
        <f t="shared" si="211"/>
        <v>1-0.143368468337829i</v>
      </c>
      <c r="X301" s="17">
        <f t="shared" si="222"/>
        <v>1.0102249837108241</v>
      </c>
      <c r="Y301" s="17">
        <f t="shared" si="223"/>
        <v>-0.14239811766441693</v>
      </c>
      <c r="Z301" s="31" t="str">
        <f t="shared" si="212"/>
        <v>0.997130004008335+1.26471765080216i</v>
      </c>
      <c r="AA301" s="17">
        <f t="shared" si="224"/>
        <v>1.6105213383076289</v>
      </c>
      <c r="AB301" s="17">
        <f t="shared" si="225"/>
        <v>0.90315571272751027</v>
      </c>
      <c r="AC301" s="66" t="str">
        <f t="shared" si="226"/>
        <v>-0.072651042031387-0.0467250732147301i</v>
      </c>
      <c r="AD301" s="64">
        <f t="shared" si="227"/>
        <v>-21.271793061185615</v>
      </c>
      <c r="AE301" s="61">
        <f t="shared" si="228"/>
        <v>-147.25315042631863</v>
      </c>
      <c r="AF301" s="31" t="str">
        <f t="shared" si="213"/>
        <v>-1512.12121212121</v>
      </c>
      <c r="AG301" s="31" t="str">
        <f t="shared" si="229"/>
        <v>42479.5461741716i</v>
      </c>
      <c r="AH301" s="31">
        <f t="shared" si="230"/>
        <v>42479.546174171599</v>
      </c>
      <c r="AI301" s="31">
        <f t="shared" si="231"/>
        <v>1.5707963267948966</v>
      </c>
      <c r="AJ301" s="31" t="str">
        <f t="shared" si="214"/>
        <v>-6.84473268164291+58.548156666837i</v>
      </c>
      <c r="AK301" s="31">
        <f t="shared" si="232"/>
        <v>58.946899957229647</v>
      </c>
      <c r="AL301" s="31">
        <f t="shared" si="233"/>
        <v>1.6871757832674865</v>
      </c>
      <c r="AM301" s="31" t="str">
        <f t="shared" si="215"/>
        <v>1+291.579604939513i</v>
      </c>
      <c r="AN301" s="31">
        <f t="shared" si="234"/>
        <v>291.58131973204746</v>
      </c>
      <c r="AO301" s="31">
        <f t="shared" si="235"/>
        <v>1.5673667450876045</v>
      </c>
      <c r="AP301" s="31" t="str">
        <f t="shared" si="216"/>
        <v>1+11.2146001899813i</v>
      </c>
      <c r="AQ301" s="31">
        <f t="shared" si="236"/>
        <v>11.259096652091085</v>
      </c>
      <c r="AR301" s="31">
        <f t="shared" si="237"/>
        <v>1.4818620663068225</v>
      </c>
      <c r="AS301" s="58" t="str">
        <f t="shared" si="238"/>
        <v>-1.93944543022188+0.410830791093496i</v>
      </c>
      <c r="AT301" s="49">
        <f t="shared" si="239"/>
        <v>5.9441802334459712</v>
      </c>
      <c r="AU301" s="61">
        <f t="shared" si="240"/>
        <v>168.03988998468731</v>
      </c>
      <c r="AV301" s="58" t="str">
        <f t="shared" si="217"/>
        <v>0.16009883026134+0.0607734446515695i</v>
      </c>
      <c r="AW301" s="64">
        <f t="shared" si="241"/>
        <v>-15.327612827739657</v>
      </c>
      <c r="AX301" s="61">
        <f t="shared" si="242"/>
        <v>20.786739558368716</v>
      </c>
    </row>
    <row r="302" spans="14:50" x14ac:dyDescent="0.25">
      <c r="N302" s="10">
        <v>84</v>
      </c>
      <c r="O302" s="50">
        <f t="shared" si="243"/>
        <v>6918.3097091893687</v>
      </c>
      <c r="P302" s="48" t="str">
        <f t="shared" si="208"/>
        <v>304.285714285714</v>
      </c>
      <c r="Q302" s="17" t="str">
        <f t="shared" si="209"/>
        <v>1+2263.49406973223i</v>
      </c>
      <c r="R302" s="17">
        <f t="shared" si="218"/>
        <v>2263.4942906296392</v>
      </c>
      <c r="S302" s="17">
        <f t="shared" si="219"/>
        <v>1.5703545319838073</v>
      </c>
      <c r="T302" s="17" t="str">
        <f t="shared" si="210"/>
        <v>1+0.0469465436685202i</v>
      </c>
      <c r="U302" s="17">
        <f t="shared" si="220"/>
        <v>1.0011013824595492</v>
      </c>
      <c r="V302" s="17">
        <f t="shared" si="221"/>
        <v>4.6912099489701084E-2</v>
      </c>
      <c r="W302" s="31" t="str">
        <f t="shared" si="211"/>
        <v>1-0.146707948964126i</v>
      </c>
      <c r="X302" s="17">
        <f t="shared" si="222"/>
        <v>1.0107043199122385</v>
      </c>
      <c r="Y302" s="17">
        <f t="shared" si="223"/>
        <v>-0.14566879330084523</v>
      </c>
      <c r="Z302" s="31" t="str">
        <f t="shared" si="212"/>
        <v>0.996994745264336+1.29417670927963i</v>
      </c>
      <c r="AA302" s="17">
        <f t="shared" si="224"/>
        <v>1.6336743484937719</v>
      </c>
      <c r="AB302" s="17">
        <f t="shared" si="225"/>
        <v>0.91438545022234108</v>
      </c>
      <c r="AC302" s="66" t="str">
        <f t="shared" si="226"/>
        <v>-0.0706269388706007-0.0440924167222428i</v>
      </c>
      <c r="AD302" s="64">
        <f t="shared" si="227"/>
        <v>-21.591222936529938</v>
      </c>
      <c r="AE302" s="61">
        <f t="shared" si="228"/>
        <v>-148.02345592186788</v>
      </c>
      <c r="AF302" s="31" t="str">
        <f t="shared" si="213"/>
        <v>-1512.12121212121</v>
      </c>
      <c r="AG302" s="31" t="str">
        <f t="shared" si="229"/>
        <v>43469.0219152965i</v>
      </c>
      <c r="AH302" s="31">
        <f t="shared" si="230"/>
        <v>43469.0219152965</v>
      </c>
      <c r="AI302" s="31">
        <f t="shared" si="231"/>
        <v>1.5707963267948966</v>
      </c>
      <c r="AJ302" s="31" t="str">
        <f t="shared" si="214"/>
        <v>-7.21444354277618+59.91191842813i</v>
      </c>
      <c r="AK302" s="31">
        <f t="shared" si="232"/>
        <v>60.344727734664673</v>
      </c>
      <c r="AL302" s="31">
        <f t="shared" si="233"/>
        <v>1.6906368075427769</v>
      </c>
      <c r="AM302" s="31" t="str">
        <f t="shared" si="215"/>
        <v>1+298.371366426595i</v>
      </c>
      <c r="AN302" s="31">
        <f t="shared" si="234"/>
        <v>298.37304218590759</v>
      </c>
      <c r="AO302" s="31">
        <f t="shared" si="235"/>
        <v>1.567444811306816</v>
      </c>
      <c r="AP302" s="31" t="str">
        <f t="shared" si="216"/>
        <v>1+11.4758217856383i</v>
      </c>
      <c r="AQ302" s="31">
        <f t="shared" si="236"/>
        <v>11.519309252543339</v>
      </c>
      <c r="AR302" s="31">
        <f t="shared" si="237"/>
        <v>1.4838761586879827</v>
      </c>
      <c r="AS302" s="58" t="str">
        <f t="shared" si="238"/>
        <v>-1.93774052691368+0.413241977248112i</v>
      </c>
      <c r="AT302" s="49">
        <f t="shared" si="239"/>
        <v>5.9390685052372696</v>
      </c>
      <c r="AU302" s="61">
        <f t="shared" si="240"/>
        <v>167.96145975879415</v>
      </c>
      <c r="AV302" s="58" t="str">
        <f t="shared" si="217"/>
        <v>0.155077519209365+0.0562536469463878i</v>
      </c>
      <c r="AW302" s="64">
        <f t="shared" si="241"/>
        <v>-15.652154431292693</v>
      </c>
      <c r="AX302" s="61">
        <f t="shared" si="242"/>
        <v>19.938003836926335</v>
      </c>
    </row>
    <row r="303" spans="14:50" x14ac:dyDescent="0.25">
      <c r="N303" s="10">
        <v>85</v>
      </c>
      <c r="O303" s="50">
        <f t="shared" si="243"/>
        <v>7079.4578438413828</v>
      </c>
      <c r="P303" s="48" t="str">
        <f t="shared" si="208"/>
        <v>304.285714285714</v>
      </c>
      <c r="Q303" s="17" t="str">
        <f t="shared" si="209"/>
        <v>1+2316.21761962603i</v>
      </c>
      <c r="R303" s="17">
        <f t="shared" si="218"/>
        <v>2316.2178354952007</v>
      </c>
      <c r="S303" s="17">
        <f t="shared" si="219"/>
        <v>1.5703645884602109</v>
      </c>
      <c r="T303" s="17" t="str">
        <f t="shared" si="210"/>
        <v>1+0.0480400691477991i</v>
      </c>
      <c r="U303" s="17">
        <f t="shared" si="220"/>
        <v>1.0011532591185655</v>
      </c>
      <c r="V303" s="17">
        <f t="shared" si="221"/>
        <v>4.8003163841041023E-2</v>
      </c>
      <c r="W303" s="31" t="str">
        <f t="shared" si="211"/>
        <v>1-0.150125216086872i</v>
      </c>
      <c r="X303" s="17">
        <f t="shared" si="222"/>
        <v>1.0112060030009364</v>
      </c>
      <c r="Y303" s="17">
        <f t="shared" si="223"/>
        <v>-0.14901240608008942</v>
      </c>
      <c r="Z303" s="31" t="str">
        <f t="shared" si="212"/>
        <v>0.996853111972121+1.32432195737881i</v>
      </c>
      <c r="AA303" s="17">
        <f t="shared" si="224"/>
        <v>1.6575719512721447</v>
      </c>
      <c r="AB303" s="17">
        <f t="shared" si="225"/>
        <v>0.92555211622473621</v>
      </c>
      <c r="AC303" s="66" t="str">
        <f t="shared" si="226"/>
        <v>-0.0686259649187596-0.041572991422973i</v>
      </c>
      <c r="AD303" s="64">
        <f t="shared" si="227"/>
        <v>-21.91260045237723</v>
      </c>
      <c r="AE303" s="61">
        <f t="shared" si="228"/>
        <v>-148.79289646675969</v>
      </c>
      <c r="AF303" s="31" t="str">
        <f t="shared" si="213"/>
        <v>-1512.12121212121</v>
      </c>
      <c r="AG303" s="31" t="str">
        <f t="shared" si="229"/>
        <v>44481.5455072214i</v>
      </c>
      <c r="AH303" s="31">
        <f t="shared" si="230"/>
        <v>44481.545507221403</v>
      </c>
      <c r="AI303" s="31">
        <f t="shared" si="231"/>
        <v>1.5707963267948966</v>
      </c>
      <c r="AJ303" s="31" t="str">
        <f t="shared" si="214"/>
        <v>-7.60157833999329+61.3074462816016i</v>
      </c>
      <c r="AK303" s="31">
        <f t="shared" si="232"/>
        <v>61.776912862577731</v>
      </c>
      <c r="AL303" s="31">
        <f t="shared" si="233"/>
        <v>1.6941578300800859</v>
      </c>
      <c r="AM303" s="31" t="str">
        <f t="shared" si="215"/>
        <v>1+305.321328361567i</v>
      </c>
      <c r="AN303" s="31">
        <f t="shared" si="234"/>
        <v>305.32296597614766</v>
      </c>
      <c r="AO303" s="31">
        <f t="shared" si="235"/>
        <v>1.5675211005614023</v>
      </c>
      <c r="AP303" s="31" t="str">
        <f t="shared" si="216"/>
        <v>1+11.7431280139064i</v>
      </c>
      <c r="AQ303" s="31">
        <f t="shared" si="236"/>
        <v>11.785629196228484</v>
      </c>
      <c r="AR303" s="31">
        <f t="shared" si="237"/>
        <v>1.4858450881059102</v>
      </c>
      <c r="AS303" s="58" t="str">
        <f t="shared" si="238"/>
        <v>-1.93596632399289+0.415851600771565i</v>
      </c>
      <c r="AT303" s="49">
        <f t="shared" si="239"/>
        <v>5.9338556240388556</v>
      </c>
      <c r="AU303" s="61">
        <f t="shared" si="240"/>
        <v>167.87690242595227</v>
      </c>
      <c r="AV303" s="58" t="str">
        <f t="shared" si="217"/>
        <v>0.150145752066342+0.0519456940165615i</v>
      </c>
      <c r="AW303" s="64">
        <f t="shared" si="241"/>
        <v>-15.978744828338369</v>
      </c>
      <c r="AX303" s="61">
        <f t="shared" si="242"/>
        <v>19.084005959192552</v>
      </c>
    </row>
    <row r="304" spans="14:50" x14ac:dyDescent="0.25">
      <c r="N304" s="10">
        <v>86</v>
      </c>
      <c r="O304" s="50">
        <f t="shared" si="243"/>
        <v>7244.3596007499036</v>
      </c>
      <c r="P304" s="48" t="str">
        <f t="shared" si="208"/>
        <v>304.285714285714</v>
      </c>
      <c r="Q304" s="17" t="str">
        <f t="shared" si="209"/>
        <v>1+2370.16925876053i</v>
      </c>
      <c r="R304" s="17">
        <f t="shared" si="218"/>
        <v>2370.1694697159187</v>
      </c>
      <c r="S304" s="17">
        <f t="shared" si="219"/>
        <v>1.5703744160233484</v>
      </c>
      <c r="T304" s="17" t="str">
        <f t="shared" si="210"/>
        <v>1+0.0491590661076258i</v>
      </c>
      <c r="U304" s="17">
        <f t="shared" si="220"/>
        <v>1.0012075777682539</v>
      </c>
      <c r="V304" s="17">
        <f t="shared" si="221"/>
        <v>4.911952393450799E-2</v>
      </c>
      <c r="W304" s="31" t="str">
        <f t="shared" si="211"/>
        <v>1-0.153622081586331i</v>
      </c>
      <c r="X304" s="17">
        <f t="shared" si="222"/>
        <v>1.0117310630552554</v>
      </c>
      <c r="Y304" s="17">
        <f t="shared" si="223"/>
        <v>-0.15243042962889006</v>
      </c>
      <c r="Z304" s="31" t="str">
        <f t="shared" si="212"/>
        <v>0.996704803708489+1.35516937850927i</v>
      </c>
      <c r="AA304" s="17">
        <f t="shared" si="224"/>
        <v>1.6822320024850255</v>
      </c>
      <c r="AB304" s="17">
        <f t="shared" si="225"/>
        <v>0.93665065392878843</v>
      </c>
      <c r="AC304" s="66" t="str">
        <f t="shared" si="226"/>
        <v>-0.0666498144885654-0.0391638543043079i</v>
      </c>
      <c r="AD304" s="64">
        <f t="shared" si="227"/>
        <v>-22.235890292717265</v>
      </c>
      <c r="AE304" s="61">
        <f t="shared" si="228"/>
        <v>-149.56123451570957</v>
      </c>
      <c r="AF304" s="31" t="str">
        <f t="shared" si="213"/>
        <v>-1512.12121212121</v>
      </c>
      <c r="AG304" s="31" t="str">
        <f t="shared" si="229"/>
        <v>45517.6538033572i</v>
      </c>
      <c r="AH304" s="31">
        <f t="shared" si="230"/>
        <v>45517.6538033572</v>
      </c>
      <c r="AI304" s="31">
        <f t="shared" si="231"/>
        <v>1.5707963267948966</v>
      </c>
      <c r="AJ304" s="31" t="str">
        <f t="shared" si="214"/>
        <v>-8.00695823810327+62.7354801545917i</v>
      </c>
      <c r="AK304" s="31">
        <f t="shared" si="232"/>
        <v>63.244381967522607</v>
      </c>
      <c r="AL304" s="31">
        <f t="shared" si="233"/>
        <v>1.6977404694524987</v>
      </c>
      <c r="AM304" s="31" t="str">
        <f t="shared" si="215"/>
        <v>1+312.433175706243i</v>
      </c>
      <c r="AN304" s="31">
        <f t="shared" si="234"/>
        <v>312.43477604435799</v>
      </c>
      <c r="AO304" s="31">
        <f t="shared" si="235"/>
        <v>1.5675956532973818</v>
      </c>
      <c r="AP304" s="31" t="str">
        <f t="shared" si="216"/>
        <v>1+12.0166606040863i</v>
      </c>
      <c r="AQ304" s="31">
        <f t="shared" si="236"/>
        <v>12.058197712502468</v>
      </c>
      <c r="AR304" s="31">
        <f t="shared" si="237"/>
        <v>1.4877698374158275</v>
      </c>
      <c r="AS304" s="58" t="str">
        <f t="shared" si="238"/>
        <v>-1.93411945872659+0.418659643136633i</v>
      </c>
      <c r="AT304" s="49">
        <f t="shared" si="239"/>
        <v>5.9285310534344049</v>
      </c>
      <c r="AU304" s="61">
        <f t="shared" si="240"/>
        <v>167.78618387959733</v>
      </c>
      <c r="AV304" s="58" t="str">
        <f t="shared" si="217"/>
        <v>0.145305028389748+0.0478439851397894i</v>
      </c>
      <c r="AW304" s="64">
        <f t="shared" si="241"/>
        <v>-16.307359239282878</v>
      </c>
      <c r="AX304" s="61">
        <f t="shared" si="242"/>
        <v>18.224949363887795</v>
      </c>
    </row>
    <row r="305" spans="14:50" x14ac:dyDescent="0.25">
      <c r="N305" s="10">
        <v>87</v>
      </c>
      <c r="O305" s="50">
        <f t="shared" si="243"/>
        <v>7413.1024130091773</v>
      </c>
      <c r="P305" s="48" t="str">
        <f t="shared" si="208"/>
        <v>304.285714285714</v>
      </c>
      <c r="Q305" s="17" t="str">
        <f t="shared" si="209"/>
        <v>1+2425.37759300892i</v>
      </c>
      <c r="R305" s="17">
        <f t="shared" si="218"/>
        <v>2425.3777991623783</v>
      </c>
      <c r="S305" s="17">
        <f t="shared" si="219"/>
        <v>1.5703840198839163</v>
      </c>
      <c r="T305" s="17" t="str">
        <f t="shared" si="210"/>
        <v>1+0.0503041278549997i</v>
      </c>
      <c r="U305" s="17">
        <f t="shared" si="220"/>
        <v>1.001264453218655</v>
      </c>
      <c r="V305" s="17">
        <f t="shared" si="221"/>
        <v>5.0261760542476865E-2</v>
      </c>
      <c r="W305" s="31" t="str">
        <f t="shared" si="211"/>
        <v>1-0.157200399546874i</v>
      </c>
      <c r="X305" s="17">
        <f t="shared" si="222"/>
        <v>1.0122805765289073</v>
      </c>
      <c r="Y305" s="17">
        <f t="shared" si="223"/>
        <v>-0.15592435660471185</v>
      </c>
      <c r="Z305" s="31" t="str">
        <f t="shared" si="212"/>
        <v>0.996549505891727+1.386735328382i</v>
      </c>
      <c r="AA305" s="17">
        <f t="shared" si="224"/>
        <v>1.7076726233900275</v>
      </c>
      <c r="AB305" s="17">
        <f t="shared" si="225"/>
        <v>0.94767617468487919</v>
      </c>
      <c r="AC305" s="66" t="str">
        <f t="shared" si="226"/>
        <v>-0.0647000876749786-0.036862022068555i</v>
      </c>
      <c r="AD305" s="64">
        <f t="shared" si="227"/>
        <v>-22.561054972721131</v>
      </c>
      <c r="AE305" s="61">
        <f t="shared" si="228"/>
        <v>-150.32824251544457</v>
      </c>
      <c r="AF305" s="31" t="str">
        <f t="shared" si="213"/>
        <v>-1512.12121212121</v>
      </c>
      <c r="AG305" s="31" t="str">
        <f t="shared" si="229"/>
        <v>46577.8961620368i</v>
      </c>
      <c r="AH305" s="31">
        <f t="shared" si="230"/>
        <v>46577.896162036799</v>
      </c>
      <c r="AI305" s="31">
        <f t="shared" si="231"/>
        <v>1.5707963267948966</v>
      </c>
      <c r="AJ305" s="31" t="str">
        <f t="shared" si="214"/>
        <v>-8.43144310222013+64.196777209562i</v>
      </c>
      <c r="AK305" s="31">
        <f t="shared" si="232"/>
        <v>64.748092148573122</v>
      </c>
      <c r="AL305" s="31">
        <f t="shared" si="233"/>
        <v>1.7013863599159615</v>
      </c>
      <c r="AM305" s="31" t="str">
        <f t="shared" si="215"/>
        <v>1+319.71067925622i</v>
      </c>
      <c r="AN305" s="31">
        <f t="shared" si="234"/>
        <v>319.71224316637228</v>
      </c>
      <c r="AO305" s="31">
        <f t="shared" si="235"/>
        <v>1.5676685090402849</v>
      </c>
      <c r="AP305" s="31" t="str">
        <f t="shared" si="216"/>
        <v>1+12.2965645867777i</v>
      </c>
      <c r="AQ305" s="31">
        <f t="shared" si="236"/>
        <v>12.337159342279543</v>
      </c>
      <c r="AR305" s="31">
        <f t="shared" si="237"/>
        <v>1.4896513700692462</v>
      </c>
      <c r="AS305" s="58" t="str">
        <f t="shared" si="238"/>
        <v>-1.93219645128185+0.421666096304638i</v>
      </c>
      <c r="AT305" s="49">
        <f t="shared" si="239"/>
        <v>5.9230840565514677</v>
      </c>
      <c r="AU305" s="61">
        <f t="shared" si="240"/>
        <v>167.68926795011254</v>
      </c>
      <c r="AV305" s="58" t="str">
        <f t="shared" si="217"/>
        <v>0.140556744750761+0.0439428348274592i</v>
      </c>
      <c r="AW305" s="64">
        <f t="shared" si="241"/>
        <v>-16.637970916169678</v>
      </c>
      <c r="AX305" s="61">
        <f t="shared" si="242"/>
        <v>17.361025434667994</v>
      </c>
    </row>
    <row r="306" spans="14:50" x14ac:dyDescent="0.25">
      <c r="N306" s="10">
        <v>88</v>
      </c>
      <c r="O306" s="50">
        <f t="shared" si="243"/>
        <v>7585.7757502918394</v>
      </c>
      <c r="P306" s="48" t="str">
        <f t="shared" si="208"/>
        <v>304.285714285714</v>
      </c>
      <c r="Q306" s="17" t="str">
        <f t="shared" si="209"/>
        <v>1+2481.87189456079i</v>
      </c>
      <c r="R306" s="17">
        <f t="shared" si="218"/>
        <v>2481.8720960216233</v>
      </c>
      <c r="S306" s="17">
        <f t="shared" si="219"/>
        <v>1.5703934051340018</v>
      </c>
      <c r="T306" s="17" t="str">
        <f t="shared" si="210"/>
        <v>1+0.0514758615168163i</v>
      </c>
      <c r="U306" s="17">
        <f t="shared" si="220"/>
        <v>1.0013240056639501</v>
      </c>
      <c r="V306" s="17">
        <f t="shared" si="221"/>
        <v>5.1430467364895663E-2</v>
      </c>
      <c r="W306" s="31" t="str">
        <f t="shared" si="211"/>
        <v>1-0.160862067240051i</v>
      </c>
      <c r="X306" s="17">
        <f t="shared" si="222"/>
        <v>1.012855668235481</v>
      </c>
      <c r="Y306" s="17">
        <f t="shared" si="223"/>
        <v>-0.15949569814107539</v>
      </c>
      <c r="Z306" s="31" t="str">
        <f t="shared" si="212"/>
        <v>0.996386889114346+1.41903654368145i</v>
      </c>
      <c r="AA306" s="17">
        <f t="shared" si="224"/>
        <v>1.7339122080146849</v>
      </c>
      <c r="AB306" s="17">
        <f t="shared" si="225"/>
        <v>0.9586239670604102</v>
      </c>
      <c r="AC306" s="66" t="str">
        <f t="shared" si="226"/>
        <v>-0.062778286376806-0.0346644780434075i</v>
      </c>
      <c r="AD306" s="64">
        <f t="shared" si="227"/>
        <v>-22.888054925580196</v>
      </c>
      <c r="AE306" s="61">
        <f t="shared" si="228"/>
        <v>-151.09370337758816</v>
      </c>
      <c r="AF306" s="31" t="str">
        <f t="shared" si="213"/>
        <v>-1512.12121212121</v>
      </c>
      <c r="AG306" s="31" t="str">
        <f t="shared" si="229"/>
        <v>47662.8347377929i</v>
      </c>
      <c r="AH306" s="31">
        <f t="shared" si="230"/>
        <v>47662.834737792902</v>
      </c>
      <c r="AI306" s="31">
        <f t="shared" si="231"/>
        <v>1.5707963267948966</v>
      </c>
      <c r="AJ306" s="31" t="str">
        <f t="shared" si="214"/>
        <v>-8.87593332165246+65.6921122455536i</v>
      </c>
      <c r="AK306" s="31">
        <f t="shared" si="232"/>
        <v>66.289032302582555</v>
      </c>
      <c r="AL306" s="31">
        <f t="shared" si="233"/>
        <v>1.7050971511406938</v>
      </c>
      <c r="AM306" s="31" t="str">
        <f t="shared" si="215"/>
        <v>1+327.15769764021i</v>
      </c>
      <c r="AN306" s="31">
        <f t="shared" si="234"/>
        <v>327.15922595158935</v>
      </c>
      <c r="AO306" s="31">
        <f t="shared" si="235"/>
        <v>1.5677397064160956</v>
      </c>
      <c r="AP306" s="31" t="str">
        <f t="shared" si="216"/>
        <v>1+12.5829883707773i</v>
      </c>
      <c r="AQ306" s="31">
        <f t="shared" si="236"/>
        <v>12.622662014769974</v>
      </c>
      <c r="AR306" s="31">
        <f t="shared" si="237"/>
        <v>1.4914906303625255</v>
      </c>
      <c r="AS306" s="58" t="str">
        <f t="shared" si="238"/>
        <v>-1.93019370069773+0.424870956819566i</v>
      </c>
      <c r="AT306" s="49">
        <f t="shared" si="239"/>
        <v>5.9175036777319896</v>
      </c>
      <c r="AU306" s="61">
        <f t="shared" si="240"/>
        <v>167.5861164356584</v>
      </c>
      <c r="AV306" s="58" t="str">
        <f t="shared" si="217"/>
        <v>0.135902182859062+0.0402364865569536i</v>
      </c>
      <c r="AW306" s="64">
        <f t="shared" si="241"/>
        <v>-16.970551247848238</v>
      </c>
      <c r="AX306" s="61">
        <f t="shared" si="242"/>
        <v>16.492413058070316</v>
      </c>
    </row>
    <row r="307" spans="14:50" x14ac:dyDescent="0.25">
      <c r="N307" s="10">
        <v>89</v>
      </c>
      <c r="O307" s="50">
        <f t="shared" si="243"/>
        <v>7762.4711662869322</v>
      </c>
      <c r="P307" s="48" t="str">
        <f t="shared" si="208"/>
        <v>304.285714285714</v>
      </c>
      <c r="Q307" s="17" t="str">
        <f t="shared" si="209"/>
        <v>1+2539.68211744262i</v>
      </c>
      <c r="R307" s="17">
        <f t="shared" si="218"/>
        <v>2539.6823143176448</v>
      </c>
      <c r="S307" s="17">
        <f t="shared" si="219"/>
        <v>1.5704025767497818</v>
      </c>
      <c r="T307" s="17" t="str">
        <f t="shared" si="210"/>
        <v>1+0.0526748883617727i</v>
      </c>
      <c r="U307" s="17">
        <f t="shared" si="220"/>
        <v>1.0013863609336433</v>
      </c>
      <c r="V307" s="17">
        <f t="shared" si="221"/>
        <v>5.2626251287876388E-2</v>
      </c>
      <c r="W307" s="31" t="str">
        <f t="shared" si="211"/>
        <v>1-0.16460902613054i</v>
      </c>
      <c r="X307" s="17">
        <f t="shared" si="222"/>
        <v>1.0134575134082557</v>
      </c>
      <c r="Y307" s="17">
        <f t="shared" si="223"/>
        <v>-0.16314598321959833</v>
      </c>
      <c r="Z307" s="31" t="str">
        <f t="shared" si="212"/>
        <v>0.996216608444358+1.45209015093953i</v>
      </c>
      <c r="AA307" s="17">
        <f t="shared" si="224"/>
        <v>1.7609694311361472</v>
      </c>
      <c r="AB307" s="17">
        <f t="shared" si="225"/>
        <v>0.96948950493364494</v>
      </c>
      <c r="AC307" s="66" t="str">
        <f t="shared" si="226"/>
        <v>-0.0608858110423233-0.032568179289823i</v>
      </c>
      <c r="AD307" s="64">
        <f t="shared" si="227"/>
        <v>-23.216848592778192</v>
      </c>
      <c r="AE307" s="61">
        <f t="shared" si="228"/>
        <v>-151.85741089176221</v>
      </c>
      <c r="AF307" s="31" t="str">
        <f t="shared" si="213"/>
        <v>-1512.12121212121</v>
      </c>
      <c r="AG307" s="31" t="str">
        <f t="shared" si="229"/>
        <v>48773.0447794192i</v>
      </c>
      <c r="AH307" s="31">
        <f t="shared" si="230"/>
        <v>48773.0447794192</v>
      </c>
      <c r="AI307" s="31">
        <f t="shared" si="231"/>
        <v>1.5707963267948966</v>
      </c>
      <c r="AJ307" s="31" t="str">
        <f t="shared" si="214"/>
        <v>-9.3413717197494+67.2222781089958i</v>
      </c>
      <c r="AK307" s="31">
        <f t="shared" si="232"/>
        <v>67.868224522008163</v>
      </c>
      <c r="AL307" s="31">
        <f t="shared" si="233"/>
        <v>1.7088745078795926</v>
      </c>
      <c r="AM307" s="31" t="str">
        <f t="shared" si="215"/>
        <v>1+334.778179365933i</v>
      </c>
      <c r="AN307" s="31">
        <f t="shared" si="234"/>
        <v>334.77967288885503</v>
      </c>
      <c r="AO307" s="31">
        <f t="shared" si="235"/>
        <v>1.5678092831717161</v>
      </c>
      <c r="AP307" s="31" t="str">
        <f t="shared" si="216"/>
        <v>1+12.8760838217667i</v>
      </c>
      <c r="AQ307" s="31">
        <f t="shared" si="236"/>
        <v>12.914857126006549</v>
      </c>
      <c r="AR307" s="31">
        <f t="shared" si="237"/>
        <v>1.4932885436921133</v>
      </c>
      <c r="AS307" s="58" t="str">
        <f t="shared" si="238"/>
        <v>-1.92810748089173+0.4282742195669i</v>
      </c>
      <c r="AT307" s="49">
        <f t="shared" si="239"/>
        <v>5.9117787240477071</v>
      </c>
      <c r="AU307" s="61">
        <f t="shared" si="240"/>
        <v>167.47668913696918</v>
      </c>
      <c r="AV307" s="58" t="str">
        <f t="shared" si="217"/>
        <v>0.131342499318928+0.0367191269208821i</v>
      </c>
      <c r="AW307" s="64">
        <f t="shared" si="241"/>
        <v>-17.30506986873046</v>
      </c>
      <c r="AX307" s="61">
        <f t="shared" si="242"/>
        <v>15.61927824520693</v>
      </c>
    </row>
    <row r="308" spans="14:50" x14ac:dyDescent="0.25">
      <c r="N308" s="10">
        <v>90</v>
      </c>
      <c r="O308" s="50">
        <f t="shared" si="243"/>
        <v>7943.2823472428154</v>
      </c>
      <c r="P308" s="48" t="str">
        <f t="shared" si="208"/>
        <v>304.285714285714</v>
      </c>
      <c r="Q308" s="17" t="str">
        <f t="shared" si="209"/>
        <v>1+2598.83891339978i</v>
      </c>
      <c r="R308" s="17">
        <f t="shared" si="218"/>
        <v>2598.8391057933823</v>
      </c>
      <c r="S308" s="17">
        <f t="shared" si="219"/>
        <v>1.5704115395941625</v>
      </c>
      <c r="T308" s="17" t="str">
        <f t="shared" si="210"/>
        <v>1+0.053901844129773i</v>
      </c>
      <c r="U308" s="17">
        <f t="shared" si="220"/>
        <v>1.0014516507553375</v>
      </c>
      <c r="V308" s="17">
        <f t="shared" si="221"/>
        <v>5.3849732645318657E-2</v>
      </c>
      <c r="W308" s="31" t="str">
        <f t="shared" si="211"/>
        <v>1-0.168443262905541i</v>
      </c>
      <c r="X308" s="17">
        <f t="shared" si="222"/>
        <v>1.0140873398372869</v>
      </c>
      <c r="Y308" s="17">
        <f t="shared" si="223"/>
        <v>-0.16687675796399026</v>
      </c>
      <c r="Z308" s="31" t="str">
        <f t="shared" si="212"/>
        <v>0.996038302693633+1.48591367561632i</v>
      </c>
      <c r="AA308" s="17">
        <f t="shared" si="224"/>
        <v>1.788863256880306</v>
      </c>
      <c r="AB308" s="17">
        <f t="shared" si="225"/>
        <v>0.98026845460329459</v>
      </c>
      <c r="AC308" s="66" t="str">
        <f t="shared" si="226"/>
        <v>-0.0590239581386631-0.0305700638326327i</v>
      </c>
      <c r="AD308" s="64">
        <f t="shared" si="227"/>
        <v>-23.547392517023766</v>
      </c>
      <c r="AE308" s="61">
        <f t="shared" si="228"/>
        <v>-152.61917007764583</v>
      </c>
      <c r="AF308" s="31" t="str">
        <f t="shared" si="213"/>
        <v>-1512.12121212121</v>
      </c>
      <c r="AG308" s="31" t="str">
        <f t="shared" si="229"/>
        <v>49909.114934975i</v>
      </c>
      <c r="AH308" s="31">
        <f t="shared" si="230"/>
        <v>49909.114934974998</v>
      </c>
      <c r="AI308" s="31">
        <f t="shared" si="231"/>
        <v>1.5707963267948966</v>
      </c>
      <c r="AJ308" s="31" t="str">
        <f t="shared" si="214"/>
        <v>-9.8287455537558+68.7880861140833i</v>
      </c>
      <c r="AK308" s="31">
        <f t="shared" si="232"/>
        <v>69.486725569701534</v>
      </c>
      <c r="AL308" s="31">
        <f t="shared" si="233"/>
        <v>1.7127201095694771</v>
      </c>
      <c r="AM308" s="31" t="str">
        <f t="shared" si="215"/>
        <v>1+342.576164913668i</v>
      </c>
      <c r="AN308" s="31">
        <f t="shared" si="234"/>
        <v>342.57762444000434</v>
      </c>
      <c r="AO308" s="31">
        <f t="shared" si="235"/>
        <v>1.5678772761949666</v>
      </c>
      <c r="AP308" s="31" t="str">
        <f t="shared" si="216"/>
        <v>1+13.1760063428334i</v>
      </c>
      <c r="AQ308" s="31">
        <f t="shared" si="236"/>
        <v>13.213899619203485</v>
      </c>
      <c r="AR308" s="31">
        <f t="shared" si="237"/>
        <v>1.4950460168155661</v>
      </c>
      <c r="AS308" s="58" t="str">
        <f t="shared" si="238"/>
        <v>-1.92593393671607+0.431875871180013i</v>
      </c>
      <c r="AT308" s="49">
        <f t="shared" si="239"/>
        <v>5.9058977466561302</v>
      </c>
      <c r="AU308" s="61">
        <f t="shared" si="240"/>
        <v>167.36094389630054</v>
      </c>
      <c r="AV308" s="58" t="str">
        <f t="shared" si="217"/>
        <v>0.126878717008307+0.0333849000412161i</v>
      </c>
      <c r="AW308" s="64">
        <f t="shared" si="241"/>
        <v>-17.641494770367622</v>
      </c>
      <c r="AX308" s="61">
        <f t="shared" si="242"/>
        <v>14.74177381865468</v>
      </c>
    </row>
    <row r="309" spans="14:50" x14ac:dyDescent="0.25">
      <c r="N309" s="10">
        <v>91</v>
      </c>
      <c r="O309" s="50">
        <f t="shared" si="243"/>
        <v>8128.3051616410066</v>
      </c>
      <c r="P309" s="48" t="str">
        <f t="shared" si="208"/>
        <v>304.285714285714</v>
      </c>
      <c r="Q309" s="17" t="str">
        <f t="shared" si="209"/>
        <v>1+2659.37364814853i</v>
      </c>
      <c r="R309" s="17">
        <f t="shared" si="218"/>
        <v>2659.3738361627197</v>
      </c>
      <c r="S309" s="17">
        <f t="shared" si="219"/>
        <v>1.5704202984193565</v>
      </c>
      <c r="T309" s="17" t="str">
        <f t="shared" si="210"/>
        <v>1+0.0551573793690064i</v>
      </c>
      <c r="U309" s="17">
        <f t="shared" si="220"/>
        <v>1.0015200130296231</v>
      </c>
      <c r="V309" s="17">
        <f t="shared" si="221"/>
        <v>5.5101545483426759E-2</v>
      </c>
      <c r="W309" s="31" t="str">
        <f t="shared" si="211"/>
        <v>1-0.172366810528145i</v>
      </c>
      <c r="X309" s="17">
        <f t="shared" si="222"/>
        <v>1.0147464300856868</v>
      </c>
      <c r="Y309" s="17">
        <f t="shared" si="223"/>
        <v>-0.1706895848509955</v>
      </c>
      <c r="Z309" s="31" t="str">
        <f t="shared" si="212"/>
        <v>0.995851593651767+1.52052505139232i</v>
      </c>
      <c r="AA309" s="17">
        <f t="shared" si="224"/>
        <v>1.8176129479320899</v>
      </c>
      <c r="AB309" s="17">
        <f t="shared" si="225"/>
        <v>0.99095668090551559</v>
      </c>
      <c r="AC309" s="66" t="str">
        <f t="shared" si="226"/>
        <v>-0.0571939183365628-0.0286670579413986i</v>
      </c>
      <c r="AD309" s="64">
        <f t="shared" si="227"/>
        <v>-23.87964143707898</v>
      </c>
      <c r="AE309" s="61">
        <f t="shared" si="228"/>
        <v>-153.37879747523633</v>
      </c>
      <c r="AF309" s="31" t="str">
        <f t="shared" si="213"/>
        <v>-1512.12121212121</v>
      </c>
      <c r="AG309" s="31" t="str">
        <f t="shared" si="229"/>
        <v>51071.6475638948i</v>
      </c>
      <c r="AH309" s="31">
        <f t="shared" si="230"/>
        <v>51071.647563894803</v>
      </c>
      <c r="AI309" s="31">
        <f t="shared" si="231"/>
        <v>1.5707963267948966</v>
      </c>
      <c r="AJ309" s="31" t="str">
        <f t="shared" si="214"/>
        <v>-10.339088608917+70.3903664729466i</v>
      </c>
      <c r="AK309" s="31">
        <f t="shared" si="232"/>
        <v>71.145628435335098</v>
      </c>
      <c r="AL309" s="31">
        <f t="shared" si="233"/>
        <v>1.7166356498607724</v>
      </c>
      <c r="AM309" s="31" t="str">
        <f t="shared" si="215"/>
        <v>1+350.555788878573i</v>
      </c>
      <c r="AN309" s="31">
        <f t="shared" si="234"/>
        <v>350.55721518217064</v>
      </c>
      <c r="AO309" s="31">
        <f t="shared" si="235"/>
        <v>1.5679437215341328</v>
      </c>
      <c r="AP309" s="31" t="str">
        <f t="shared" si="216"/>
        <v>1+13.4829149568682i</v>
      </c>
      <c r="AQ309" s="31">
        <f t="shared" si="236"/>
        <v>13.51994806699124</v>
      </c>
      <c r="AR309" s="31">
        <f t="shared" si="237"/>
        <v>1.4967639381174977</v>
      </c>
      <c r="AS309" s="58" t="str">
        <f t="shared" si="238"/>
        <v>-1.92366908008125+0.435675883076703i</v>
      </c>
      <c r="AT309" s="49">
        <f t="shared" si="239"/>
        <v>5.8998490219956512</v>
      </c>
      <c r="AU309" s="61">
        <f t="shared" si="240"/>
        <v>167.23883664073477</v>
      </c>
      <c r="AV309" s="58" t="str">
        <f t="shared" si="217"/>
        <v>0.122511718056568+0.0302279221008673i</v>
      </c>
      <c r="AW309" s="64">
        <f t="shared" si="241"/>
        <v>-17.979792415083317</v>
      </c>
      <c r="AX309" s="61">
        <f t="shared" si="242"/>
        <v>13.86003916549844</v>
      </c>
    </row>
    <row r="310" spans="14:50" x14ac:dyDescent="0.25">
      <c r="N310" s="10">
        <v>92</v>
      </c>
      <c r="O310" s="50">
        <f t="shared" si="243"/>
        <v>8317.6377110267094</v>
      </c>
      <c r="P310" s="48" t="str">
        <f t="shared" si="208"/>
        <v>304.285714285714</v>
      </c>
      <c r="Q310" s="17" t="str">
        <f t="shared" si="209"/>
        <v>1+2721.31841800649i</v>
      </c>
      <c r="R310" s="17">
        <f t="shared" si="218"/>
        <v>2721.3186017409548</v>
      </c>
      <c r="S310" s="17">
        <f t="shared" si="219"/>
        <v>1.5704288578694037</v>
      </c>
      <c r="T310" s="17" t="str">
        <f t="shared" si="210"/>
        <v>1+0.0564421597808752i</v>
      </c>
      <c r="U310" s="17">
        <f t="shared" si="220"/>
        <v>1.0015915921176306</v>
      </c>
      <c r="V310" s="17">
        <f t="shared" si="221"/>
        <v>5.6382337827963945E-2</v>
      </c>
      <c r="W310" s="31" t="str">
        <f t="shared" si="211"/>
        <v>1-0.176381749315235i</v>
      </c>
      <c r="X310" s="17">
        <f t="shared" si="222"/>
        <v>1.0154361237869678</v>
      </c>
      <c r="Y310" s="17">
        <f t="shared" si="223"/>
        <v>-0.17458604183309478</v>
      </c>
      <c r="Z310" s="31" t="str">
        <f t="shared" si="212"/>
        <v>0.995656085283849+1.5559426296771i</v>
      </c>
      <c r="AA310" s="17">
        <f t="shared" si="224"/>
        <v>1.8472380753463395</v>
      </c>
      <c r="AB310" s="17">
        <f t="shared" si="225"/>
        <v>1.0015502523386448</v>
      </c>
      <c r="AC310" s="66" t="str">
        <f t="shared" si="226"/>
        <v>-0.0553967753944967-0.0268560833921721i</v>
      </c>
      <c r="AD310" s="64">
        <f t="shared" si="227"/>
        <v>-24.213548383732913</v>
      </c>
      <c r="AE310" s="61">
        <f t="shared" si="228"/>
        <v>-154.13612137304159</v>
      </c>
      <c r="AF310" s="31" t="str">
        <f t="shared" si="213"/>
        <v>-1512.12121212121</v>
      </c>
      <c r="AG310" s="31" t="str">
        <f t="shared" si="229"/>
        <v>52261.2590563659i</v>
      </c>
      <c r="AH310" s="31">
        <f t="shared" si="230"/>
        <v>52261.259056365903</v>
      </c>
      <c r="AI310" s="31">
        <f t="shared" si="231"/>
        <v>1.5707963267948966</v>
      </c>
      <c r="AJ310" s="31" t="str">
        <f t="shared" si="214"/>
        <v>-10.8734833912758+72.0299687358402i</v>
      </c>
      <c r="AK310" s="31">
        <f t="shared" si="232"/>
        <v>72.846063978409063</v>
      </c>
      <c r="AL310" s="31">
        <f t="shared" si="233"/>
        <v>1.720622836071068</v>
      </c>
      <c r="AM310" s="31" t="str">
        <f t="shared" si="215"/>
        <v>1+358.721282162895i</v>
      </c>
      <c r="AN310" s="31">
        <f t="shared" si="234"/>
        <v>358.72267599998662</v>
      </c>
      <c r="AO310" s="31">
        <f t="shared" si="235"/>
        <v>1.5680086544170639</v>
      </c>
      <c r="AP310" s="31" t="str">
        <f t="shared" si="216"/>
        <v>1+13.7969723908806i</v>
      </c>
      <c r="AQ310" s="31">
        <f t="shared" si="236"/>
        <v>13.833164755569188</v>
      </c>
      <c r="AR310" s="31">
        <f t="shared" si="237"/>
        <v>1.4984431778796465</v>
      </c>
      <c r="AS310" s="58" t="str">
        <f t="shared" si="238"/>
        <v>-1.92130878616541+0.439674204108377i</v>
      </c>
      <c r="AT310" s="49">
        <f t="shared" si="239"/>
        <v>5.8936205328166755</v>
      </c>
      <c r="AU310" s="61">
        <f t="shared" si="240"/>
        <v>167.1103214300573</v>
      </c>
      <c r="AV310" s="58" t="str">
        <f t="shared" si="217"/>
        <v>0.1182422383816+0.0272422958516253i</v>
      </c>
      <c r="AW310" s="64">
        <f t="shared" si="241"/>
        <v>-18.319927850916219</v>
      </c>
      <c r="AX310" s="61">
        <f t="shared" si="242"/>
        <v>12.974200057015674</v>
      </c>
    </row>
    <row r="311" spans="14:50" x14ac:dyDescent="0.25">
      <c r="N311" s="10">
        <v>93</v>
      </c>
      <c r="O311" s="50">
        <f t="shared" si="243"/>
        <v>8511.3803820237772</v>
      </c>
      <c r="P311" s="48" t="str">
        <f t="shared" si="208"/>
        <v>304.285714285714</v>
      </c>
      <c r="Q311" s="17" t="str">
        <f t="shared" si="209"/>
        <v>1+2784.70606691059i</v>
      </c>
      <c r="R311" s="17">
        <f t="shared" si="218"/>
        <v>2784.7062464627479</v>
      </c>
      <c r="S311" s="17">
        <f t="shared" si="219"/>
        <v>1.5704372224826328</v>
      </c>
      <c r="T311" s="17" t="str">
        <f t="shared" si="210"/>
        <v>1+0.0577568665729603i</v>
      </c>
      <c r="U311" s="17">
        <f t="shared" si="220"/>
        <v>1.0016665391418078</v>
      </c>
      <c r="V311" s="17">
        <f t="shared" si="221"/>
        <v>5.7692771954074989E-2</v>
      </c>
      <c r="W311" s="31" t="str">
        <f t="shared" si="211"/>
        <v>1-0.180490208040501i</v>
      </c>
      <c r="X311" s="17">
        <f t="shared" si="222"/>
        <v>1.0161578200252672</v>
      </c>
      <c r="Y311" s="17">
        <f t="shared" si="223"/>
        <v>-0.17856772136759327</v>
      </c>
      <c r="Z311" s="31" t="str">
        <f t="shared" si="212"/>
        <v>0.99545136289042+1.59218518933946i</v>
      </c>
      <c r="AA311" s="17">
        <f t="shared" si="224"/>
        <v>1.8777585289467671</v>
      </c>
      <c r="AB311" s="17">
        <f t="shared" si="225"/>
        <v>1.0120454452043137</v>
      </c>
      <c r="AC311" s="66" t="str">
        <f t="shared" si="226"/>
        <v>-0.0536335057192819-0.0251340646447295i</v>
      </c>
      <c r="AD311" s="64">
        <f t="shared" si="227"/>
        <v>-24.549064776194175</v>
      </c>
      <c r="AE311" s="61">
        <f t="shared" si="228"/>
        <v>-154.89098197439981</v>
      </c>
      <c r="AF311" s="31" t="str">
        <f t="shared" si="213"/>
        <v>-1512.12121212121</v>
      </c>
      <c r="AG311" s="31" t="str">
        <f t="shared" si="229"/>
        <v>53478.5801601484i</v>
      </c>
      <c r="AH311" s="31">
        <f t="shared" si="230"/>
        <v>53478.580160148398</v>
      </c>
      <c r="AI311" s="31">
        <f t="shared" si="231"/>
        <v>1.5707963267948966</v>
      </c>
      <c r="AJ311" s="31" t="str">
        <f t="shared" si="214"/>
        <v>-11.4330634238131+73.7077622415872i</v>
      </c>
      <c r="AK311" s="31">
        <f t="shared" si="232"/>
        <v>74.589202663088443</v>
      </c>
      <c r="AL311" s="31">
        <f t="shared" si="233"/>
        <v>1.7246833885577664</v>
      </c>
      <c r="AM311" s="31" t="str">
        <f t="shared" si="215"/>
        <v>1+367.076974219258i</v>
      </c>
      <c r="AN311" s="31">
        <f t="shared" si="234"/>
        <v>367.07833632886286</v>
      </c>
      <c r="AO311" s="31">
        <f t="shared" si="235"/>
        <v>1.5680721092698431</v>
      </c>
      <c r="AP311" s="31" t="str">
        <f t="shared" si="216"/>
        <v>1+14.1183451622792i</v>
      </c>
      <c r="AQ311" s="31">
        <f t="shared" si="236"/>
        <v>14.153715770823309</v>
      </c>
      <c r="AR311" s="31">
        <f t="shared" si="237"/>
        <v>1.5000845885543515</v>
      </c>
      <c r="AS311" s="58" t="str">
        <f t="shared" si="238"/>
        <v>-1.91884878973108+0.44387075280442i</v>
      </c>
      <c r="AT311" s="49">
        <f t="shared" si="239"/>
        <v>5.8871999490522562</v>
      </c>
      <c r="AU311" s="61">
        <f t="shared" si="240"/>
        <v>166.97535050944026</v>
      </c>
      <c r="AV311" s="58" t="str">
        <f t="shared" si="217"/>
        <v>0.11407086373337+0.0244221249654041i</v>
      </c>
      <c r="AW311" s="64">
        <f t="shared" si="241"/>
        <v>-18.661864827141926</v>
      </c>
      <c r="AX311" s="61">
        <f t="shared" si="242"/>
        <v>12.084368535040456</v>
      </c>
    </row>
    <row r="312" spans="14:50" x14ac:dyDescent="0.25">
      <c r="N312" s="10">
        <v>94</v>
      </c>
      <c r="O312" s="50">
        <f t="shared" si="243"/>
        <v>8709.6358995608189</v>
      </c>
      <c r="P312" s="48" t="str">
        <f t="shared" si="208"/>
        <v>304.285714285714</v>
      </c>
      <c r="Q312" s="17" t="str">
        <f t="shared" si="209"/>
        <v>1+2849.57020383131i</v>
      </c>
      <c r="R312" s="17">
        <f t="shared" si="218"/>
        <v>2849.5703792963623</v>
      </c>
      <c r="S312" s="17">
        <f t="shared" si="219"/>
        <v>1.5704453966940677</v>
      </c>
      <c r="T312" s="17" t="str">
        <f t="shared" si="210"/>
        <v>1+0.0591021968202048i</v>
      </c>
      <c r="U312" s="17">
        <f t="shared" si="220"/>
        <v>1.0017450123005227</v>
      </c>
      <c r="V312" s="17">
        <f t="shared" si="221"/>
        <v>5.9033524658477096E-2</v>
      </c>
      <c r="W312" s="31" t="str">
        <f t="shared" si="211"/>
        <v>1-0.18469436506314i</v>
      </c>
      <c r="X312" s="17">
        <f t="shared" si="222"/>
        <v>1.0169129798001777</v>
      </c>
      <c r="Y312" s="17">
        <f t="shared" si="223"/>
        <v>-0.18263622934651222</v>
      </c>
      <c r="Z312" s="31" t="str">
        <f t="shared" si="212"/>
        <v>0.995236992227835+1.62927194666428i</v>
      </c>
      <c r="AA312" s="17">
        <f t="shared" si="224"/>
        <v>1.9091945282987588</v>
      </c>
      <c r="AB312" s="17">
        <f t="shared" si="225"/>
        <v>1.0224387467813048</v>
      </c>
      <c r="AC312" s="66" t="str">
        <f t="shared" si="226"/>
        <v>-0.0519049785740487-0.0234979358744756i</v>
      </c>
      <c r="AD312" s="64">
        <f t="shared" si="227"/>
        <v>-24.886140518207114</v>
      </c>
      <c r="AE312" s="61">
        <f t="shared" si="228"/>
        <v>-155.64323150255851</v>
      </c>
      <c r="AF312" s="31" t="str">
        <f t="shared" si="213"/>
        <v>-1512.12121212121</v>
      </c>
      <c r="AG312" s="31" t="str">
        <f t="shared" si="229"/>
        <v>54724.2563150044i</v>
      </c>
      <c r="AH312" s="31">
        <f t="shared" si="230"/>
        <v>54724.256315004401</v>
      </c>
      <c r="AI312" s="31">
        <f t="shared" si="231"/>
        <v>1.5707963267948966</v>
      </c>
      <c r="AJ312" s="31" t="str">
        <f t="shared" si="214"/>
        <v>-12.0190156508021+75.4246365785122i</v>
      </c>
      <c r="AK312" s="31">
        <f t="shared" si="232"/>
        <v>76.376256390418007</v>
      </c>
      <c r="AL312" s="31">
        <f t="shared" si="233"/>
        <v>1.7288190400048489</v>
      </c>
      <c r="AM312" s="31" t="str">
        <f t="shared" si="215"/>
        <v>1+375.627295346189i</v>
      </c>
      <c r="AN312" s="31">
        <f t="shared" si="234"/>
        <v>375.62862645050512</v>
      </c>
      <c r="AO312" s="31">
        <f t="shared" si="235"/>
        <v>1.5681341197350278</v>
      </c>
      <c r="AP312" s="31" t="str">
        <f t="shared" si="216"/>
        <v>1+14.4472036671612i</v>
      </c>
      <c r="AQ312" s="31">
        <f t="shared" si="236"/>
        <v>14.481771086453344</v>
      </c>
      <c r="AR312" s="31">
        <f t="shared" si="237"/>
        <v>1.5016890050407399</v>
      </c>
      <c r="AS312" s="58" t="str">
        <f t="shared" si="238"/>
        <v>-1.91628468157259+0.4482654091945i</v>
      </c>
      <c r="AT312" s="49">
        <f t="shared" si="239"/>
        <v>5.8805746085319779</v>
      </c>
      <c r="AU312" s="61">
        <f t="shared" si="240"/>
        <v>166.83387436717732</v>
      </c>
      <c r="AV312" s="58" t="str">
        <f t="shared" si="217"/>
        <v>0.109998027178801+0.0217615281051049i</v>
      </c>
      <c r="AW312" s="64">
        <f t="shared" si="241"/>
        <v>-19.005565909675134</v>
      </c>
      <c r="AX312" s="61">
        <f t="shared" si="242"/>
        <v>11.190642864618804</v>
      </c>
    </row>
    <row r="313" spans="14:50" x14ac:dyDescent="0.25">
      <c r="N313" s="10">
        <v>95</v>
      </c>
      <c r="O313" s="50">
        <f t="shared" si="243"/>
        <v>8912.5093813374679</v>
      </c>
      <c r="P313" s="48" t="str">
        <f t="shared" si="208"/>
        <v>304.285714285714</v>
      </c>
      <c r="Q313" s="17" t="str">
        <f t="shared" si="209"/>
        <v>1+2915.94522059262i</v>
      </c>
      <c r="R313" s="17">
        <f t="shared" si="218"/>
        <v>2915.9453920636001</v>
      </c>
      <c r="S313" s="17">
        <f t="shared" si="219"/>
        <v>1.5704533848377793</v>
      </c>
      <c r="T313" s="17" t="str">
        <f t="shared" si="210"/>
        <v>1+0.0604788638345134i</v>
      </c>
      <c r="U313" s="17">
        <f t="shared" si="220"/>
        <v>1.0018271771971021</v>
      </c>
      <c r="V313" s="17">
        <f t="shared" si="221"/>
        <v>6.040528753380988E-2</v>
      </c>
      <c r="W313" s="31" t="str">
        <f t="shared" si="211"/>
        <v>1-0.188996449482855i</v>
      </c>
      <c r="X313" s="17">
        <f t="shared" si="222"/>
        <v>1.0177031285778408</v>
      </c>
      <c r="Y313" s="17">
        <f t="shared" si="223"/>
        <v>-0.18679318392154762</v>
      </c>
      <c r="Z313" s="31" t="str">
        <f t="shared" si="212"/>
        <v>0.995012518587178+1.66722256554118i</v>
      </c>
      <c r="AA313" s="17">
        <f t="shared" si="224"/>
        <v>1.9415666342402247</v>
      </c>
      <c r="AB313" s="17">
        <f t="shared" si="225"/>
        <v>1.0327268575555784</v>
      </c>
      <c r="AC313" s="66" t="str">
        <f t="shared" si="226"/>
        <v>-0.0502119568990598-0.021944647803401i</v>
      </c>
      <c r="AD313" s="64">
        <f t="shared" si="227"/>
        <v>-25.224724093232211</v>
      </c>
      <c r="AE313" s="61">
        <f t="shared" si="228"/>
        <v>-156.39273424553608</v>
      </c>
      <c r="AF313" s="31" t="str">
        <f t="shared" si="213"/>
        <v>-1512.12121212121</v>
      </c>
      <c r="AG313" s="31" t="str">
        <f t="shared" si="229"/>
        <v>55998.9479949198i</v>
      </c>
      <c r="AH313" s="31">
        <f t="shared" si="230"/>
        <v>55998.947994919799</v>
      </c>
      <c r="AI313" s="31">
        <f t="shared" si="231"/>
        <v>1.5707963267948966</v>
      </c>
      <c r="AJ313" s="31" t="str">
        <f t="shared" si="214"/>
        <v>-12.6325829554764+77.1815020561142i</v>
      </c>
      <c r="AK313" s="31">
        <f t="shared" si="232"/>
        <v>78.208480433805605</v>
      </c>
      <c r="AL313" s="31">
        <f t="shared" si="233"/>
        <v>1.7330315346185681</v>
      </c>
      <c r="AM313" s="31" t="str">
        <f t="shared" si="215"/>
        <v>1+384.376779037129i</v>
      </c>
      <c r="AN313" s="31">
        <f t="shared" si="234"/>
        <v>384.37807984191534</v>
      </c>
      <c r="AO313" s="31">
        <f t="shared" si="235"/>
        <v>1.5681947186894787</v>
      </c>
      <c r="AP313" s="31" t="str">
        <f t="shared" si="216"/>
        <v>1+14.7837222706588i</v>
      </c>
      <c r="AQ313" s="31">
        <f t="shared" si="236"/>
        <v>14.817504654157291</v>
      </c>
      <c r="AR313" s="31">
        <f t="shared" si="237"/>
        <v>1.5032572449630155</v>
      </c>
      <c r="AS313" s="58" t="str">
        <f t="shared" si="238"/>
        <v>-1.91361190511949+0.452858006191658i</v>
      </c>
      <c r="AT313" s="49">
        <f t="shared" si="239"/>
        <v>5.8737314975443589</v>
      </c>
      <c r="AU313" s="61">
        <f t="shared" si="240"/>
        <v>166.68584179773285</v>
      </c>
      <c r="AV313" s="58" t="str">
        <f t="shared" si="217"/>
        <v>0.106024007952214+0.0192546526019527i</v>
      </c>
      <c r="AW313" s="64">
        <f t="shared" si="241"/>
        <v>-19.350992595687842</v>
      </c>
      <c r="AX313" s="61">
        <f t="shared" si="242"/>
        <v>10.293107552196764</v>
      </c>
    </row>
    <row r="314" spans="14:50" x14ac:dyDescent="0.25">
      <c r="N314" s="10">
        <v>96</v>
      </c>
      <c r="O314" s="50">
        <f t="shared" si="243"/>
        <v>9120.1083935591087</v>
      </c>
      <c r="P314" s="48" t="str">
        <f t="shared" si="208"/>
        <v>304.285714285714</v>
      </c>
      <c r="Q314" s="17" t="str">
        <f t="shared" si="209"/>
        <v>1+2983.86631010698i</v>
      </c>
      <c r="R314" s="17">
        <f t="shared" si="218"/>
        <v>2983.8664776748046</v>
      </c>
      <c r="S314" s="17">
        <f t="shared" si="219"/>
        <v>1.5704611911491828</v>
      </c>
      <c r="T314" s="17" t="str">
        <f t="shared" si="210"/>
        <v>1+0.0618875975429595i</v>
      </c>
      <c r="U314" s="17">
        <f t="shared" si="220"/>
        <v>1.0019132071839554</v>
      </c>
      <c r="V314" s="17">
        <f t="shared" si="221"/>
        <v>6.1808767244902148E-2</v>
      </c>
      <c r="W314" s="31" t="str">
        <f t="shared" si="211"/>
        <v>1-0.193398742321749i</v>
      </c>
      <c r="X314" s="17">
        <f t="shared" si="222"/>
        <v>1.0185298589298373</v>
      </c>
      <c r="Y314" s="17">
        <f t="shared" si="223"/>
        <v>-0.19104021421816056</v>
      </c>
      <c r="Z314" s="31" t="str">
        <f t="shared" si="212"/>
        <v>0.994777465829761+1.70605716789063i</v>
      </c>
      <c r="AA314" s="17">
        <f t="shared" si="224"/>
        <v>1.9748957609538988</v>
      </c>
      <c r="AB314" s="17">
        <f t="shared" si="225"/>
        <v>1.0429066925365067</v>
      </c>
      <c r="AC314" s="66" t="str">
        <f t="shared" si="226"/>
        <v>-0.0485550987062761-0.0204711742800722i</v>
      </c>
      <c r="AD314" s="64">
        <f t="shared" si="227"/>
        <v>-25.564762658076312</v>
      </c>
      <c r="AE314" s="61">
        <f t="shared" si="228"/>
        <v>-157.13936654216226</v>
      </c>
      <c r="AF314" s="31" t="str">
        <f t="shared" si="213"/>
        <v>-1512.12121212121</v>
      </c>
      <c r="AG314" s="31" t="str">
        <f t="shared" si="229"/>
        <v>57303.3310582958i</v>
      </c>
      <c r="AH314" s="31">
        <f t="shared" si="230"/>
        <v>57303.3310582958</v>
      </c>
      <c r="AI314" s="31">
        <f t="shared" si="231"/>
        <v>1.5707963267948966</v>
      </c>
      <c r="AJ314" s="31" t="str">
        <f t="shared" si="214"/>
        <v>-13.2750667963514+78.9792901877242i</v>
      </c>
      <c r="AK314" s="31">
        <f t="shared" si="232"/>
        <v>80.087175483995807</v>
      </c>
      <c r="AL314" s="31">
        <f t="shared" si="233"/>
        <v>1.7373226272266979</v>
      </c>
      <c r="AM314" s="31" t="str">
        <f t="shared" si="215"/>
        <v>1+393.330064384142i</v>
      </c>
      <c r="AN314" s="31">
        <f t="shared" si="234"/>
        <v>393.33133557909332</v>
      </c>
      <c r="AO314" s="31">
        <f t="shared" si="235"/>
        <v>1.5682539382617826</v>
      </c>
      <c r="AP314" s="31" t="str">
        <f t="shared" si="216"/>
        <v>1+15.1280793993901i</v>
      </c>
      <c r="AQ314" s="31">
        <f t="shared" si="236"/>
        <v>15.161094495921166</v>
      </c>
      <c r="AR314" s="31">
        <f t="shared" si="237"/>
        <v>1.5047901089502587</v>
      </c>
      <c r="AS314" s="58" t="str">
        <f t="shared" si="238"/>
        <v>-1.91082575322451+0.457648320519623i</v>
      </c>
      <c r="AT314" s="49">
        <f t="shared" si="239"/>
        <v>5.8666572312591603</v>
      </c>
      <c r="AU314" s="61">
        <f t="shared" si="240"/>
        <v>166.53119997038141</v>
      </c>
      <c r="AV314" s="58" t="str">
        <f t="shared" si="217"/>
        <v>0.10214893158665+0.0168956876375174i</v>
      </c>
      <c r="AW314" s="64">
        <f t="shared" si="241"/>
        <v>-19.698105426817147</v>
      </c>
      <c r="AX314" s="61">
        <f t="shared" si="242"/>
        <v>9.3918334282191438</v>
      </c>
    </row>
    <row r="315" spans="14:50" x14ac:dyDescent="0.25">
      <c r="N315" s="10">
        <v>97</v>
      </c>
      <c r="O315" s="50">
        <f t="shared" si="243"/>
        <v>9332.5430079699217</v>
      </c>
      <c r="P315" s="48" t="str">
        <f t="shared" si="208"/>
        <v>304.285714285714</v>
      </c>
      <c r="Q315" s="17" t="str">
        <f t="shared" si="209"/>
        <v>1+3053.3694850351i</v>
      </c>
      <c r="R315" s="17">
        <f t="shared" si="218"/>
        <v>3053.369648788615</v>
      </c>
      <c r="S315" s="17">
        <f t="shared" si="219"/>
        <v>1.5704688197672843</v>
      </c>
      <c r="T315" s="17" t="str">
        <f t="shared" si="210"/>
        <v>1+0.0633291448748019i</v>
      </c>
      <c r="U315" s="17">
        <f t="shared" si="220"/>
        <v>1.0020032837224506</v>
      </c>
      <c r="V315" s="17">
        <f t="shared" si="221"/>
        <v>6.3244685806693221E-2</v>
      </c>
      <c r="W315" s="31" t="str">
        <f t="shared" si="211"/>
        <v>1-0.197903577733756i</v>
      </c>
      <c r="X315" s="17">
        <f t="shared" si="222"/>
        <v>1.0193948332612937</v>
      </c>
      <c r="Y315" s="17">
        <f t="shared" si="223"/>
        <v>-0.19537895893273599</v>
      </c>
      <c r="Z315" s="31" t="str">
        <f t="shared" si="212"/>
        <v>0.994531335377171+1.74579634433283i</v>
      </c>
      <c r="AA315" s="17">
        <f t="shared" si="224"/>
        <v>2.0092031885633101</v>
      </c>
      <c r="AB315" s="17">
        <f t="shared" si="225"/>
        <v>1.0529753816949514</v>
      </c>
      <c r="AC315" s="66" t="str">
        <f t="shared" si="226"/>
        <v>-0.0469349590048405-0.0190745185645679i</v>
      </c>
      <c r="AD315" s="64">
        <f t="shared" si="227"/>
        <v>-25.906202134403685</v>
      </c>
      <c r="AE315" s="61">
        <f t="shared" si="228"/>
        <v>-157.88301671100569</v>
      </c>
      <c r="AF315" s="31" t="str">
        <f t="shared" si="213"/>
        <v>-1512.12121212121</v>
      </c>
      <c r="AG315" s="31" t="str">
        <f t="shared" si="229"/>
        <v>58638.0971062981i</v>
      </c>
      <c r="AH315" s="31">
        <f t="shared" si="230"/>
        <v>58638.097106298097</v>
      </c>
      <c r="AI315" s="31">
        <f t="shared" si="231"/>
        <v>1.5707963267948966</v>
      </c>
      <c r="AJ315" s="31" t="str">
        <f t="shared" si="214"/>
        <v>-13.947829967793+80.8189541844063i</v>
      </c>
      <c r="AK315" s="31">
        <f t="shared" si="232"/>
        <v>82.01368981012638</v>
      </c>
      <c r="AL315" s="31">
        <f t="shared" si="233"/>
        <v>1.7416940822757976</v>
      </c>
      <c r="AM315" s="31" t="str">
        <f t="shared" si="215"/>
        <v>1+402.491898537629i</v>
      </c>
      <c r="AN315" s="31">
        <f t="shared" si="234"/>
        <v>402.49314079674082</v>
      </c>
      <c r="AO315" s="31">
        <f t="shared" si="235"/>
        <v>1.5683118098492779</v>
      </c>
      <c r="AP315" s="31" t="str">
        <f t="shared" si="216"/>
        <v>1+15.4804576360627i</v>
      </c>
      <c r="AQ315" s="31">
        <f t="shared" si="236"/>
        <v>15.512722798462299</v>
      </c>
      <c r="AR315" s="31">
        <f t="shared" si="237"/>
        <v>1.5062883809172087</v>
      </c>
      <c r="AS315" s="58" t="str">
        <f t="shared" si="238"/>
        <v>-1.90792136516645+0.462636063168401i</v>
      </c>
      <c r="AT315" s="49">
        <f t="shared" si="239"/>
        <v>5.8593380340210333</v>
      </c>
      <c r="AU315" s="61">
        <f t="shared" si="240"/>
        <v>166.36989450372309</v>
      </c>
      <c r="AV315" s="58" t="str">
        <f t="shared" si="217"/>
        <v>0.0983727712340909+0.0146788768406335i</v>
      </c>
      <c r="AW315" s="64">
        <f t="shared" si="241"/>
        <v>-20.046864100382656</v>
      </c>
      <c r="AX315" s="61">
        <f t="shared" si="242"/>
        <v>8.4868777927174044</v>
      </c>
    </row>
    <row r="316" spans="14:50" x14ac:dyDescent="0.25">
      <c r="N316" s="10">
        <v>98</v>
      </c>
      <c r="O316" s="50">
        <f t="shared" si="243"/>
        <v>9549.9258602143691</v>
      </c>
      <c r="P316" s="48" t="str">
        <f t="shared" si="208"/>
        <v>304.285714285714</v>
      </c>
      <c r="Q316" s="17" t="str">
        <f t="shared" si="209"/>
        <v>1+3124.49159688032i</v>
      </c>
      <c r="R316" s="17">
        <f t="shared" si="218"/>
        <v>3124.4917569063505</v>
      </c>
      <c r="S316" s="17">
        <f t="shared" si="219"/>
        <v>1.5704762747368741</v>
      </c>
      <c r="T316" s="17" t="str">
        <f t="shared" si="210"/>
        <v>1+0.0648042701575176i</v>
      </c>
      <c r="U316" s="17">
        <f t="shared" si="220"/>
        <v>1.002097596759242</v>
      </c>
      <c r="V316" s="17">
        <f t="shared" si="221"/>
        <v>6.4713780863520143E-2</v>
      </c>
      <c r="W316" s="31" t="str">
        <f t="shared" si="211"/>
        <v>1-0.202513344242243i</v>
      </c>
      <c r="X316" s="17">
        <f t="shared" si="222"/>
        <v>1.0202997866294872</v>
      </c>
      <c r="Y316" s="17">
        <f t="shared" si="223"/>
        <v>-0.19981106480658542</v>
      </c>
      <c r="Z316" s="31" t="str">
        <f t="shared" si="212"/>
        <v>0.99427360515372+1.78646116510514i</v>
      </c>
      <c r="AA316" s="17">
        <f t="shared" si="224"/>
        <v>2.0445105762343689</v>
      </c>
      <c r="AB316" s="17">
        <f t="shared" si="225"/>
        <v>1.0629302695639538</v>
      </c>
      <c r="AC316" s="66" t="str">
        <f t="shared" si="226"/>
        <v>-0.0453519922117591-0.0177517192803592i</v>
      </c>
      <c r="AD316" s="64">
        <f t="shared" si="227"/>
        <v>-26.248987297611958</v>
      </c>
      <c r="AE316" s="61">
        <f t="shared" si="228"/>
        <v>-158.62358492418645</v>
      </c>
      <c r="AF316" s="31" t="str">
        <f t="shared" si="213"/>
        <v>-1512.12121212121</v>
      </c>
      <c r="AG316" s="31" t="str">
        <f t="shared" si="229"/>
        <v>60003.9538495533i</v>
      </c>
      <c r="AH316" s="31">
        <f t="shared" si="230"/>
        <v>60003.953849553298</v>
      </c>
      <c r="AI316" s="31">
        <f t="shared" si="231"/>
        <v>1.5707963267948966</v>
      </c>
      <c r="AJ316" s="31" t="str">
        <f t="shared" si="214"/>
        <v>-14.6522994906868+82.7014694603623i</v>
      </c>
      <c r="AK316" s="31">
        <f t="shared" si="232"/>
        <v>83.989421543835036</v>
      </c>
      <c r="AL316" s="31">
        <f t="shared" si="233"/>
        <v>1.7461476727207275</v>
      </c>
      <c r="AM316" s="31" t="str">
        <f t="shared" si="215"/>
        <v>1+411.867139223333i</v>
      </c>
      <c r="AN316" s="31">
        <f t="shared" si="234"/>
        <v>411.8683532052595</v>
      </c>
      <c r="AO316" s="31">
        <f t="shared" si="235"/>
        <v>1.568368364134695</v>
      </c>
      <c r="AP316" s="31" t="str">
        <f t="shared" si="216"/>
        <v>1+15.8410438162821i</v>
      </c>
      <c r="AQ316" s="31">
        <f t="shared" si="236"/>
        <v>15.872576009878465</v>
      </c>
      <c r="AR316" s="31">
        <f t="shared" si="237"/>
        <v>1.5077528283455457</v>
      </c>
      <c r="AS316" s="58" t="str">
        <f t="shared" si="238"/>
        <v>-1.90489372390172+0.46782086936292i</v>
      </c>
      <c r="AT316" s="49">
        <f t="shared" si="239"/>
        <v>5.8517597195319802</v>
      </c>
      <c r="AU316" s="61">
        <f t="shared" si="240"/>
        <v>166.20186954637907</v>
      </c>
      <c r="AV316" s="58" t="str">
        <f t="shared" si="217"/>
        <v>0.0946953500770437+0.0125985302217759i</v>
      </c>
      <c r="AW316" s="64">
        <f t="shared" si="241"/>
        <v>-20.397227578079985</v>
      </c>
      <c r="AX316" s="61">
        <f t="shared" si="242"/>
        <v>7.5782846221926397</v>
      </c>
    </row>
    <row r="317" spans="14:50" x14ac:dyDescent="0.25">
      <c r="N317" s="10">
        <v>99</v>
      </c>
      <c r="O317" s="50">
        <f t="shared" si="243"/>
        <v>9772.3722095581161</v>
      </c>
      <c r="P317" s="48" t="str">
        <f t="shared" si="208"/>
        <v>304.285714285714</v>
      </c>
      <c r="Q317" s="17" t="str">
        <f t="shared" si="209"/>
        <v>1+3197.27035552773i</v>
      </c>
      <c r="R317" s="17">
        <f t="shared" si="218"/>
        <v>3197.2705119111229</v>
      </c>
      <c r="S317" s="17">
        <f t="shared" si="219"/>
        <v>1.5704835600106728</v>
      </c>
      <c r="T317" s="17" t="str">
        <f t="shared" si="210"/>
        <v>1+0.0663137555220566i</v>
      </c>
      <c r="U317" s="17">
        <f t="shared" si="220"/>
        <v>1.0021963451197771</v>
      </c>
      <c r="V317" s="17">
        <f t="shared" si="221"/>
        <v>6.6216805969447817E-2</v>
      </c>
      <c r="W317" s="31" t="str">
        <f t="shared" si="211"/>
        <v>1-0.207230486006427i</v>
      </c>
      <c r="X317" s="17">
        <f t="shared" si="222"/>
        <v>1.0212465296540596</v>
      </c>
      <c r="Y317" s="17">
        <f t="shared" si="223"/>
        <v>-0.20433818497044209</v>
      </c>
      <c r="Z317" s="31" t="str">
        <f t="shared" si="212"/>
        <v>0.994003728479048+1.8280731912338i</v>
      </c>
      <c r="AA317" s="17">
        <f t="shared" si="224"/>
        <v>2.0808399757641092</v>
      </c>
      <c r="AB317" s="17">
        <f t="shared" si="225"/>
        <v>1.0727689140470049</v>
      </c>
      <c r="AC317" s="66" t="str">
        <f t="shared" si="226"/>
        <v>-0.0438065549999992-0.0164998560013025i</v>
      </c>
      <c r="AD317" s="64">
        <f t="shared" si="227"/>
        <v>-26.59306186261059</v>
      </c>
      <c r="AE317" s="61">
        <f t="shared" si="228"/>
        <v>-159.36098302830192</v>
      </c>
      <c r="AF317" s="31" t="str">
        <f t="shared" si="213"/>
        <v>-1512.12121212121</v>
      </c>
      <c r="AG317" s="31" t="str">
        <f t="shared" si="229"/>
        <v>61401.6254833857i</v>
      </c>
      <c r="AH317" s="31">
        <f t="shared" si="230"/>
        <v>61401.625483385702</v>
      </c>
      <c r="AI317" s="31">
        <f t="shared" si="231"/>
        <v>1.5707963267948966</v>
      </c>
      <c r="AJ317" s="31" t="str">
        <f t="shared" si="214"/>
        <v>-15.3899696393408+84.6278341501095i</v>
      </c>
      <c r="AK317" s="31">
        <f t="shared" si="232"/>
        <v>86.015821093786414</v>
      </c>
      <c r="AL317" s="31">
        <f t="shared" si="233"/>
        <v>1.750685178800522</v>
      </c>
      <c r="AM317" s="31" t="str">
        <f t="shared" si="215"/>
        <v>1+421.460757317958i</v>
      </c>
      <c r="AN317" s="31">
        <f t="shared" si="234"/>
        <v>421.46194366636081</v>
      </c>
      <c r="AO317" s="31">
        <f t="shared" si="235"/>
        <v>1.5684236311024167</v>
      </c>
      <c r="AP317" s="31" t="str">
        <f t="shared" si="216"/>
        <v>1+16.2100291276138i</v>
      </c>
      <c r="AQ317" s="31">
        <f t="shared" si="236"/>
        <v>16.24084493855193</v>
      </c>
      <c r="AR317" s="31">
        <f t="shared" si="237"/>
        <v>1.50918420256521</v>
      </c>
      <c r="AS317" s="58" t="str">
        <f t="shared" si="238"/>
        <v>-1.90173765360056+0.473202288030575i</v>
      </c>
      <c r="AT317" s="49">
        <f t="shared" si="239"/>
        <v>5.8439076709414293</v>
      </c>
      <c r="AU317" s="61">
        <f t="shared" si="240"/>
        <v>166.02706786417943</v>
      </c>
      <c r="AV317" s="58" t="str">
        <f t="shared" si="217"/>
        <v>0.0911163447300137+0.0106490353799273i</v>
      </c>
      <c r="AW317" s="64">
        <f t="shared" si="241"/>
        <v>-20.749154191669156</v>
      </c>
      <c r="AX317" s="61">
        <f t="shared" si="242"/>
        <v>6.666084835877542</v>
      </c>
    </row>
    <row r="318" spans="14:50" x14ac:dyDescent="0.25">
      <c r="N318" s="10">
        <v>100</v>
      </c>
      <c r="O318" s="50">
        <f t="shared" si="243"/>
        <v>10000</v>
      </c>
      <c r="P318" s="48" t="str">
        <f t="shared" si="208"/>
        <v>304.285714285714</v>
      </c>
      <c r="Q318" s="17" t="str">
        <f t="shared" si="209"/>
        <v>1+3271.74434923852i</v>
      </c>
      <c r="R318" s="17">
        <f t="shared" si="218"/>
        <v>3271.7445020621931</v>
      </c>
      <c r="S318" s="17">
        <f t="shared" si="219"/>
        <v>1.570490679451426</v>
      </c>
      <c r="T318" s="17" t="str">
        <f t="shared" si="210"/>
        <v>1+0.0678584013175396i</v>
      </c>
      <c r="U318" s="17">
        <f t="shared" si="220"/>
        <v>1.0022997369197362</v>
      </c>
      <c r="V318" s="17">
        <f t="shared" si="221"/>
        <v>6.7754530869298404E-2</v>
      </c>
      <c r="W318" s="31" t="str">
        <f t="shared" si="211"/>
        <v>1-0.212057504117311i</v>
      </c>
      <c r="X318" s="17">
        <f t="shared" si="222"/>
        <v>1.0222369515197851</v>
      </c>
      <c r="Y318" s="17">
        <f t="shared" si="223"/>
        <v>-0.20896197715304285</v>
      </c>
      <c r="Z318" s="31" t="str">
        <f t="shared" si="212"/>
        <v>0.993721132908547+1.87065448596587i</v>
      </c>
      <c r="AA318" s="17">
        <f t="shared" si="224"/>
        <v>2.1182138456381781</v>
      </c>
      <c r="AB318" s="17">
        <f t="shared" si="225"/>
        <v>1.0824890844823871</v>
      </c>
      <c r="AC318" s="66" t="str">
        <f t="shared" si="226"/>
        <v>-0.0422989095349614-0.0153160544480225i</v>
      </c>
      <c r="AD318" s="64">
        <f t="shared" si="227"/>
        <v>-26.938368566096329</v>
      </c>
      <c r="AE318" s="61">
        <f t="shared" si="228"/>
        <v>-160.09513431489975</v>
      </c>
      <c r="AF318" s="31" t="str">
        <f t="shared" si="213"/>
        <v>-1512.12121212121</v>
      </c>
      <c r="AG318" s="31" t="str">
        <f t="shared" si="229"/>
        <v>62831.8530717959i</v>
      </c>
      <c r="AH318" s="31">
        <f t="shared" si="230"/>
        <v>62831.8530717959</v>
      </c>
      <c r="AI318" s="31">
        <f t="shared" si="231"/>
        <v>1.5707963267948966</v>
      </c>
      <c r="AJ318" s="31" t="str">
        <f t="shared" si="214"/>
        <v>-16.1624051110412+86.5990696377049i</v>
      </c>
      <c r="AK318" s="31">
        <f t="shared" si="232"/>
        <v>88.094393698404403</v>
      </c>
      <c r="AL318" s="31">
        <f t="shared" si="233"/>
        <v>1.7553083866945496</v>
      </c>
      <c r="AM318" s="31" t="str">
        <f t="shared" si="215"/>
        <v>1+431.277839484806i</v>
      </c>
      <c r="AN318" s="31">
        <f t="shared" si="234"/>
        <v>431.27899882869571</v>
      </c>
      <c r="AO318" s="31">
        <f t="shared" si="235"/>
        <v>1.5684776400543694</v>
      </c>
      <c r="AP318" s="31" t="str">
        <f t="shared" si="216"/>
        <v>1+16.5876092109541i</v>
      </c>
      <c r="AQ318" s="31">
        <f t="shared" si="236"/>
        <v>16.617724854363466</v>
      </c>
      <c r="AR318" s="31">
        <f t="shared" si="237"/>
        <v>1.5105832390353575</v>
      </c>
      <c r="AS318" s="58" t="str">
        <f t="shared" si="238"/>
        <v>-1.89844781750744+0.478779770754889i</v>
      </c>
      <c r="AT318" s="49">
        <f t="shared" si="239"/>
        <v>5.8357668208691349</v>
      </c>
      <c r="AU318" s="61">
        <f t="shared" si="240"/>
        <v>165.84543093416733</v>
      </c>
      <c r="AV318" s="58" t="str">
        <f t="shared" si="217"/>
        <v>0.0876352895270857+0.00882486792934283i</v>
      </c>
      <c r="AW318" s="64">
        <f t="shared" si="241"/>
        <v>-21.102601745227197</v>
      </c>
      <c r="AX318" s="61">
        <f t="shared" si="242"/>
        <v>5.7502966192675684</v>
      </c>
    </row>
    <row r="319" spans="14:50" x14ac:dyDescent="0.25">
      <c r="N319" s="10">
        <v>1</v>
      </c>
      <c r="O319" s="50">
        <f>10^(4+(N319/100))</f>
        <v>10232.929922807549</v>
      </c>
      <c r="P319" s="48" t="str">
        <f t="shared" si="208"/>
        <v>304.285714285714</v>
      </c>
      <c r="Q319" s="17" t="str">
        <f t="shared" si="209"/>
        <v>1+3347.95306510994i</v>
      </c>
      <c r="R319" s="17">
        <f t="shared" si="218"/>
        <v>3347.9532144549216</v>
      </c>
      <c r="S319" s="17">
        <f t="shared" si="219"/>
        <v>1.5704976368339523</v>
      </c>
      <c r="T319" s="17" t="str">
        <f t="shared" si="210"/>
        <v>1+0.0694390265356133i</v>
      </c>
      <c r="U319" s="17">
        <f t="shared" si="220"/>
        <v>1.0024079899951983</v>
      </c>
      <c r="V319" s="17">
        <f t="shared" si="221"/>
        <v>6.932774177999261E-2</v>
      </c>
      <c r="W319" s="31" t="str">
        <f t="shared" si="211"/>
        <v>1-0.216996957923792i</v>
      </c>
      <c r="X319" s="17">
        <f t="shared" si="222"/>
        <v>1.0232730230726206</v>
      </c>
      <c r="Y319" s="17">
        <f t="shared" si="223"/>
        <v>-0.21368410174725569</v>
      </c>
      <c r="Z319" s="31" t="str">
        <f t="shared" si="212"/>
        <v>0.993425219019122+1.91422762646743i</v>
      </c>
      <c r="AA319" s="17">
        <f t="shared" si="224"/>
        <v>2.1566550655388359</v>
      </c>
      <c r="AB319" s="17">
        <f t="shared" si="225"/>
        <v>1.0920887590148296</v>
      </c>
      <c r="AC319" s="66" t="str">
        <f t="shared" si="226"/>
        <v>-0.0408292270497623-0.014197491273945i</v>
      </c>
      <c r="AD319" s="64">
        <f t="shared" si="227"/>
        <v>-27.284849244977721</v>
      </c>
      <c r="AE319" s="61">
        <f t="shared" si="228"/>
        <v>-160.82597324307983</v>
      </c>
      <c r="AF319" s="31" t="str">
        <f t="shared" si="213"/>
        <v>-1512.12121212121</v>
      </c>
      <c r="AG319" s="31" t="str">
        <f t="shared" si="229"/>
        <v>64295.3949403827i</v>
      </c>
      <c r="AH319" s="31">
        <f t="shared" si="230"/>
        <v>64295.394940382699</v>
      </c>
      <c r="AI319" s="31">
        <f t="shared" si="231"/>
        <v>1.5707963267948966</v>
      </c>
      <c r="AJ319" s="31" t="str">
        <f t="shared" si="214"/>
        <v>-16.9712443449859+88.6162210982965i</v>
      </c>
      <c r="AK319" s="31">
        <f t="shared" si="232"/>
        <v>90.22670212503273</v>
      </c>
      <c r="AL319" s="31">
        <f t="shared" si="233"/>
        <v>1.7600190870527757</v>
      </c>
      <c r="AM319" s="31" t="str">
        <f t="shared" si="215"/>
        <v>1+441.323590870786i</v>
      </c>
      <c r="AN319" s="31">
        <f t="shared" si="234"/>
        <v>441.32472382485543</v>
      </c>
      <c r="AO319" s="31">
        <f t="shared" si="235"/>
        <v>1.5685304196255536</v>
      </c>
      <c r="AP319" s="31" t="str">
        <f t="shared" si="216"/>
        <v>1+16.973984264261i</v>
      </c>
      <c r="AQ319" s="31">
        <f t="shared" si="236"/>
        <v>17.003415592267924</v>
      </c>
      <c r="AR319" s="31">
        <f t="shared" si="237"/>
        <v>1.5119506576245652</v>
      </c>
      <c r="AS319" s="58" t="str">
        <f t="shared" si="238"/>
        <v>-1.89501871616784+0.484552660204003i</v>
      </c>
      <c r="AT319" s="49">
        <f t="shared" si="239"/>
        <v>5.8273216313886369</v>
      </c>
      <c r="AU319" s="61">
        <f t="shared" si="240"/>
        <v>165.65689904575288</v>
      </c>
      <c r="AV319" s="58" t="str">
        <f t="shared" si="217"/>
        <v>0.084251581590979+0.00712060110571981i</v>
      </c>
      <c r="AW319" s="64">
        <f t="shared" si="241"/>
        <v>-21.457527613589082</v>
      </c>
      <c r="AX319" s="61">
        <f t="shared" si="242"/>
        <v>4.8309258026730619</v>
      </c>
    </row>
    <row r="320" spans="14:50" x14ac:dyDescent="0.25">
      <c r="N320" s="10">
        <v>2</v>
      </c>
      <c r="O320" s="50">
        <f t="shared" ref="O320:O383" si="244">10^(4+(N320/100))</f>
        <v>10471.285480509003</v>
      </c>
      <c r="P320" s="48" t="str">
        <f t="shared" si="208"/>
        <v>304.285714285714</v>
      </c>
      <c r="Q320" s="17" t="str">
        <f t="shared" si="209"/>
        <v>1+3425.93691001187i</v>
      </c>
      <c r="R320" s="17">
        <f t="shared" si="218"/>
        <v>3425.9370559573445</v>
      </c>
      <c r="S320" s="17">
        <f t="shared" si="219"/>
        <v>1.5705044358471452</v>
      </c>
      <c r="T320" s="17" t="str">
        <f t="shared" si="210"/>
        <v>1+0.0710564692446905i</v>
      </c>
      <c r="U320" s="17">
        <f t="shared" si="220"/>
        <v>1.0025213323523452</v>
      </c>
      <c r="V320" s="17">
        <f t="shared" si="221"/>
        <v>7.0937241671787166E-2</v>
      </c>
      <c r="W320" s="31" t="str">
        <f t="shared" si="211"/>
        <v>1-0.222051466389658i</v>
      </c>
      <c r="X320" s="17">
        <f t="shared" si="222"/>
        <v>1.0243568000095462</v>
      </c>
      <c r="Y320" s="17">
        <f t="shared" si="223"/>
        <v>-0.21850621972721826</v>
      </c>
      <c r="Z320" s="31" t="str">
        <f t="shared" si="212"/>
        <v>0.993115359137741+1.95881571579434i</v>
      </c>
      <c r="AA320" s="17">
        <f t="shared" si="224"/>
        <v>2.1961869512858363</v>
      </c>
      <c r="AB320" s="17">
        <f t="shared" si="225"/>
        <v>1.1015661213277783</v>
      </c>
      <c r="AC320" s="66" t="str">
        <f t="shared" si="226"/>
        <v>-0.0393975917099364-0.0131413984269822i</v>
      </c>
      <c r="AD320" s="64">
        <f t="shared" si="227"/>
        <v>-27.632444910659409</v>
      </c>
      <c r="AE320" s="61">
        <f t="shared" si="228"/>
        <v>-161.55344511692826</v>
      </c>
      <c r="AF320" s="31" t="str">
        <f t="shared" si="213"/>
        <v>-1512.12121212121</v>
      </c>
      <c r="AG320" s="31" t="str">
        <f t="shared" si="229"/>
        <v>65793.0270784171i</v>
      </c>
      <c r="AH320" s="31">
        <f t="shared" si="230"/>
        <v>65793.027078417101</v>
      </c>
      <c r="AI320" s="31">
        <f t="shared" si="231"/>
        <v>1.5707963267948966</v>
      </c>
      <c r="AJ320" s="31" t="str">
        <f t="shared" si="214"/>
        <v>-17.8182029976331+90.6803580522887i</v>
      </c>
      <c r="AK320" s="31">
        <f t="shared" si="232"/>
        <v>92.414369524204091</v>
      </c>
      <c r="AL320" s="31">
        <f t="shared" si="233"/>
        <v>1.7648190733937801</v>
      </c>
      <c r="AM320" s="31" t="str">
        <f t="shared" si="215"/>
        <v>1+451.603337866254i</v>
      </c>
      <c r="AN320" s="31">
        <f t="shared" si="234"/>
        <v>451.60444503120425</v>
      </c>
      <c r="AO320" s="31">
        <f t="shared" si="235"/>
        <v>1.5685819977992195</v>
      </c>
      <c r="AP320" s="31" t="str">
        <f t="shared" si="216"/>
        <v>1+17.3693591487021i</v>
      </c>
      <c r="AQ320" s="31">
        <f t="shared" si="236"/>
        <v>17.398121658288328</v>
      </c>
      <c r="AR320" s="31">
        <f t="shared" si="237"/>
        <v>1.5132871628899476</v>
      </c>
      <c r="AS320" s="58" t="str">
        <f t="shared" si="238"/>
        <v>-1.89144468606702+0.490520178024528i</v>
      </c>
      <c r="AT320" s="49">
        <f t="shared" si="239"/>
        <v>5.8185560740046895</v>
      </c>
      <c r="AU320" s="61">
        <f t="shared" si="240"/>
        <v>165.46141140936228</v>
      </c>
      <c r="AV320" s="58" t="str">
        <f t="shared" si="217"/>
        <v>0.0809644865794918+0.00553091452290931i</v>
      </c>
      <c r="AW320" s="64">
        <f t="shared" si="241"/>
        <v>-21.81388883665473</v>
      </c>
      <c r="AX320" s="61">
        <f t="shared" si="242"/>
        <v>3.9079662924340215</v>
      </c>
    </row>
    <row r="321" spans="14:50" x14ac:dyDescent="0.25">
      <c r="N321" s="10">
        <v>3</v>
      </c>
      <c r="O321" s="50">
        <f t="shared" si="244"/>
        <v>10715.193052376071</v>
      </c>
      <c r="P321" s="48" t="str">
        <f t="shared" si="208"/>
        <v>304.285714285714</v>
      </c>
      <c r="Q321" s="17" t="str">
        <f t="shared" si="209"/>
        <v>1+3505.73723201113i</v>
      </c>
      <c r="R321" s="17">
        <f t="shared" si="218"/>
        <v>3505.7373746344806</v>
      </c>
      <c r="S321" s="17">
        <f t="shared" si="219"/>
        <v>1.5705110800959292</v>
      </c>
      <c r="T321" s="17" t="str">
        <f t="shared" si="210"/>
        <v>1+0.0727115870343047i</v>
      </c>
      <c r="U321" s="17">
        <f t="shared" si="220"/>
        <v>1.0026400026375604</v>
      </c>
      <c r="V321" s="17">
        <f t="shared" si="221"/>
        <v>7.2583850548952805E-2</v>
      </c>
      <c r="W321" s="31" t="str">
        <f t="shared" si="211"/>
        <v>1-0.227223709482202i</v>
      </c>
      <c r="X321" s="17">
        <f t="shared" si="222"/>
        <v>1.0254904261624544</v>
      </c>
      <c r="Y321" s="17">
        <f t="shared" si="223"/>
        <v>-0.22342999040994518</v>
      </c>
      <c r="Z321" s="31" t="str">
        <f t="shared" si="212"/>
        <v>0.992790896010051+2.00444239514176i</v>
      </c>
      <c r="AA321" s="17">
        <f t="shared" si="224"/>
        <v>2.2368332701929474</v>
      </c>
      <c r="AB321" s="17">
        <f t="shared" si="225"/>
        <v>1.1109195567908812</v>
      </c>
      <c r="AC321" s="66" t="str">
        <f t="shared" si="226"/>
        <v>-0.0380040047189671-0.0121450670783252i</v>
      </c>
      <c r="AD321" s="64">
        <f t="shared" si="227"/>
        <v>-27.981095818954614</v>
      </c>
      <c r="AE321" s="61">
        <f t="shared" si="228"/>
        <v>-162.2775057205655</v>
      </c>
      <c r="AF321" s="31" t="str">
        <f t="shared" si="213"/>
        <v>-1512.12121212121</v>
      </c>
      <c r="AG321" s="31" t="str">
        <f t="shared" si="229"/>
        <v>67325.5435502821i</v>
      </c>
      <c r="AH321" s="31">
        <f t="shared" si="230"/>
        <v>67325.543550282106</v>
      </c>
      <c r="AI321" s="31">
        <f t="shared" si="231"/>
        <v>1.5707963267948966</v>
      </c>
      <c r="AJ321" s="31" t="str">
        <f t="shared" si="214"/>
        <v>-18.7050775818386+92.7925749324167i</v>
      </c>
      <c r="AK321" s="31">
        <f t="shared" si="232"/>
        <v>94.659082448176989</v>
      </c>
      <c r="AL321" s="31">
        <f t="shared" si="233"/>
        <v>1.7697101403641338</v>
      </c>
      <c r="AM321" s="31" t="str">
        <f t="shared" si="215"/>
        <v>1+462.122530929135i</v>
      </c>
      <c r="AN321" s="31">
        <f t="shared" si="234"/>
        <v>462.12361289199373</v>
      </c>
      <c r="AO321" s="31">
        <f t="shared" si="235"/>
        <v>1.5686324019216991</v>
      </c>
      <c r="AP321" s="31" t="str">
        <f t="shared" si="216"/>
        <v>1+17.7739434972745i</v>
      </c>
      <c r="AQ321" s="31">
        <f t="shared" si="236"/>
        <v>17.802052337983575</v>
      </c>
      <c r="AR321" s="31">
        <f t="shared" si="237"/>
        <v>1.5145934443548648</v>
      </c>
      <c r="AS321" s="58" t="str">
        <f t="shared" si="238"/>
        <v>-1.8877198987295+0.496681412193628i</v>
      </c>
      <c r="AT321" s="49">
        <f t="shared" si="239"/>
        <v>5.8094536096625129</v>
      </c>
      <c r="AU321" s="61">
        <f t="shared" si="240"/>
        <v>165.25890627292924</v>
      </c>
      <c r="AV321" s="58" t="str">
        <f t="shared" si="217"/>
        <v>0.0777731450070529+0.00405060206232915i</v>
      </c>
      <c r="AW321" s="64">
        <f t="shared" si="241"/>
        <v>-22.171642209292102</v>
      </c>
      <c r="AX321" s="61">
        <f t="shared" si="242"/>
        <v>2.9814005523637683</v>
      </c>
    </row>
    <row r="322" spans="14:50" x14ac:dyDescent="0.25">
      <c r="N322" s="10">
        <v>4</v>
      </c>
      <c r="O322" s="50">
        <f t="shared" si="244"/>
        <v>10964.781961431856</v>
      </c>
      <c r="P322" s="48" t="str">
        <f t="shared" si="208"/>
        <v>304.285714285714</v>
      </c>
      <c r="Q322" s="17" t="str">
        <f t="shared" si="209"/>
        <v>1+3587.39634229471i</v>
      </c>
      <c r="R322" s="17">
        <f t="shared" si="218"/>
        <v>3587.3964816715566</v>
      </c>
      <c r="S322" s="17">
        <f t="shared" si="219"/>
        <v>1.5705175731031706</v>
      </c>
      <c r="T322" s="17" t="str">
        <f t="shared" si="210"/>
        <v>1+0.0744052574698161i</v>
      </c>
      <c r="U322" s="17">
        <f t="shared" si="220"/>
        <v>1.0027642506288053</v>
      </c>
      <c r="V322" s="17">
        <f t="shared" si="221"/>
        <v>7.4268405729398329E-2</v>
      </c>
      <c r="W322" s="31" t="str">
        <f t="shared" si="211"/>
        <v>1-0.232516429593176i</v>
      </c>
      <c r="X322" s="17">
        <f t="shared" si="222"/>
        <v>1.026676136876064</v>
      </c>
      <c r="Y322" s="17">
        <f t="shared" si="223"/>
        <v>-0.22845706905487903</v>
      </c>
      <c r="Z322" s="31" t="str">
        <f t="shared" si="212"/>
        <v>0.992451141406256+2.05113185637901i</v>
      </c>
      <c r="AA322" s="17">
        <f t="shared" si="224"/>
        <v>2.2786182568239428</v>
      </c>
      <c r="AB322" s="17">
        <f t="shared" si="225"/>
        <v>1.1201476480780261</v>
      </c>
      <c r="AC322" s="66" t="str">
        <f t="shared" si="226"/>
        <v>-0.0366483886174069-0.0112058511148906i</v>
      </c>
      <c r="AD322" s="64">
        <f t="shared" si="227"/>
        <v>-28.330741535451423</v>
      </c>
      <c r="AE322" s="61">
        <f t="shared" si="228"/>
        <v>-162.99812091363029</v>
      </c>
      <c r="AF322" s="31" t="str">
        <f t="shared" si="213"/>
        <v>-1512.12121212121</v>
      </c>
      <c r="AG322" s="31" t="str">
        <f t="shared" si="229"/>
        <v>68893.7569164964i</v>
      </c>
      <c r="AH322" s="31">
        <f t="shared" si="230"/>
        <v>68893.756916496393</v>
      </c>
      <c r="AI322" s="31">
        <f t="shared" si="231"/>
        <v>1.5707963267948966</v>
      </c>
      <c r="AJ322" s="31" t="str">
        <f t="shared" si="214"/>
        <v>-19.6337492775009+94.9539916640288i</v>
      </c>
      <c r="AK322" s="31">
        <f t="shared" si="232"/>
        <v>96.962594043394986</v>
      </c>
      <c r="AL322" s="31">
        <f t="shared" si="233"/>
        <v>1.774694081852658</v>
      </c>
      <c r="AM322" s="31" t="str">
        <f t="shared" si="215"/>
        <v>1+472.88674747483i</v>
      </c>
      <c r="AN322" s="31">
        <f t="shared" si="234"/>
        <v>472.88780480926306</v>
      </c>
      <c r="AO322" s="31">
        <f t="shared" si="235"/>
        <v>1.5686816587169004</v>
      </c>
      <c r="AP322" s="31" t="str">
        <f t="shared" si="216"/>
        <v>1+18.187951825955i</v>
      </c>
      <c r="AQ322" s="31">
        <f t="shared" si="236"/>
        <v>18.215421807448209</v>
      </c>
      <c r="AR322" s="31">
        <f t="shared" si="237"/>
        <v>1.5158701767849381</v>
      </c>
      <c r="AS322" s="58" t="str">
        <f t="shared" si="238"/>
        <v>-1.88383836033148+0.503035303824739i</v>
      </c>
      <c r="AT322" s="49">
        <f t="shared" si="239"/>
        <v>5.7999971688327898</v>
      </c>
      <c r="AU322" s="61">
        <f t="shared" si="240"/>
        <v>165.04932104658477</v>
      </c>
      <c r="AV322" s="58" t="str">
        <f t="shared" si="217"/>
        <v>0.0746765790420005+0.0026745788875498i</v>
      </c>
      <c r="AW322" s="64">
        <f t="shared" si="241"/>
        <v>-22.530744366618634</v>
      </c>
      <c r="AX322" s="61">
        <f t="shared" si="242"/>
        <v>2.0512001329544738</v>
      </c>
    </row>
    <row r="323" spans="14:50" x14ac:dyDescent="0.25">
      <c r="N323" s="10">
        <v>5</v>
      </c>
      <c r="O323" s="50">
        <f t="shared" si="244"/>
        <v>11220.184543019639</v>
      </c>
      <c r="P323" s="48" t="str">
        <f t="shared" si="208"/>
        <v>304.285714285714</v>
      </c>
      <c r="Q323" s="17" t="str">
        <f t="shared" si="209"/>
        <v>1+3670.95753760379i</v>
      </c>
      <c r="R323" s="17">
        <f t="shared" si="218"/>
        <v>3670.9576738080327</v>
      </c>
      <c r="S323" s="17">
        <f t="shared" si="219"/>
        <v>1.5705239183115456</v>
      </c>
      <c r="T323" s="17" t="str">
        <f t="shared" si="210"/>
        <v>1+0.0761383785577081i</v>
      </c>
      <c r="U323" s="17">
        <f t="shared" si="220"/>
        <v>1.0028943377491952</v>
      </c>
      <c r="V323" s="17">
        <f t="shared" si="221"/>
        <v>7.5991762122700604E-2</v>
      </c>
      <c r="W323" s="31" t="str">
        <f t="shared" si="211"/>
        <v>1-0.237932432992838i</v>
      </c>
      <c r="X323" s="17">
        <f t="shared" si="222"/>
        <v>1.0279162624795326</v>
      </c>
      <c r="Y323" s="17">
        <f t="shared" si="223"/>
        <v>-0.23358910429495766</v>
      </c>
      <c r="Z323" s="31" t="str">
        <f t="shared" si="212"/>
        <v>0.992095374661292+2.09890885487645i</v>
      </c>
      <c r="AA323" s="17">
        <f t="shared" si="224"/>
        <v>2.3215666291328141</v>
      </c>
      <c r="AB323" s="17">
        <f t="shared" si="225"/>
        <v>1.1292491703113592</v>
      </c>
      <c r="AC323" s="66" t="str">
        <f t="shared" si="226"/>
        <v>-0.0353305917301773-0.0103211701966494i</v>
      </c>
      <c r="AD323" s="64">
        <f t="shared" si="227"/>
        <v>-28.681320996215458</v>
      </c>
      <c r="AE323" s="61">
        <f t="shared" si="228"/>
        <v>-163.71526619004072</v>
      </c>
      <c r="AF323" s="31" t="str">
        <f t="shared" si="213"/>
        <v>-1512.12121212121</v>
      </c>
      <c r="AG323" s="31" t="str">
        <f t="shared" si="229"/>
        <v>70498.4986645445i</v>
      </c>
      <c r="AH323" s="31">
        <f t="shared" si="230"/>
        <v>70498.498664544502</v>
      </c>
      <c r="AI323" s="31">
        <f t="shared" si="231"/>
        <v>1.5707963267948966</v>
      </c>
      <c r="AJ323" s="31" t="str">
        <f t="shared" si="214"/>
        <v>-20.6061879217958+97.1657542588858i</v>
      </c>
      <c r="AK323" s="31">
        <f t="shared" si="232"/>
        <v>99.32672742704527</v>
      </c>
      <c r="AL323" s="31">
        <f t="shared" si="233"/>
        <v>1.7797726889530332</v>
      </c>
      <c r="AM323" s="31" t="str">
        <f t="shared" si="215"/>
        <v>1+483.901694833432i</v>
      </c>
      <c r="AN323" s="31">
        <f t="shared" si="234"/>
        <v>483.90272810004689</v>
      </c>
      <c r="AO323" s="31">
        <f t="shared" si="235"/>
        <v>1.5687297943004714</v>
      </c>
      <c r="AP323" s="31" t="str">
        <f t="shared" si="216"/>
        <v>1+18.6116036474397i</v>
      </c>
      <c r="AQ323" s="31">
        <f t="shared" si="236"/>
        <v>18.638449246903317</v>
      </c>
      <c r="AR323" s="31">
        <f t="shared" si="237"/>
        <v>1.5171180204621153</v>
      </c>
      <c r="AS323" s="58" t="str">
        <f t="shared" si="238"/>
        <v>-1.87979391188161+0.509580633425196i</v>
      </c>
      <c r="AT323" s="49">
        <f t="shared" si="239"/>
        <v>5.7901691317210835</v>
      </c>
      <c r="AU323" s="61">
        <f t="shared" si="240"/>
        <v>164.83259243590544</v>
      </c>
      <c r="AV323" s="58" t="str">
        <f t="shared" si="217"/>
        <v>0.0716736996840599+0.00139788758600472i</v>
      </c>
      <c r="AW323" s="64">
        <f t="shared" si="241"/>
        <v>-22.891151864494379</v>
      </c>
      <c r="AX323" s="61">
        <f t="shared" si="242"/>
        <v>1.1173262458647382</v>
      </c>
    </row>
    <row r="324" spans="14:50" x14ac:dyDescent="0.25">
      <c r="N324" s="10">
        <v>6</v>
      </c>
      <c r="O324" s="50">
        <f t="shared" si="244"/>
        <v>11481.536214968832</v>
      </c>
      <c r="P324" s="48" t="str">
        <f t="shared" si="208"/>
        <v>304.285714285714</v>
      </c>
      <c r="Q324" s="17" t="str">
        <f t="shared" si="209"/>
        <v>1+3756.46512319017i</v>
      </c>
      <c r="R324" s="17">
        <f t="shared" si="218"/>
        <v>3756.4652562940255</v>
      </c>
      <c r="S324" s="17">
        <f t="shared" si="219"/>
        <v>1.5705301190853656</v>
      </c>
      <c r="T324" s="17" t="str">
        <f t="shared" si="210"/>
        <v>1+0.0779118692217219i</v>
      </c>
      <c r="U324" s="17">
        <f t="shared" si="220"/>
        <v>1.0030305376037276</v>
      </c>
      <c r="V324" s="17">
        <f t="shared" si="221"/>
        <v>7.7754792505956696E-2</v>
      </c>
      <c r="W324" s="31" t="str">
        <f t="shared" si="211"/>
        <v>1-0.243474591317881i</v>
      </c>
      <c r="X324" s="17">
        <f t="shared" si="222"/>
        <v>1.0292132318511111</v>
      </c>
      <c r="Y324" s="17">
        <f t="shared" si="223"/>
        <v>-0.23882773539292684</v>
      </c>
      <c r="Z324" s="31" t="str">
        <f t="shared" si="212"/>
        <v>0.991722841146192+2.1477987226311i</v>
      </c>
      <c r="AA324" s="17">
        <f t="shared" si="224"/>
        <v>2.3657036049739752</v>
      </c>
      <c r="AB324" s="17">
        <f t="shared" si="225"/>
        <v>1.1382230857862363</v>
      </c>
      <c r="AC324" s="66" t="str">
        <f t="shared" si="226"/>
        <v>-0.0340503927188828-0.00948851238431838i</v>
      </c>
      <c r="AD324" s="64">
        <f t="shared" si="227"/>
        <v>-29.03277256376365</v>
      </c>
      <c r="AE324" s="61">
        <f t="shared" si="228"/>
        <v>-164.42892620285355</v>
      </c>
      <c r="AF324" s="31" t="str">
        <f t="shared" si="213"/>
        <v>-1512.12121212121</v>
      </c>
      <c r="AG324" s="31" t="str">
        <f t="shared" si="229"/>
        <v>72140.6196497425i</v>
      </c>
      <c r="AH324" s="31">
        <f t="shared" si="230"/>
        <v>72140.619649742497</v>
      </c>
      <c r="AI324" s="31">
        <f t="shared" si="231"/>
        <v>1.5707963267948966</v>
      </c>
      <c r="AJ324" s="31" t="str">
        <f t="shared" si="214"/>
        <v>-21.624456187465+99.4290354227916i</v>
      </c>
      <c r="AK324" s="31">
        <f t="shared" si="232"/>
        <v>101.75337925843219</v>
      </c>
      <c r="AL324" s="31">
        <f t="shared" si="233"/>
        <v>1.7849477477682523</v>
      </c>
      <c r="AM324" s="31" t="str">
        <f t="shared" si="215"/>
        <v>1+495.173213275831i</v>
      </c>
      <c r="AN324" s="31">
        <f t="shared" si="234"/>
        <v>495.17422302247479</v>
      </c>
      <c r="AO324" s="31">
        <f t="shared" si="235"/>
        <v>1.568776834193643</v>
      </c>
      <c r="AP324" s="31" t="str">
        <f t="shared" si="216"/>
        <v>1+19.045123587532i</v>
      </c>
      <c r="AQ324" s="31">
        <f t="shared" si="236"/>
        <v>19.071358956937697</v>
      </c>
      <c r="AR324" s="31">
        <f t="shared" si="237"/>
        <v>1.5183376214565447</v>
      </c>
      <c r="AS324" s="58" t="str">
        <f t="shared" si="238"/>
        <v>-1.87558023002896+0.516316006607553i</v>
      </c>
      <c r="AT324" s="49">
        <f t="shared" si="239"/>
        <v>5.7799513086567389</v>
      </c>
      <c r="AU324" s="61">
        <f t="shared" si="240"/>
        <v>164.60865658407965</v>
      </c>
      <c r="AV324" s="58" t="str">
        <f t="shared" si="217"/>
        <v>0.0687633142311762+0.000215703448380039i</v>
      </c>
      <c r="AW324" s="64">
        <f t="shared" si="241"/>
        <v>-23.252821255106912</v>
      </c>
      <c r="AX324" s="61">
        <f t="shared" si="242"/>
        <v>0.17973038122610144</v>
      </c>
    </row>
    <row r="325" spans="14:50" x14ac:dyDescent="0.25">
      <c r="N325" s="10">
        <v>7</v>
      </c>
      <c r="O325" s="50">
        <f t="shared" si="244"/>
        <v>11748.975549395318</v>
      </c>
      <c r="P325" s="48" t="str">
        <f t="shared" si="208"/>
        <v>304.285714285714</v>
      </c>
      <c r="Q325" s="17" t="str">
        <f t="shared" si="209"/>
        <v>1+3843.96443630757i</v>
      </c>
      <c r="R325" s="17">
        <f t="shared" si="218"/>
        <v>3843.9645663816118</v>
      </c>
      <c r="S325" s="17">
        <f t="shared" si="219"/>
        <v>1.5705361787123608</v>
      </c>
      <c r="T325" s="17" t="str">
        <f t="shared" si="210"/>
        <v>1+0.0797266697900827i</v>
      </c>
      <c r="U325" s="17">
        <f t="shared" si="220"/>
        <v>1.0031731365401571</v>
      </c>
      <c r="V325" s="17">
        <f t="shared" si="221"/>
        <v>7.9558387796826197E-2</v>
      </c>
      <c r="W325" s="31" t="str">
        <f t="shared" si="211"/>
        <v>1-0.249145843094009i</v>
      </c>
      <c r="X325" s="17">
        <f t="shared" si="222"/>
        <v>1.0305695760748153</v>
      </c>
      <c r="Y325" s="17">
        <f t="shared" si="223"/>
        <v>-0.24417458931678437</v>
      </c>
      <c r="Z325" s="31" t="str">
        <f t="shared" si="212"/>
        <v>0.991332750667425+2.19782738169796i</v>
      </c>
      <c r="AA325" s="17">
        <f t="shared" si="224"/>
        <v>2.4110549189695276</v>
      </c>
      <c r="AB325" s="17">
        <f t="shared" si="225"/>
        <v>1.1470685383311088</v>
      </c>
      <c r="AC325" s="66" t="str">
        <f t="shared" si="226"/>
        <v>-0.0328075051985297-0.00870543634667879i</v>
      </c>
      <c r="AD325" s="64">
        <f t="shared" si="227"/>
        <v>-29.385034078298116</v>
      </c>
      <c r="AE325" s="61">
        <f t="shared" si="228"/>
        <v>-165.13909425800372</v>
      </c>
      <c r="AF325" s="31" t="str">
        <f t="shared" si="213"/>
        <v>-1512.12121212121</v>
      </c>
      <c r="AG325" s="31" t="str">
        <f t="shared" si="229"/>
        <v>73820.9905463729i</v>
      </c>
      <c r="AH325" s="31">
        <f t="shared" si="230"/>
        <v>73820.990546372894</v>
      </c>
      <c r="AI325" s="31">
        <f t="shared" si="231"/>
        <v>1.5707963267948966</v>
      </c>
      <c r="AJ325" s="31" t="str">
        <f t="shared" si="214"/>
        <v>-22.6907139580215+101.745035177378i</v>
      </c>
      <c r="AK325" s="31">
        <f t="shared" si="232"/>
        <v>104.24452351644493</v>
      </c>
      <c r="AL325" s="31">
        <f t="shared" si="233"/>
        <v>1.790221037050453</v>
      </c>
      <c r="AM325" s="31" t="str">
        <f t="shared" si="215"/>
        <v>1+506.707279110302i</v>
      </c>
      <c r="AN325" s="31">
        <f t="shared" si="234"/>
        <v>506.70826587235132</v>
      </c>
      <c r="AO325" s="31">
        <f t="shared" si="235"/>
        <v>1.5688228033367562</v>
      </c>
      <c r="AP325" s="31" t="str">
        <f t="shared" si="216"/>
        <v>1+19.4887415042424i</v>
      </c>
      <c r="AQ325" s="31">
        <f t="shared" si="236"/>
        <v>19.514380477462776</v>
      </c>
      <c r="AR325" s="31">
        <f t="shared" si="237"/>
        <v>1.5195296118960517</v>
      </c>
      <c r="AS325" s="58" t="str">
        <f t="shared" si="238"/>
        <v>-1.87119082856042+0.52323983926023i</v>
      </c>
      <c r="AT325" s="49">
        <f t="shared" si="239"/>
        <v>5.7693249207227124</v>
      </c>
      <c r="AU325" s="61">
        <f t="shared" si="240"/>
        <v>164.37744922334986</v>
      </c>
      <c r="AV325" s="58" t="str">
        <f t="shared" si="217"/>
        <v>0.0659441339501634-0.000876661096085959i</v>
      </c>
      <c r="AW325" s="64">
        <f t="shared" si="241"/>
        <v>-23.615709157575413</v>
      </c>
      <c r="AX325" s="61">
        <f t="shared" si="242"/>
        <v>-0.76164503465387057</v>
      </c>
    </row>
    <row r="326" spans="14:50" x14ac:dyDescent="0.25">
      <c r="N326" s="10">
        <v>8</v>
      </c>
      <c r="O326" s="50">
        <f t="shared" si="244"/>
        <v>12022.644346174151</v>
      </c>
      <c r="P326" s="48" t="str">
        <f t="shared" si="208"/>
        <v>304.285714285714</v>
      </c>
      <c r="Q326" s="17" t="str">
        <f t="shared" si="209"/>
        <v>1+3933.50187024997i</v>
      </c>
      <c r="R326" s="17">
        <f t="shared" si="218"/>
        <v>3933.5019973631652</v>
      </c>
      <c r="S326" s="17">
        <f t="shared" si="219"/>
        <v>1.5705421004054243</v>
      </c>
      <c r="T326" s="17" t="str">
        <f t="shared" si="210"/>
        <v>1+0.0815837424940733i</v>
      </c>
      <c r="U326" s="17">
        <f t="shared" si="220"/>
        <v>1.0033224342350466</v>
      </c>
      <c r="V326" s="17">
        <f t="shared" si="221"/>
        <v>8.1403457323076064E-2</v>
      </c>
      <c r="W326" s="31" t="str">
        <f t="shared" si="211"/>
        <v>1-0.254949195293979i</v>
      </c>
      <c r="X326" s="17">
        <f t="shared" si="222"/>
        <v>1.0319879321877012</v>
      </c>
      <c r="Y326" s="17">
        <f t="shared" si="223"/>
        <v>-0.24963127762853854</v>
      </c>
      <c r="Z326" s="31" t="str">
        <f t="shared" si="212"/>
        <v>0.990924275790786+2.24902135793428i</v>
      </c>
      <c r="AA326" s="17">
        <f t="shared" si="224"/>
        <v>2.4576468397221038</v>
      </c>
      <c r="AB326" s="17">
        <f t="shared" si="225"/>
        <v>1.1557848473550085</v>
      </c>
      <c r="AC326" s="66" t="str">
        <f t="shared" si="226"/>
        <v>-0.0316015823808735-0.00796957316010544i</v>
      </c>
      <c r="AD326" s="64">
        <f t="shared" si="227"/>
        <v>-29.738042904235936</v>
      </c>
      <c r="AE326" s="61">
        <f t="shared" si="228"/>
        <v>-165.84577177964468</v>
      </c>
      <c r="AF326" s="31" t="str">
        <f t="shared" si="213"/>
        <v>-1512.12121212121</v>
      </c>
      <c r="AG326" s="31" t="str">
        <f t="shared" si="229"/>
        <v>75540.5023093271i</v>
      </c>
      <c r="AH326" s="31">
        <f t="shared" si="230"/>
        <v>75540.502309327101</v>
      </c>
      <c r="AI326" s="31">
        <f t="shared" si="231"/>
        <v>1.5707963267948966</v>
      </c>
      <c r="AJ326" s="31" t="str">
        <f t="shared" si="214"/>
        <v>-23.8072229091521+104.114981496369i</v>
      </c>
      <c r="AK326" s="31">
        <f t="shared" si="232"/>
        <v>106.8022154949761</v>
      </c>
      <c r="AL326" s="31">
        <f t="shared" si="233"/>
        <v>1.7955943256697569</v>
      </c>
      <c r="AM326" s="31" t="str">
        <f t="shared" si="215"/>
        <v>1+518.51000785122i</v>
      </c>
      <c r="AN326" s="31">
        <f t="shared" si="234"/>
        <v>518.51097215186519</v>
      </c>
      <c r="AO326" s="31">
        <f t="shared" si="235"/>
        <v>1.5688677261024813</v>
      </c>
      <c r="AP326" s="31" t="str">
        <f t="shared" si="216"/>
        <v>1+19.9426926096623i</v>
      </c>
      <c r="AQ326" s="31">
        <f t="shared" si="236"/>
        <v>19.967748709443416</v>
      </c>
      <c r="AR326" s="31">
        <f t="shared" si="237"/>
        <v>1.5206946102330245</v>
      </c>
      <c r="AS326" s="58" t="str">
        <f t="shared" si="238"/>
        <v>-1.86661906065321+0.530350342187485i</v>
      </c>
      <c r="AT326" s="49">
        <f t="shared" si="239"/>
        <v>5.7582705806951529</v>
      </c>
      <c r="AU326" s="61">
        <f t="shared" si="240"/>
        <v>164.13890583608651</v>
      </c>
      <c r="AV326" s="58" t="str">
        <f t="shared" si="217"/>
        <v>0.0632147818714912-0.00188375286343921i</v>
      </c>
      <c r="AW326" s="64">
        <f t="shared" si="241"/>
        <v>-23.979772323540786</v>
      </c>
      <c r="AX326" s="61">
        <f t="shared" si="242"/>
        <v>-1.7068659435581612</v>
      </c>
    </row>
    <row r="327" spans="14:50" x14ac:dyDescent="0.25">
      <c r="N327" s="10">
        <v>9</v>
      </c>
      <c r="O327" s="50">
        <f t="shared" si="244"/>
        <v>12302.687708123816</v>
      </c>
      <c r="P327" s="48" t="str">
        <f t="shared" si="208"/>
        <v>304.285714285714</v>
      </c>
      <c r="Q327" s="17" t="str">
        <f t="shared" si="209"/>
        <v>1+4025.12489895003i</v>
      </c>
      <c r="R327" s="17">
        <f t="shared" si="218"/>
        <v>4025.1250231697759</v>
      </c>
      <c r="S327" s="17">
        <f t="shared" si="219"/>
        <v>1.5705478873043142</v>
      </c>
      <c r="T327" s="17" t="str">
        <f t="shared" si="210"/>
        <v>1+0.0834840719782227i</v>
      </c>
      <c r="U327" s="17">
        <f t="shared" si="220"/>
        <v>1.0034787443060591</v>
      </c>
      <c r="V327" s="17">
        <f t="shared" si="221"/>
        <v>8.3290929087890139E-2</v>
      </c>
      <c r="W327" s="31" t="str">
        <f t="shared" si="211"/>
        <v>1-0.260887724931946i</v>
      </c>
      <c r="X327" s="17">
        <f t="shared" si="222"/>
        <v>1.0334710470159127</v>
      </c>
      <c r="Y327" s="17">
        <f t="shared" si="223"/>
        <v>-0.25519939318079965</v>
      </c>
      <c r="Z327" s="31" t="str">
        <f t="shared" si="212"/>
        <v>0.990496550086295+2.30140779506389i</v>
      </c>
      <c r="AA327" s="17">
        <f t="shared" si="224"/>
        <v>2.505506187362883</v>
      </c>
      <c r="AB327" s="17">
        <f t="shared" si="225"/>
        <v>1.1643715016334508</v>
      </c>
      <c r="AC327" s="66" t="str">
        <f t="shared" si="226"/>
        <v>-0.0304322217096204-0.00727862771573186i</v>
      </c>
      <c r="AD327" s="64">
        <f t="shared" si="227"/>
        <v>-30.091735972118954</v>
      </c>
      <c r="AE327" s="61">
        <f t="shared" si="228"/>
        <v>-166.54896774973196</v>
      </c>
      <c r="AF327" s="31" t="str">
        <f t="shared" si="213"/>
        <v>-1512.12121212121</v>
      </c>
      <c r="AG327" s="31" t="str">
        <f t="shared" si="229"/>
        <v>77300.0666465025i</v>
      </c>
      <c r="AH327" s="31">
        <f t="shared" si="230"/>
        <v>77300.066646502499</v>
      </c>
      <c r="AI327" s="31">
        <f t="shared" si="231"/>
        <v>1.5707963267948966</v>
      </c>
      <c r="AJ327" s="31" t="str">
        <f t="shared" si="214"/>
        <v>-24.9763513060355+106.540130956675i</v>
      </c>
      <c r="AK327" s="31">
        <f t="shared" si="232"/>
        <v>109.42859602877101</v>
      </c>
      <c r="AL327" s="31">
        <f t="shared" si="233"/>
        <v>1.8010693699058704</v>
      </c>
      <c r="AM327" s="31" t="str">
        <f t="shared" si="215"/>
        <v>1+530.587657461592i</v>
      </c>
      <c r="AN327" s="31">
        <f t="shared" si="234"/>
        <v>530.58859981211401</v>
      </c>
      <c r="AO327" s="31">
        <f t="shared" si="235"/>
        <v>1.5689116263087377</v>
      </c>
      <c r="AP327" s="31" t="str">
        <f t="shared" si="216"/>
        <v>1+20.4072175946766i</v>
      </c>
      <c r="AQ327" s="31">
        <f t="shared" si="236"/>
        <v>20.431704039469594</v>
      </c>
      <c r="AR327" s="31">
        <f t="shared" si="237"/>
        <v>1.5218332215085379</v>
      </c>
      <c r="AS327" s="58" t="str">
        <f t="shared" si="238"/>
        <v>-1.86185812195089+0.537645505233463i</v>
      </c>
      <c r="AT327" s="49">
        <f t="shared" si="239"/>
        <v>5.7467682743662527</v>
      </c>
      <c r="AU327" s="61">
        <f t="shared" si="240"/>
        <v>163.89296182584096</v>
      </c>
      <c r="AV327" s="58" t="str">
        <f t="shared" si="217"/>
        <v>0.0605738006346979-0.0028099750872534i</v>
      </c>
      <c r="AW327" s="64">
        <f t="shared" si="241"/>
        <v>-24.344967697752701</v>
      </c>
      <c r="AX327" s="61">
        <f t="shared" si="242"/>
        <v>-2.6560059238909939</v>
      </c>
    </row>
    <row r="328" spans="14:50" x14ac:dyDescent="0.25">
      <c r="N328" s="10">
        <v>10</v>
      </c>
      <c r="O328" s="50">
        <f t="shared" si="244"/>
        <v>12589.254117941671</v>
      </c>
      <c r="P328" s="48" t="str">
        <f t="shared" si="208"/>
        <v>304.285714285714</v>
      </c>
      <c r="Q328" s="17" t="str">
        <f t="shared" si="209"/>
        <v>1+4118.88210215034i</v>
      </c>
      <c r="R328" s="17">
        <f t="shared" si="218"/>
        <v>4118.8822235424996</v>
      </c>
      <c r="S328" s="17">
        <f t="shared" si="219"/>
        <v>1.5705535424773194</v>
      </c>
      <c r="T328" s="17" t="str">
        <f t="shared" si="210"/>
        <v>1+0.0854286658223773i</v>
      </c>
      <c r="U328" s="17">
        <f t="shared" si="220"/>
        <v>1.003642394951604</v>
      </c>
      <c r="V328" s="17">
        <f t="shared" si="221"/>
        <v>8.5221750030141125E-2</v>
      </c>
      <c r="W328" s="31" t="str">
        <f t="shared" si="211"/>
        <v>1-0.266964580694929i</v>
      </c>
      <c r="X328" s="17">
        <f t="shared" si="222"/>
        <v>1.0350217810971996</v>
      </c>
      <c r="Y328" s="17">
        <f t="shared" si="223"/>
        <v>-0.26088050661610257</v>
      </c>
      <c r="Z328" s="31" t="str">
        <f t="shared" si="212"/>
        <v>0.990048666290388+2.35501446906918i</v>
      </c>
      <c r="AA328" s="17">
        <f t="shared" si="224"/>
        <v>2.5546603514261084</v>
      </c>
      <c r="AB328" s="17">
        <f t="shared" si="225"/>
        <v>1.1728281528815534</v>
      </c>
      <c r="AC328" s="66" t="str">
        <f t="shared" si="226"/>
        <v>-0.0292989694558461-0.00663037975206063i</v>
      </c>
      <c r="AD328" s="64">
        <f t="shared" si="227"/>
        <v>-30.446049816029603</v>
      </c>
      <c r="AE328" s="61">
        <f t="shared" si="228"/>
        <v>-167.24869812439943</v>
      </c>
      <c r="AF328" s="31" t="str">
        <f t="shared" si="213"/>
        <v>-1512.12121212121</v>
      </c>
      <c r="AG328" s="31" t="str">
        <f t="shared" si="229"/>
        <v>79100.6165022012i</v>
      </c>
      <c r="AH328" s="31">
        <f t="shared" si="230"/>
        <v>79100.616502201199</v>
      </c>
      <c r="AI328" s="31">
        <f t="shared" si="231"/>
        <v>1.5707963267948966</v>
      </c>
      <c r="AJ328" s="31" t="str">
        <f t="shared" si="214"/>
        <v>-26.200579026749+109.021769404639i</v>
      </c>
      <c r="AK328" s="31">
        <f t="shared" si="232"/>
        <v>112.12589596277572</v>
      </c>
      <c r="AL328" s="31">
        <f t="shared" si="233"/>
        <v>1.8066479105564459</v>
      </c>
      <c r="AM328" s="31" t="str">
        <f t="shared" si="215"/>
        <v>1+542.946631671108i</v>
      </c>
      <c r="AN328" s="31">
        <f t="shared" si="234"/>
        <v>542.94755257115014</v>
      </c>
      <c r="AO328" s="31">
        <f t="shared" si="235"/>
        <v>1.5689545272313188</v>
      </c>
      <c r="AP328" s="31" t="str">
        <f t="shared" si="216"/>
        <v>1+20.8825627565811i</v>
      </c>
      <c r="AQ328" s="31">
        <f t="shared" si="236"/>
        <v>20.906492467234862</v>
      </c>
      <c r="AR328" s="31">
        <f t="shared" si="237"/>
        <v>1.5229460376135644</v>
      </c>
      <c r="AS328" s="58" t="str">
        <f t="shared" si="238"/>
        <v>-1.85690105453506+0.545123080910761i</v>
      </c>
      <c r="AT328" s="49">
        <f t="shared" si="239"/>
        <v>5.7347973423347751</v>
      </c>
      <c r="AU328" s="61">
        <f t="shared" si="240"/>
        <v>163.63955269871411</v>
      </c>
      <c r="AV328" s="58" t="str">
        <f t="shared" si="217"/>
        <v>0.0580196603174028-0.00365958534371182i</v>
      </c>
      <c r="AW328" s="64">
        <f t="shared" si="241"/>
        <v>-24.71125247369482</v>
      </c>
      <c r="AX328" s="61">
        <f t="shared" si="242"/>
        <v>-3.6091454256853162</v>
      </c>
    </row>
    <row r="329" spans="14:50" x14ac:dyDescent="0.25">
      <c r="N329" s="10">
        <v>11</v>
      </c>
      <c r="O329" s="50">
        <f t="shared" si="244"/>
        <v>12882.49551693136</v>
      </c>
      <c r="P329" s="48" t="str">
        <f t="shared" si="208"/>
        <v>304.285714285714</v>
      </c>
      <c r="Q329" s="17" t="str">
        <f t="shared" si="209"/>
        <v>1+4214.82319116107i</v>
      </c>
      <c r="R329" s="17">
        <f t="shared" si="218"/>
        <v>4214.8233097900065</v>
      </c>
      <c r="S329" s="17">
        <f t="shared" si="219"/>
        <v>1.5705590689228859</v>
      </c>
      <c r="T329" s="17" t="str">
        <f t="shared" si="210"/>
        <v>1+0.0874185550759332i</v>
      </c>
      <c r="U329" s="17">
        <f t="shared" si="220"/>
        <v>1.0038137296189786</v>
      </c>
      <c r="V329" s="17">
        <f t="shared" si="221"/>
        <v>8.719688627876386E-2</v>
      </c>
      <c r="W329" s="31" t="str">
        <f t="shared" si="211"/>
        <v>1-0.273182984612292i</v>
      </c>
      <c r="X329" s="17">
        <f t="shared" si="222"/>
        <v>1.0366431126871387</v>
      </c>
      <c r="Y329" s="17">
        <f t="shared" si="223"/>
        <v>-0.26667616266441341</v>
      </c>
      <c r="Z329" s="31" t="str">
        <f t="shared" si="212"/>
        <v>0.989579674381484+2.40986980291828i</v>
      </c>
      <c r="AA329" s="17">
        <f t="shared" si="224"/>
        <v>2.6051373090427217</v>
      </c>
      <c r="AB329" s="17">
        <f t="shared" si="225"/>
        <v>1.1811546091607861</v>
      </c>
      <c r="AC329" s="66" t="str">
        <f t="shared" si="226"/>
        <v>-0.0282013252451867-0.00602268453275866i</v>
      </c>
      <c r="AD329" s="64">
        <f t="shared" si="227"/>
        <v>-30.800920606679668</v>
      </c>
      <c r="AE329" s="61">
        <f t="shared" si="228"/>
        <v>-167.94498522957448</v>
      </c>
      <c r="AF329" s="31" t="str">
        <f t="shared" si="213"/>
        <v>-1512.12121212121</v>
      </c>
      <c r="AG329" s="31" t="str">
        <f t="shared" si="229"/>
        <v>80943.10655179i</v>
      </c>
      <c r="AH329" s="31">
        <f t="shared" si="230"/>
        <v>80943.106551789999</v>
      </c>
      <c r="AI329" s="31">
        <f t="shared" si="231"/>
        <v>1.5707963267948966</v>
      </c>
      <c r="AJ329" s="31" t="str">
        <f t="shared" si="214"/>
        <v>-27.4825028224235+111.561212637816i</v>
      </c>
      <c r="AK329" s="31">
        <f t="shared" si="232"/>
        <v>114.8964408787518</v>
      </c>
      <c r="AL329" s="31">
        <f t="shared" si="233"/>
        <v>1.81233166985644</v>
      </c>
      <c r="AM329" s="31" t="str">
        <f t="shared" si="215"/>
        <v>1+555.593483371485i</v>
      </c>
      <c r="AN329" s="31">
        <f t="shared" si="234"/>
        <v>555.59438330931721</v>
      </c>
      <c r="AO329" s="31">
        <f t="shared" si="235"/>
        <v>1.5689964516162296</v>
      </c>
      <c r="AP329" s="31" t="str">
        <f t="shared" si="216"/>
        <v>1+21.3689801296726i</v>
      </c>
      <c r="AQ329" s="31">
        <f t="shared" si="236"/>
        <v>21.39236573598961</v>
      </c>
      <c r="AR329" s="31">
        <f t="shared" si="237"/>
        <v>1.5240336375471342</v>
      </c>
      <c r="AS329" s="58" t="str">
        <f t="shared" si="238"/>
        <v>-1.85174075186688+0.552780567559679i</v>
      </c>
      <c r="AT329" s="49">
        <f t="shared" si="239"/>
        <v>5.7223364623520734</v>
      </c>
      <c r="AU329" s="61">
        <f t="shared" si="240"/>
        <v>163.37861425536261</v>
      </c>
      <c r="AV329" s="58" t="str">
        <f t="shared" si="217"/>
        <v>0.0555507661874157-0.00443669419002186i</v>
      </c>
      <c r="AW329" s="64">
        <f t="shared" si="241"/>
        <v>-25.078584144327589</v>
      </c>
      <c r="AX329" s="61">
        <f t="shared" si="242"/>
        <v>-4.5663709742119005</v>
      </c>
    </row>
    <row r="330" spans="14:50" x14ac:dyDescent="0.25">
      <c r="N330" s="10">
        <v>12</v>
      </c>
      <c r="O330" s="50">
        <f t="shared" si="244"/>
        <v>13182.567385564091</v>
      </c>
      <c r="P330" s="48" t="str">
        <f t="shared" si="208"/>
        <v>304.285714285714</v>
      </c>
      <c r="Q330" s="17" t="str">
        <f t="shared" si="209"/>
        <v>1+4312.99903521753i</v>
      </c>
      <c r="R330" s="17">
        <f t="shared" si="218"/>
        <v>4312.9991511461421</v>
      </c>
      <c r="S330" s="17">
        <f t="shared" si="219"/>
        <v>1.5705644695712071</v>
      </c>
      <c r="T330" s="17" t="str">
        <f t="shared" si="210"/>
        <v>1+0.0894547948045116i</v>
      </c>
      <c r="U330" s="17">
        <f t="shared" si="220"/>
        <v>1.003993107702198</v>
      </c>
      <c r="V330" s="17">
        <f t="shared" si="221"/>
        <v>8.9217323400299919E-2</v>
      </c>
      <c r="W330" s="31" t="str">
        <f t="shared" si="211"/>
        <v>1-0.279546233764099i</v>
      </c>
      <c r="X330" s="17">
        <f t="shared" si="222"/>
        <v>1.0383381418457536</v>
      </c>
      <c r="Y330" s="17">
        <f t="shared" si="223"/>
        <v>-0.27258787623481978</v>
      </c>
      <c r="Z330" s="31" t="str">
        <f t="shared" si="212"/>
        <v>0.989088579564866+2.46600288163528i</v>
      </c>
      <c r="AA330" s="17">
        <f t="shared" si="224"/>
        <v>2.656965643447267</v>
      </c>
      <c r="AB330" s="17">
        <f t="shared" si="225"/>
        <v>1.1893508281632068</v>
      </c>
      <c r="AC330" s="66" t="str">
        <f t="shared" si="226"/>
        <v>-0.0271387464915589-0.00545347319088192i</v>
      </c>
      <c r="AD330" s="64">
        <f t="shared" si="227"/>
        <v>-31.156284180376414</v>
      </c>
      <c r="AE330" s="61">
        <f t="shared" si="228"/>
        <v>-168.63785713817248</v>
      </c>
      <c r="AF330" s="31" t="str">
        <f t="shared" si="213"/>
        <v>-1512.12121212121</v>
      </c>
      <c r="AG330" s="31" t="str">
        <f t="shared" si="229"/>
        <v>82828.5137078811i</v>
      </c>
      <c r="AH330" s="31">
        <f t="shared" si="230"/>
        <v>82828.513707881095</v>
      </c>
      <c r="AI330" s="31">
        <f t="shared" si="231"/>
        <v>1.5707963267948966</v>
      </c>
      <c r="AJ330" s="31" t="str">
        <f t="shared" si="214"/>
        <v>-28.8248418253+114.15980710262i</v>
      </c>
      <c r="AK330" s="31">
        <f t="shared" si="232"/>
        <v>117.74265609353721</v>
      </c>
      <c r="AL330" s="31">
        <f t="shared" si="233"/>
        <v>1.818122348203083</v>
      </c>
      <c r="AM330" s="31" t="str">
        <f t="shared" si="215"/>
        <v>1+568.534918090895i</v>
      </c>
      <c r="AN330" s="31">
        <f t="shared" si="234"/>
        <v>568.53579754367331</v>
      </c>
      <c r="AO330" s="31">
        <f t="shared" si="235"/>
        <v>1.5690374216917435</v>
      </c>
      <c r="AP330" s="31" t="str">
        <f t="shared" si="216"/>
        <v>1+21.8667276188806i</v>
      </c>
      <c r="AQ330" s="31">
        <f t="shared" si="236"/>
        <v>21.889581466038031</v>
      </c>
      <c r="AR330" s="31">
        <f t="shared" si="237"/>
        <v>1.5250965876713301</v>
      </c>
      <c r="AS330" s="58" t="str">
        <f t="shared" si="238"/>
        <v>-1.84636996477598+0.560615192071252i</v>
      </c>
      <c r="AT330" s="49">
        <f t="shared" si="239"/>
        <v>5.7093636323234778</v>
      </c>
      <c r="AU330" s="61">
        <f t="shared" si="240"/>
        <v>163.11008279394468</v>
      </c>
      <c r="AV330" s="58" t="str">
        <f t="shared" si="217"/>
        <v>0.0531654663240455-0.00514526447358291i</v>
      </c>
      <c r="AW330" s="64">
        <f t="shared" si="241"/>
        <v>-25.446920548052944</v>
      </c>
      <c r="AX330" s="61">
        <f t="shared" si="242"/>
        <v>-5.5277743442277849</v>
      </c>
    </row>
    <row r="331" spans="14:50" x14ac:dyDescent="0.25">
      <c r="N331" s="10">
        <v>13</v>
      </c>
      <c r="O331" s="50">
        <f t="shared" si="244"/>
        <v>13489.628825916556</v>
      </c>
      <c r="P331" s="48" t="str">
        <f t="shared" si="208"/>
        <v>304.285714285714</v>
      </c>
      <c r="Q331" s="17" t="str">
        <f t="shared" si="209"/>
        <v>1+4413.46168845175i</v>
      </c>
      <c r="R331" s="17">
        <f t="shared" si="218"/>
        <v>4413.461801741505</v>
      </c>
      <c r="S331" s="17">
        <f t="shared" si="219"/>
        <v>1.5705697472857771</v>
      </c>
      <c r="T331" s="17" t="str">
        <f t="shared" si="210"/>
        <v>1+0.0915384646493695i</v>
      </c>
      <c r="U331" s="17">
        <f t="shared" si="220"/>
        <v>1.0041809052707404</v>
      </c>
      <c r="V331" s="17">
        <f t="shared" si="221"/>
        <v>9.128406663861556E-2</v>
      </c>
      <c r="W331" s="31" t="str">
        <f t="shared" si="211"/>
        <v>1-0.28605770202928i</v>
      </c>
      <c r="X331" s="17">
        <f t="shared" si="222"/>
        <v>1.0401100946006978</v>
      </c>
      <c r="Y331" s="17">
        <f t="shared" si="223"/>
        <v>-0.27861712829815866</v>
      </c>
      <c r="Z331" s="31" t="str">
        <f t="shared" si="212"/>
        <v>0.988574340162585+2.52344346772152i</v>
      </c>
      <c r="AA331" s="17">
        <f t="shared" si="224"/>
        <v>2.7101745627937515</v>
      </c>
      <c r="AB331" s="17">
        <f t="shared" si="225"/>
        <v>1.1974169104143335</v>
      </c>
      <c r="AC331" s="66" t="str">
        <f t="shared" si="226"/>
        <v>-0.0261106527153394-0.00492075276188166i</v>
      </c>
      <c r="AD331" s="64">
        <f t="shared" si="227"/>
        <v>-31.512076064102082</v>
      </c>
      <c r="AE331" s="61">
        <f t="shared" si="228"/>
        <v>-169.32734703109486</v>
      </c>
      <c r="AF331" s="31" t="str">
        <f t="shared" si="213"/>
        <v>-1512.12121212121</v>
      </c>
      <c r="AG331" s="31" t="str">
        <f t="shared" si="229"/>
        <v>84757.8376383051i</v>
      </c>
      <c r="AH331" s="31">
        <f t="shared" si="230"/>
        <v>84757.837638305107</v>
      </c>
      <c r="AI331" s="31">
        <f t="shared" si="231"/>
        <v>1.5707963267948966</v>
      </c>
      <c r="AJ331" s="31" t="str">
        <f t="shared" si="214"/>
        <v>-30.2304433163741+116.818930608234i</v>
      </c>
      <c r="AK331" s="31">
        <f t="shared" si="232"/>
        <v>120.66707194407221</v>
      </c>
      <c r="AL331" s="31">
        <f t="shared" si="233"/>
        <v>1.8240216206814663</v>
      </c>
      <c r="AM331" s="31" t="str">
        <f t="shared" si="215"/>
        <v>1+581.777797549325i</v>
      </c>
      <c r="AN331" s="31">
        <f t="shared" si="234"/>
        <v>581.77865698334392</v>
      </c>
      <c r="AO331" s="31">
        <f t="shared" si="235"/>
        <v>1.5690774591801873</v>
      </c>
      <c r="AP331" s="31" t="str">
        <f t="shared" si="216"/>
        <v>1+22.3760691365125i</v>
      </c>
      <c r="AQ331" s="31">
        <f t="shared" si="236"/>
        <v>22.39840329135064</v>
      </c>
      <c r="AR331" s="31">
        <f t="shared" si="237"/>
        <v>1.5261354419630084</v>
      </c>
      <c r="AS331" s="58" t="str">
        <f t="shared" si="238"/>
        <v>-1.84078130857587+0.568623892214107i</v>
      </c>
      <c r="AT331" s="49">
        <f t="shared" si="239"/>
        <v>5.695856154069741</v>
      </c>
      <c r="AU331" s="61">
        <f t="shared" si="240"/>
        <v>162.83389532428805</v>
      </c>
      <c r="AV331" s="58" t="str">
        <f t="shared" si="217"/>
        <v>0.050862059061197-0.00578911126705228i</v>
      </c>
      <c r="AW331" s="64">
        <f t="shared" si="241"/>
        <v>-25.816219910032345</v>
      </c>
      <c r="AX331" s="61">
        <f t="shared" si="242"/>
        <v>-6.4934517068068223</v>
      </c>
    </row>
    <row r="332" spans="14:50" x14ac:dyDescent="0.25">
      <c r="N332" s="10">
        <v>14</v>
      </c>
      <c r="O332" s="50">
        <f t="shared" si="244"/>
        <v>13803.842646028841</v>
      </c>
      <c r="P332" s="48" t="str">
        <f t="shared" si="208"/>
        <v>304.285714285714</v>
      </c>
      <c r="Q332" s="17" t="str">
        <f t="shared" si="209"/>
        <v>1+4516.26441749226i</v>
      </c>
      <c r="R332" s="17">
        <f t="shared" si="218"/>
        <v>4516.2645282032254</v>
      </c>
      <c r="S332" s="17">
        <f t="shared" si="219"/>
        <v>1.5705749048649085</v>
      </c>
      <c r="T332" s="17" t="str">
        <f t="shared" si="210"/>
        <v>1+0.0936706693998392i</v>
      </c>
      <c r="U332" s="17">
        <f t="shared" si="220"/>
        <v>1.004377515830484</v>
      </c>
      <c r="V332" s="17">
        <f t="shared" si="221"/>
        <v>9.3398141145715402E-2</v>
      </c>
      <c r="W332" s="31" t="str">
        <f t="shared" si="211"/>
        <v>1-0.292720841874498i</v>
      </c>
      <c r="X332" s="17">
        <f t="shared" si="222"/>
        <v>1.0419623271825689</v>
      </c>
      <c r="Y332" s="17">
        <f t="shared" si="223"/>
        <v>-0.28476536155807863</v>
      </c>
      <c r="Z332" s="31" t="str">
        <f t="shared" si="212"/>
        <v>0.988035865403924+2.58222201693608i</v>
      </c>
      <c r="AA332" s="17">
        <f t="shared" si="224"/>
        <v>2.7647939192775142</v>
      </c>
      <c r="AB332" s="17">
        <f t="shared" si="225"/>
        <v>1.205353092432941</v>
      </c>
      <c r="AC332" s="66" t="str">
        <f t="shared" si="226"/>
        <v>-0.0251164297270117-0.00442260592847403i</v>
      </c>
      <c r="AD332" s="64">
        <f t="shared" si="227"/>
        <v>-31.868231496976001</v>
      </c>
      <c r="AE332" s="61">
        <f t="shared" si="228"/>
        <v>-170.01349254414791</v>
      </c>
      <c r="AF332" s="31" t="str">
        <f t="shared" si="213"/>
        <v>-1512.12121212121</v>
      </c>
      <c r="AG332" s="31" t="str">
        <f t="shared" si="229"/>
        <v>86732.1012961474i</v>
      </c>
      <c r="AH332" s="31">
        <f t="shared" si="230"/>
        <v>86732.101296147404</v>
      </c>
      <c r="AI332" s="31">
        <f t="shared" si="231"/>
        <v>1.5707963267948966</v>
      </c>
      <c r="AJ332" s="31" t="str">
        <f t="shared" si="214"/>
        <v>-31.7022887648606+119.539993057137i</v>
      </c>
      <c r="AK332" s="31">
        <f t="shared" si="232"/>
        <v>123.67232937496959</v>
      </c>
      <c r="AL332" s="31">
        <f t="shared" si="233"/>
        <v>1.8300311333863246</v>
      </c>
      <c r="AM332" s="31" t="str">
        <f t="shared" si="215"/>
        <v>1+595.329143296754i</v>
      </c>
      <c r="AN332" s="31">
        <f t="shared" si="234"/>
        <v>595.32998316769419</v>
      </c>
      <c r="AO332" s="31">
        <f t="shared" si="235"/>
        <v>1.5691165853094526</v>
      </c>
      <c r="AP332" s="31" t="str">
        <f t="shared" si="216"/>
        <v>1+22.8972747421829i</v>
      </c>
      <c r="AQ332" s="31">
        <f t="shared" si="236"/>
        <v>22.91910099936311</v>
      </c>
      <c r="AR332" s="31">
        <f t="shared" si="237"/>
        <v>1.5271507422621575</v>
      </c>
      <c r="AS332" s="58" t="str">
        <f t="shared" si="238"/>
        <v>-1.83496727138699+0.576803298613392i</v>
      </c>
      <c r="AT332" s="49">
        <f t="shared" si="239"/>
        <v>5.6817906179630606</v>
      </c>
      <c r="AU332" s="61">
        <f t="shared" si="240"/>
        <v>162.54998979352462</v>
      </c>
      <c r="AV332" s="58" t="str">
        <f t="shared" si="217"/>
        <v>0.0486388002111687-0.00637190238293989i</v>
      </c>
      <c r="AW332" s="64">
        <f t="shared" si="241"/>
        <v>-26.186440879012942</v>
      </c>
      <c r="AX332" s="61">
        <f t="shared" si="242"/>
        <v>-7.4635027506232889</v>
      </c>
    </row>
    <row r="333" spans="14:50" x14ac:dyDescent="0.25">
      <c r="N333" s="10">
        <v>15</v>
      </c>
      <c r="O333" s="50">
        <f t="shared" si="244"/>
        <v>14125.375446227561</v>
      </c>
      <c r="P333" s="48" t="str">
        <f t="shared" si="208"/>
        <v>304.285714285714</v>
      </c>
      <c r="Q333" s="17" t="str">
        <f t="shared" si="209"/>
        <v>1+4621.46172970676i</v>
      </c>
      <c r="R333" s="17">
        <f t="shared" si="218"/>
        <v>4621.4618378976365</v>
      </c>
      <c r="S333" s="17">
        <f t="shared" si="219"/>
        <v>1.5705799450432172</v>
      </c>
      <c r="T333" s="17" t="str">
        <f t="shared" si="210"/>
        <v>1+0.0958525395791029i</v>
      </c>
      <c r="U333" s="17">
        <f t="shared" si="220"/>
        <v>1.0045833511181457</v>
      </c>
      <c r="V333" s="17">
        <f t="shared" si="221"/>
        <v>9.5560592202500044E-2</v>
      </c>
      <c r="W333" s="31" t="str">
        <f t="shared" si="211"/>
        <v>1-0.299539186184697i</v>
      </c>
      <c r="X333" s="17">
        <f t="shared" si="222"/>
        <v>1.0438983303273315</v>
      </c>
      <c r="Y333" s="17">
        <f t="shared" si="223"/>
        <v>-0.29103397590902891</v>
      </c>
      <c r="Z333" s="31" t="str">
        <f t="shared" si="212"/>
        <v>0.987472013111726+2.64236969444377i</v>
      </c>
      <c r="AA333" s="17">
        <f t="shared" si="224"/>
        <v>2.8208542285615872</v>
      </c>
      <c r="AB333" s="17">
        <f t="shared" si="225"/>
        <v>1.2131597398831768</v>
      </c>
      <c r="AC333" s="66" t="str">
        <f t="shared" si="226"/>
        <v>-0.0241554336602758-0.0039571905008555i</v>
      </c>
      <c r="AD333" s="64">
        <f t="shared" si="227"/>
        <v>-32.224685448391782</v>
      </c>
      <c r="AE333" s="61">
        <f t="shared" si="228"/>
        <v>-170.69633510288529</v>
      </c>
      <c r="AF333" s="31" t="str">
        <f t="shared" si="213"/>
        <v>-1512.12121212121</v>
      </c>
      <c r="AG333" s="31" t="str">
        <f t="shared" si="229"/>
        <v>88752.3514621323i</v>
      </c>
      <c r="AH333" s="31">
        <f t="shared" si="230"/>
        <v>88752.351462132297</v>
      </c>
      <c r="AI333" s="31">
        <f t="shared" si="231"/>
        <v>1.5707963267948966</v>
      </c>
      <c r="AJ333" s="31" t="str">
        <f t="shared" si="214"/>
        <v>-33.2435001522899+122.324437192659i</v>
      </c>
      <c r="AK333" s="31">
        <f t="shared" si="232"/>
        <v>126.76118584517927</v>
      </c>
      <c r="AL333" s="31">
        <f t="shared" si="233"/>
        <v>1.8361524995361351</v>
      </c>
      <c r="AM333" s="31" t="str">
        <f t="shared" si="215"/>
        <v>1+609.196140436075i</v>
      </c>
      <c r="AN333" s="31">
        <f t="shared" si="234"/>
        <v>609.19696118924469</v>
      </c>
      <c r="AO333" s="31">
        <f t="shared" si="235"/>
        <v>1.5691548208242525</v>
      </c>
      <c r="AP333" s="31" t="str">
        <f t="shared" si="216"/>
        <v>1+23.4306207860029i</v>
      </c>
      <c r="AQ333" s="31">
        <f t="shared" si="236"/>
        <v>23.451950674037143</v>
      </c>
      <c r="AR333" s="31">
        <f t="shared" si="237"/>
        <v>1.5281430185168137</v>
      </c>
      <c r="AS333" s="58" t="str">
        <f t="shared" si="238"/>
        <v>-1.82892022374991+0.585149716438276i</v>
      </c>
      <c r="AT333" s="49">
        <f t="shared" si="239"/>
        <v>5.6671428885606856</v>
      </c>
      <c r="AU333" s="61">
        <f t="shared" si="240"/>
        <v>162.25830532341459</v>
      </c>
      <c r="AV333" s="58" t="str">
        <f t="shared" si="217"/>
        <v>0.0464939100341956-0.00689715942050831i</v>
      </c>
      <c r="AW333" s="64">
        <f t="shared" si="241"/>
        <v>-26.557542559831084</v>
      </c>
      <c r="AX333" s="61">
        <f t="shared" si="242"/>
        <v>-8.4380297794706873</v>
      </c>
    </row>
    <row r="334" spans="14:50" x14ac:dyDescent="0.25">
      <c r="N334" s="10">
        <v>16</v>
      </c>
      <c r="O334" s="50">
        <f t="shared" si="244"/>
        <v>14454.397707459291</v>
      </c>
      <c r="P334" s="48" t="str">
        <f t="shared" si="208"/>
        <v>304.285714285714</v>
      </c>
      <c r="Q334" s="17" t="str">
        <f t="shared" si="209"/>
        <v>1+4729.10940210262i</v>
      </c>
      <c r="R334" s="17">
        <f t="shared" si="218"/>
        <v>4729.1095078307708</v>
      </c>
      <c r="S334" s="17">
        <f t="shared" si="219"/>
        <v>1.5705848704930714</v>
      </c>
      <c r="T334" s="17" t="str">
        <f t="shared" si="210"/>
        <v>1+0.0980852320436096i</v>
      </c>
      <c r="U334" s="17">
        <f t="shared" si="220"/>
        <v>1.0047988419305869</v>
      </c>
      <c r="V334" s="17">
        <f t="shared" si="221"/>
        <v>9.7772485428225517E-2</v>
      </c>
      <c r="W334" s="31" t="str">
        <f t="shared" si="211"/>
        <v>1-0.30651635013628i</v>
      </c>
      <c r="X334" s="17">
        <f t="shared" si="222"/>
        <v>1.0459217336401738</v>
      </c>
      <c r="Y334" s="17">
        <f t="shared" si="223"/>
        <v>-0.29742432368066407</v>
      </c>
      <c r="Z334" s="31" t="str">
        <f t="shared" si="212"/>
        <v>0.986881587279681+2.70391839133934i</v>
      </c>
      <c r="AA334" s="17">
        <f t="shared" si="224"/>
        <v>2.878386689507646</v>
      </c>
      <c r="AB334" s="17">
        <f t="shared" si="225"/>
        <v>1.220837340751483</v>
      </c>
      <c r="AC334" s="66" t="str">
        <f t="shared" si="226"/>
        <v>-0.0232269948414355-0.00352273865583229i</v>
      </c>
      <c r="AD334" s="64">
        <f t="shared" si="227"/>
        <v>-32.58137263315097</v>
      </c>
      <c r="AE334" s="61">
        <f t="shared" si="228"/>
        <v>-171.37591924728198</v>
      </c>
      <c r="AF334" s="31" t="str">
        <f t="shared" si="213"/>
        <v>-1512.12121212121</v>
      </c>
      <c r="AG334" s="31" t="str">
        <f t="shared" si="229"/>
        <v>90819.6592996385i</v>
      </c>
      <c r="AH334" s="31">
        <f t="shared" si="230"/>
        <v>90819.659299638501</v>
      </c>
      <c r="AI334" s="31">
        <f t="shared" si="231"/>
        <v>1.5707963267948966</v>
      </c>
      <c r="AJ334" s="31" t="str">
        <f t="shared" si="214"/>
        <v>-34.857346594648+125.173739363935i</v>
      </c>
      <c r="AK334" s="31">
        <f t="shared" si="232"/>
        <v>129.93652157099538</v>
      </c>
      <c r="AL334" s="31">
        <f t="shared" si="233"/>
        <v>1.8423872953764395</v>
      </c>
      <c r="AM334" s="31" t="str">
        <f t="shared" si="215"/>
        <v>1+623.386141432717i</v>
      </c>
      <c r="AN334" s="31">
        <f t="shared" si="234"/>
        <v>623.38694350328785</v>
      </c>
      <c r="AO334" s="31">
        <f t="shared" si="235"/>
        <v>1.569192185997115</v>
      </c>
      <c r="AP334" s="31" t="str">
        <f t="shared" si="216"/>
        <v>1+23.9763900551046i</v>
      </c>
      <c r="AQ334" s="31">
        <f t="shared" si="236"/>
        <v>23.997234842258777</v>
      </c>
      <c r="AR334" s="31">
        <f t="shared" si="237"/>
        <v>1.5291127890244713</v>
      </c>
      <c r="AS334" s="58" t="str">
        <f t="shared" si="238"/>
        <v>-1.82263242961165+0.593659106863985i</v>
      </c>
      <c r="AT334" s="49">
        <f t="shared" si="239"/>
        <v>5.6518880913672156</v>
      </c>
      <c r="AU334" s="61">
        <f t="shared" si="240"/>
        <v>161.95878245953023</v>
      </c>
      <c r="AV334" s="58" t="str">
        <f t="shared" si="217"/>
        <v>0.0444255799245595-0.0073682592975345i</v>
      </c>
      <c r="AW334" s="64">
        <f t="shared" si="241"/>
        <v>-26.929484541783747</v>
      </c>
      <c r="AX334" s="61">
        <f t="shared" si="242"/>
        <v>-9.4171367877517547</v>
      </c>
    </row>
    <row r="335" spans="14:50" x14ac:dyDescent="0.25">
      <c r="N335" s="10">
        <v>17</v>
      </c>
      <c r="O335" s="50">
        <f t="shared" si="244"/>
        <v>14791.083881682089</v>
      </c>
      <c r="P335" s="48" t="str">
        <f t="shared" si="208"/>
        <v>304.285714285714</v>
      </c>
      <c r="Q335" s="17" t="str">
        <f t="shared" si="209"/>
        <v>1+4839.26451090063i</v>
      </c>
      <c r="R335" s="17">
        <f t="shared" si="218"/>
        <v>4839.2646142221138</v>
      </c>
      <c r="S335" s="17">
        <f t="shared" si="219"/>
        <v>1.5705896838260087</v>
      </c>
      <c r="T335" s="17" t="str">
        <f t="shared" si="210"/>
        <v>1+0.100369930596457i</v>
      </c>
      <c r="U335" s="17">
        <f t="shared" si="220"/>
        <v>1.0050244389903846</v>
      </c>
      <c r="V335" s="17">
        <f t="shared" si="221"/>
        <v>0.10003490697734206</v>
      </c>
      <c r="W335" s="31" t="str">
        <f t="shared" si="211"/>
        <v>1-0.31365603311393i</v>
      </c>
      <c r="X335" s="17">
        <f t="shared" si="222"/>
        <v>1.0480363100144798</v>
      </c>
      <c r="Y335" s="17">
        <f t="shared" si="223"/>
        <v>-0.30393770466937892</v>
      </c>
      <c r="Z335" s="31" t="str">
        <f t="shared" si="212"/>
        <v>0.98626333553544+2.7669007415566i</v>
      </c>
      <c r="AA335" s="17">
        <f t="shared" si="224"/>
        <v>2.937423204212827</v>
      </c>
      <c r="AB335" s="17">
        <f t="shared" si="225"/>
        <v>1.2283864985778505</v>
      </c>
      <c r="AC335" s="66" t="str">
        <f t="shared" si="226"/>
        <v>-0.0223304214845666-0.0031175559582612i</v>
      </c>
      <c r="AD335" s="64">
        <f t="shared" si="227"/>
        <v>-32.938227523929754</v>
      </c>
      <c r="AE335" s="61">
        <f t="shared" si="228"/>
        <v>-172.05229194804406</v>
      </c>
      <c r="AF335" s="31" t="str">
        <f t="shared" si="213"/>
        <v>-1512.12121212121</v>
      </c>
      <c r="AG335" s="31" t="str">
        <f t="shared" si="229"/>
        <v>92935.1209226457i</v>
      </c>
      <c r="AH335" s="31">
        <f t="shared" si="230"/>
        <v>92935.120922645699</v>
      </c>
      <c r="AI335" s="31">
        <f t="shared" si="231"/>
        <v>1.5707963267948966</v>
      </c>
      <c r="AJ335" s="31" t="str">
        <f t="shared" si="214"/>
        <v>-36.5472512766116+128.089410308692i</v>
      </c>
      <c r="AK335" s="31">
        <f t="shared" si="232"/>
        <v>133.20134612346919</v>
      </c>
      <c r="AL335" s="31">
        <f t="shared" si="233"/>
        <v>1.8487370558700695</v>
      </c>
      <c r="AM335" s="31" t="str">
        <f t="shared" si="215"/>
        <v>1+637.906670013039i</v>
      </c>
      <c r="AN335" s="31">
        <f t="shared" si="234"/>
        <v>637.90745382627745</v>
      </c>
      <c r="AO335" s="31">
        <f t="shared" si="235"/>
        <v>1.5692287006391319</v>
      </c>
      <c r="AP335" s="31" t="str">
        <f t="shared" si="216"/>
        <v>1+24.5348719235785i</v>
      </c>
      <c r="AQ335" s="31">
        <f t="shared" si="236"/>
        <v>24.555242623651687</v>
      </c>
      <c r="AR335" s="31">
        <f t="shared" si="237"/>
        <v>1.5300605606699298</v>
      </c>
      <c r="AS335" s="58" t="str">
        <f t="shared" si="238"/>
        <v>-1.81609605876812+0.602327068383942i</v>
      </c>
      <c r="AT335" s="49">
        <f t="shared" si="239"/>
        <v>5.6360006008653505</v>
      </c>
      <c r="AU335" s="61">
        <f t="shared" si="240"/>
        <v>161.65136343243134</v>
      </c>
      <c r="AV335" s="58" t="str">
        <f t="shared" si="217"/>
        <v>0.0424319787896147-0.00778843621978956i</v>
      </c>
      <c r="AW335" s="64">
        <f t="shared" si="241"/>
        <v>-27.302226923064406</v>
      </c>
      <c r="AX335" s="61">
        <f t="shared" si="242"/>
        <v>-10.400928515612728</v>
      </c>
    </row>
    <row r="336" spans="14:50" x14ac:dyDescent="0.25">
      <c r="N336" s="10">
        <v>18</v>
      </c>
      <c r="O336" s="50">
        <f t="shared" si="244"/>
        <v>15135.612484362096</v>
      </c>
      <c r="P336" s="48" t="str">
        <f t="shared" si="208"/>
        <v>304.285714285714</v>
      </c>
      <c r="Q336" s="17" t="str">
        <f t="shared" si="209"/>
        <v>1+4951.98546179757i</v>
      </c>
      <c r="R336" s="17">
        <f t="shared" si="218"/>
        <v>4951.9855627671704</v>
      </c>
      <c r="S336" s="17">
        <f t="shared" si="219"/>
        <v>1.5705943875941213</v>
      </c>
      <c r="T336" s="17" t="str">
        <f t="shared" si="210"/>
        <v>1+0.10270784661506i</v>
      </c>
      <c r="U336" s="17">
        <f t="shared" si="220"/>
        <v>1.0052606138491167</v>
      </c>
      <c r="V336" s="17">
        <f t="shared" si="221"/>
        <v>0.10234896372228655</v>
      </c>
      <c r="W336" s="31" t="str">
        <f t="shared" si="211"/>
        <v>1-0.320962020672064i</v>
      </c>
      <c r="X336" s="17">
        <f t="shared" si="222"/>
        <v>1.0502459800988977</v>
      </c>
      <c r="Y336" s="17">
        <f t="shared" si="223"/>
        <v>-0.31057536095896132</v>
      </c>
      <c r="Z336" s="31" t="str">
        <f t="shared" si="212"/>
        <v>0.985615946484162+2.83135013917129i</v>
      </c>
      <c r="AA336" s="17">
        <f t="shared" si="224"/>
        <v>2.9979963983549336</v>
      </c>
      <c r="AB336" s="17">
        <f t="shared" si="225"/>
        <v>1.2358079257680465</v>
      </c>
      <c r="AC336" s="66" t="str">
        <f t="shared" si="226"/>
        <v>-0.0214650032044499-0.00274002018778371i</v>
      </c>
      <c r="AD336" s="64">
        <f t="shared" si="227"/>
        <v>-33.295184361437066</v>
      </c>
      <c r="AE336" s="61">
        <f t="shared" si="228"/>
        <v>-172.72550191627897</v>
      </c>
      <c r="AF336" s="31" t="str">
        <f t="shared" si="213"/>
        <v>-1512.12121212121</v>
      </c>
      <c r="AG336" s="31" t="str">
        <f t="shared" si="229"/>
        <v>95099.8579769078i</v>
      </c>
      <c r="AH336" s="31">
        <f t="shared" si="230"/>
        <v>95099.857976907806</v>
      </c>
      <c r="AI336" s="31">
        <f t="shared" si="231"/>
        <v>1.5707963267948966</v>
      </c>
      <c r="AJ336" s="31" t="str">
        <f t="shared" si="214"/>
        <v>-38.3167987125806+131.072995954259i</v>
      </c>
      <c r="AK336" s="31">
        <f t="shared" si="232"/>
        <v>136.55880539901341</v>
      </c>
      <c r="AL336" s="31">
        <f t="shared" si="233"/>
        <v>1.855203270172934</v>
      </c>
      <c r="AM336" s="31" t="str">
        <f t="shared" si="215"/>
        <v>1+652.765425153494i</v>
      </c>
      <c r="AN336" s="31">
        <f t="shared" si="234"/>
        <v>652.76619112498599</v>
      </c>
      <c r="AO336" s="31">
        <f t="shared" si="235"/>
        <v>1.5692643841104599</v>
      </c>
      <c r="AP336" s="31" t="str">
        <f t="shared" si="216"/>
        <v>1+25.1063625059036i</v>
      </c>
      <c r="AQ336" s="31">
        <f t="shared" si="236"/>
        <v>25.126269883885314</v>
      </c>
      <c r="AR336" s="31">
        <f t="shared" si="237"/>
        <v>1.5309868291595314</v>
      </c>
      <c r="AS336" s="58" t="str">
        <f t="shared" si="238"/>
        <v>-1.80930320084479+0.61114881805824i</v>
      </c>
      <c r="AT336" s="49">
        <f t="shared" si="239"/>
        <v>5.6194540299636344</v>
      </c>
      <c r="AU336" s="61">
        <f t="shared" si="240"/>
        <v>161.33599243090561</v>
      </c>
      <c r="AV336" s="58" t="str">
        <f t="shared" si="217"/>
        <v>0.0405112591031746-0.00816078404187948i</v>
      </c>
      <c r="AW336" s="64">
        <f t="shared" si="241"/>
        <v>-27.675730331473439</v>
      </c>
      <c r="AX336" s="61">
        <f t="shared" si="242"/>
        <v>-11.389509485373356</v>
      </c>
    </row>
    <row r="337" spans="14:50" x14ac:dyDescent="0.25">
      <c r="N337" s="10">
        <v>19</v>
      </c>
      <c r="O337" s="50">
        <f t="shared" si="244"/>
        <v>15488.166189124853</v>
      </c>
      <c r="P337" s="48" t="str">
        <f t="shared" si="208"/>
        <v>304.285714285714</v>
      </c>
      <c r="Q337" s="17" t="str">
        <f t="shared" si="209"/>
        <v>1+5067.33202093363i</v>
      </c>
      <c r="R337" s="17">
        <f t="shared" si="218"/>
        <v>5067.3321196048819</v>
      </c>
      <c r="S337" s="17">
        <f t="shared" si="219"/>
        <v>1.5705989842914081</v>
      </c>
      <c r="T337" s="17" t="str">
        <f t="shared" si="210"/>
        <v>1+0.105100219693438i</v>
      </c>
      <c r="U337" s="17">
        <f t="shared" si="220"/>
        <v>1.0055078598298517</v>
      </c>
      <c r="V337" s="17">
        <f t="shared" si="221"/>
        <v>0.1047157834207073</v>
      </c>
      <c r="W337" s="31" t="str">
        <f t="shared" si="211"/>
        <v>1-0.328438186541994i</v>
      </c>
      <c r="X337" s="17">
        <f t="shared" si="222"/>
        <v>1.0525548168048036</v>
      </c>
      <c r="Y337" s="17">
        <f t="shared" si="223"/>
        <v>-0.31733847153386935</v>
      </c>
      <c r="Z337" s="31" t="str">
        <f t="shared" si="212"/>
        <v>0.984938046926874+2.89730075610712i</v>
      </c>
      <c r="AA337" s="17">
        <f t="shared" si="224"/>
        <v>3.0601396418501912</v>
      </c>
      <c r="AB337" s="17">
        <f t="shared" si="225"/>
        <v>1.2431024370106689</v>
      </c>
      <c r="AC337" s="66" t="str">
        <f t="shared" si="226"/>
        <v>-0.0206300143415628-0.00238857999322308i</v>
      </c>
      <c r="AD337" s="64">
        <f t="shared" si="227"/>
        <v>-33.652177162634779</v>
      </c>
      <c r="AE337" s="61">
        <f t="shared" si="228"/>
        <v>-173.39559890818072</v>
      </c>
      <c r="AF337" s="31" t="str">
        <f t="shared" si="213"/>
        <v>-1512.12121212121</v>
      </c>
      <c r="AG337" s="31" t="str">
        <f t="shared" si="229"/>
        <v>97315.0182346649i</v>
      </c>
      <c r="AH337" s="31">
        <f t="shared" si="230"/>
        <v>97315.018234664894</v>
      </c>
      <c r="AI337" s="31">
        <f t="shared" si="231"/>
        <v>1.5707963267948966</v>
      </c>
      <c r="AJ337" s="31" t="str">
        <f t="shared" si="214"/>
        <v>-40.1697423499141+134.126078237237i</v>
      </c>
      <c r="AK337" s="31">
        <f t="shared" si="232"/>
        <v>140.01218898281644</v>
      </c>
      <c r="AL337" s="31">
        <f t="shared" si="233"/>
        <v>1.8617873768950879</v>
      </c>
      <c r="AM337" s="31" t="str">
        <f t="shared" si="215"/>
        <v>1+667.970285162738i</v>
      </c>
      <c r="AN337" s="31">
        <f t="shared" si="234"/>
        <v>667.97103369861009</v>
      </c>
      <c r="AO337" s="31">
        <f t="shared" si="235"/>
        <v>1.5692992553305845</v>
      </c>
      <c r="AP337" s="31" t="str">
        <f t="shared" si="216"/>
        <v>1+25.6911648139515i</v>
      </c>
      <c r="AQ337" s="31">
        <f t="shared" si="236"/>
        <v>25.710619391559192</v>
      </c>
      <c r="AR337" s="31">
        <f t="shared" si="237"/>
        <v>1.5318920792517561</v>
      </c>
      <c r="AS337" s="58" t="str">
        <f t="shared" si="238"/>
        <v>-1.80224588089586+0.620119172795506i</v>
      </c>
      <c r="AT337" s="49">
        <f t="shared" si="239"/>
        <v>5.6022212210176754</v>
      </c>
      <c r="AU337" s="61">
        <f t="shared" si="240"/>
        <v>161.01261588729042</v>
      </c>
      <c r="AV337" s="58" t="str">
        <f t="shared" si="217"/>
        <v>0.0386615626194575-0.00848825897427279i</v>
      </c>
      <c r="AW337" s="64">
        <f t="shared" si="241"/>
        <v>-28.049955941617096</v>
      </c>
      <c r="AX337" s="61">
        <f t="shared" si="242"/>
        <v>-12.382983020890284</v>
      </c>
    </row>
    <row r="338" spans="14:50" x14ac:dyDescent="0.25">
      <c r="N338" s="10">
        <v>20</v>
      </c>
      <c r="O338" s="50">
        <f t="shared" si="244"/>
        <v>15848.931924611146</v>
      </c>
      <c r="P338" s="48" t="str">
        <f t="shared" si="208"/>
        <v>304.285714285714</v>
      </c>
      <c r="Q338" s="17" t="str">
        <f t="shared" si="209"/>
        <v>1+5185.36534658125i</v>
      </c>
      <c r="R338" s="17">
        <f t="shared" si="218"/>
        <v>5185.3654430064707</v>
      </c>
      <c r="S338" s="17">
        <f t="shared" si="219"/>
        <v>1.5706034763550984</v>
      </c>
      <c r="T338" s="17" t="str">
        <f t="shared" si="210"/>
        <v>1+0.107548318299463i</v>
      </c>
      <c r="U338" s="17">
        <f t="shared" si="220"/>
        <v>1.0057666930103832</v>
      </c>
      <c r="V338" s="17">
        <f t="shared" si="221"/>
        <v>0.1071365148654965</v>
      </c>
      <c r="W338" s="31" t="str">
        <f t="shared" si="211"/>
        <v>1-0.336088494685821i</v>
      </c>
      <c r="X338" s="17">
        <f t="shared" si="222"/>
        <v>1.0549670498457198</v>
      </c>
      <c r="Y338" s="17">
        <f t="shared" si="223"/>
        <v>-0.32422814669018146</v>
      </c>
      <c r="Z338" s="31" t="str">
        <f t="shared" si="212"/>
        <v>0.984228198947727+2.96478756025414i</v>
      </c>
      <c r="AA338" s="17">
        <f t="shared" si="224"/>
        <v>3.1238870698284824</v>
      </c>
      <c r="AB338" s="17">
        <f t="shared" si="225"/>
        <v>1.2502709428200935</v>
      </c>
      <c r="AC338" s="66" t="str">
        <f t="shared" si="226"/>
        <v>-0.0198247170955244-0.00206175339623701i</v>
      </c>
      <c r="AD338" s="64">
        <f t="shared" si="227"/>
        <v>-34.00913972740377</v>
      </c>
      <c r="AE338" s="61">
        <f t="shared" si="228"/>
        <v>-174.06263302631831</v>
      </c>
      <c r="AF338" s="31" t="str">
        <f t="shared" si="213"/>
        <v>-1512.12121212121</v>
      </c>
      <c r="AG338" s="31" t="str">
        <f t="shared" si="229"/>
        <v>99581.7762032062i</v>
      </c>
      <c r="AH338" s="31">
        <f t="shared" si="230"/>
        <v>99581.776203206202</v>
      </c>
      <c r="AI338" s="31">
        <f t="shared" si="231"/>
        <v>1.5707963267948966</v>
      </c>
      <c r="AJ338" s="31" t="str">
        <f t="shared" si="214"/>
        <v>-42.110012530495+137.250275942264i</v>
      </c>
      <c r="AK338" s="31">
        <f t="shared" si="232"/>
        <v>143.56493792547701</v>
      </c>
      <c r="AL338" s="31">
        <f t="shared" si="233"/>
        <v>1.8684907591479951</v>
      </c>
      <c r="AM338" s="31" t="str">
        <f t="shared" si="215"/>
        <v>1+683.529311858806i</v>
      </c>
      <c r="AN338" s="31">
        <f t="shared" si="234"/>
        <v>683.53004335593971</v>
      </c>
      <c r="AO338" s="31">
        <f t="shared" si="235"/>
        <v>1.5693333327883485</v>
      </c>
      <c r="AP338" s="31" t="str">
        <f t="shared" si="216"/>
        <v>1+26.2895889176464i</v>
      </c>
      <c r="AQ338" s="31">
        <f t="shared" si="236"/>
        <v>26.308600978745272</v>
      </c>
      <c r="AR338" s="31">
        <f t="shared" si="237"/>
        <v>1.5327767849841412</v>
      </c>
      <c r="AS338" s="58" t="str">
        <f t="shared" si="238"/>
        <v>-1.79491607669936+0.629232530777034i</v>
      </c>
      <c r="AT338" s="49">
        <f t="shared" si="239"/>
        <v>5.584274238590158</v>
      </c>
      <c r="AU338" s="61">
        <f t="shared" si="240"/>
        <v>160.68118277481904</v>
      </c>
      <c r="AV338" s="58" t="str">
        <f t="shared" si="217"/>
        <v>0.0368810257381257-0.00877368259286023i</v>
      </c>
      <c r="AW338" s="64">
        <f t="shared" si="241"/>
        <v>-28.424865488813627</v>
      </c>
      <c r="AX338" s="61">
        <f t="shared" si="242"/>
        <v>-13.381450251499272</v>
      </c>
    </row>
    <row r="339" spans="14:50" x14ac:dyDescent="0.25">
      <c r="N339" s="10">
        <v>21</v>
      </c>
      <c r="O339" s="50">
        <f t="shared" si="244"/>
        <v>16218.100973589309</v>
      </c>
      <c r="P339" s="48" t="str">
        <f t="shared" ref="P339:P402" si="245">COMPLEX(Adc,0)</f>
        <v>304.285714285714</v>
      </c>
      <c r="Q339" s="17" t="str">
        <f t="shared" ref="Q339:Q402" si="246">IMSUM(COMPLEX(1,0),IMDIV(COMPLEX(0,2*PI()*O339),COMPLEX(wp_lf,0)))</f>
        <v>1+5306.14802157204i</v>
      </c>
      <c r="R339" s="17">
        <f t="shared" si="218"/>
        <v>5306.1481158023553</v>
      </c>
      <c r="S339" s="17">
        <f t="shared" si="219"/>
        <v>1.5706078661669429</v>
      </c>
      <c r="T339" s="17" t="str">
        <f t="shared" ref="T339:T402" si="247">IMSUM(COMPLEX(1,0),IMDIV(COMPLEX(0,2*PI()*O339),COMPLEX(wz_esr,0)))</f>
        <v>1+0.11005344044742i</v>
      </c>
      <c r="U339" s="17">
        <f t="shared" si="220"/>
        <v>1.0060376532487807</v>
      </c>
      <c r="V339" s="17">
        <f t="shared" si="221"/>
        <v>0.10961232801589764</v>
      </c>
      <c r="W339" s="31" t="str">
        <f t="shared" ref="W339:W402" si="248">IMSUB(COMPLEX(1,0),IMDIV(COMPLEX(0,2*PI()*O339),COMPLEX(wz_rhp,0)))</f>
        <v>1-0.343917001398187i</v>
      </c>
      <c r="X339" s="17">
        <f t="shared" si="222"/>
        <v>1.0574870702995478</v>
      </c>
      <c r="Y339" s="17">
        <f t="shared" si="223"/>
        <v>-0.33124542225109271</v>
      </c>
      <c r="Z339" s="31" t="str">
        <f t="shared" ref="Z339:Z402" si="249">IMSUM(COMPLEX(1,0),IMDIV(COMPLEX(0,2*PI()*O339),COMPLEX(Q*(wsl/2),0)),IMDIV(IMPOWER(COMPLEX(0,2*PI()*O339),2),IMPOWER(COMPLEX(wsl/2,0),2)))</f>
        <v>0.983484896863986+3.03384633400921i</v>
      </c>
      <c r="AA339" s="17">
        <f t="shared" si="224"/>
        <v>3.1892736039325142</v>
      </c>
      <c r="AB339" s="17">
        <f t="shared" si="225"/>
        <v>1.2573144432237846</v>
      </c>
      <c r="AC339" s="66" t="str">
        <f t="shared" si="226"/>
        <v>-0.0190483644652984-0.00175812616489903i</v>
      </c>
      <c r="AD339" s="64">
        <f t="shared" si="227"/>
        <v>-34.366005644047306</v>
      </c>
      <c r="AE339" s="61">
        <f t="shared" si="228"/>
        <v>-174.72665401907966</v>
      </c>
      <c r="AF339" s="31" t="str">
        <f t="shared" ref="AF339:AF402" si="250">COMPLEX(Adc_ea_iso,0)</f>
        <v>-1512.12121212121</v>
      </c>
      <c r="AG339" s="31" t="str">
        <f t="shared" si="229"/>
        <v>101901.333747611i</v>
      </c>
      <c r="AH339" s="31">
        <f t="shared" si="230"/>
        <v>101901.333747611</v>
      </c>
      <c r="AI339" s="31">
        <f t="shared" si="231"/>
        <v>1.5707963267948966</v>
      </c>
      <c r="AJ339" s="31" t="str">
        <f t="shared" ref="AJ339:AJ402" si="251">IMSUM(IMPRODUCT(COMPLEX(wpA_ea_iso,0),IMPOWER(COMPLEX(0,2*PI()*O339),2)),COMPLEX(0,wpB_ea_iso*2*PI()*O339),COMPLEX(1,0))</f>
        <v>-44.1417248275131+140.447245560319i</v>
      </c>
      <c r="AK339" s="31">
        <f t="shared" si="232"/>
        <v>147.22065295408939</v>
      </c>
      <c r="AL339" s="31">
        <f t="shared" si="233"/>
        <v>1.8753147393802612</v>
      </c>
      <c r="AM339" s="31" t="str">
        <f t="shared" ref="AM339:AM402" si="252">IMSUM(COMPLEX(1,0),IMDIV(COMPLEX(0,2*PI()*O339),COMPLEX(wz1_ea_iso,0)))</f>
        <v>1+699.4507548436i</v>
      </c>
      <c r="AN339" s="31">
        <f t="shared" si="234"/>
        <v>699.45146968984329</v>
      </c>
      <c r="AO339" s="31">
        <f t="shared" si="235"/>
        <v>1.5693666345517543</v>
      </c>
      <c r="AP339" s="31" t="str">
        <f t="shared" ref="AP339:AP402" si="253">IMSUM(COMPLEX(1,0),IMDIV(COMPLEX(0,2*PI()*O339),COMPLEX(wz2_ea_iso,0)))</f>
        <v>1+26.9019521093693i</v>
      </c>
      <c r="AQ339" s="31">
        <f t="shared" si="236"/>
        <v>26.920531705276542</v>
      </c>
      <c r="AR339" s="31">
        <f t="shared" si="237"/>
        <v>1.5336414098965123</v>
      </c>
      <c r="AS339" s="58" t="str">
        <f t="shared" si="238"/>
        <v>-1.78730573782136+0.638482853143841i</v>
      </c>
      <c r="AT339" s="49">
        <f t="shared" si="239"/>
        <v>5.5655843641213156</v>
      </c>
      <c r="AU339" s="61">
        <f t="shared" si="240"/>
        <v>160.34164491686366</v>
      </c>
      <c r="AV339" s="58" t="str">
        <f t="shared" ref="AV339:AV402" si="254">IMPRODUCT(AC339,AS339)</f>
        <v>0.0351677845148919-0.00901974510918958i</v>
      </c>
      <c r="AW339" s="64">
        <f t="shared" si="241"/>
        <v>-28.800421279925988</v>
      </c>
      <c r="AX339" s="61">
        <f t="shared" si="242"/>
        <v>-14.385009102215994</v>
      </c>
    </row>
    <row r="340" spans="14:50" x14ac:dyDescent="0.25">
      <c r="N340" s="10">
        <v>22</v>
      </c>
      <c r="O340" s="50">
        <f t="shared" si="244"/>
        <v>16595.869074375616</v>
      </c>
      <c r="P340" s="48" t="str">
        <f t="shared" si="245"/>
        <v>304.285714285714</v>
      </c>
      <c r="Q340" s="17" t="str">
        <f t="shared" si="246"/>
        <v>1+5429.74408647908i</v>
      </c>
      <c r="R340" s="17">
        <f t="shared" ref="R340:R403" si="255">IMABS(Q340)</f>
        <v>5429.7441785644496</v>
      </c>
      <c r="S340" s="17">
        <f t="shared" ref="S340:S403" si="256">IMARGUMENT(Q340)</f>
        <v>1.5706121560544775</v>
      </c>
      <c r="T340" s="17" t="str">
        <f t="shared" si="247"/>
        <v>1+0.112616914386232i</v>
      </c>
      <c r="U340" s="17">
        <f t="shared" ref="U340:U403" si="257">IMABS(T340)</f>
        <v>1.0063213052528879</v>
      </c>
      <c r="V340" s="17">
        <f t="shared" ref="V340:V403" si="258">IMARGUMENT(T340)</f>
        <v>0.11214441410783131</v>
      </c>
      <c r="W340" s="31" t="str">
        <f t="shared" si="248"/>
        <v>1-0.351927857456977i</v>
      </c>
      <c r="X340" s="17">
        <f t="shared" ref="X340:X403" si="259">IMABS(W340)</f>
        <v>1.0601194351837242</v>
      </c>
      <c r="Y340" s="17">
        <f t="shared" ref="Y340:Y403" si="260">IMARGUMENT(W340)</f>
        <v>-0.33839125359568517</v>
      </c>
      <c r="Z340" s="31" t="str">
        <f t="shared" si="249"/>
        <v>0.982706564032275+3.10451369324829i</v>
      </c>
      <c r="AA340" s="17">
        <f t="shared" ref="AA340:AA403" si="261">IMABS(Z340)</f>
        <v>3.2563349739482055</v>
      </c>
      <c r="AB340" s="17">
        <f t="shared" ref="AB340:AB403" si="262">IMARGUMENT(Z340)</f>
        <v>1.2642340216099033</v>
      </c>
      <c r="AC340" s="66" t="str">
        <f t="shared" ref="AC340:AC403" si="263">(IMDIV(IMPRODUCT(P340,T340,W340),IMPRODUCT(Q340,Z340)))</f>
        <v>-0.0183002029961622-0.0014763500768585i</v>
      </c>
      <c r="AD340" s="64">
        <f t="shared" ref="AD340:AD403" si="264">20*LOG(IMABS(AC340))</f>
        <v>-34.722708294029701</v>
      </c>
      <c r="AE340" s="61">
        <f t="shared" ref="AE340:AE403" si="265">(180/PI())*IMARGUMENT(AC340)</f>
        <v>-175.38771057979034</v>
      </c>
      <c r="AF340" s="31" t="str">
        <f t="shared" si="250"/>
        <v>-1512.12121212121</v>
      </c>
      <c r="AG340" s="31" t="str">
        <f t="shared" ref="AG340:AG403" si="266">COMPLEX(0,1*2*PI()*O340)</f>
        <v>104274.920727993i</v>
      </c>
      <c r="AH340" s="31">
        <f t="shared" ref="AH340:AH403" si="267">IMABS(AG340)</f>
        <v>104274.920727993</v>
      </c>
      <c r="AI340" s="31">
        <f t="shared" ref="AI340:AI403" si="268">IMARGUMENT(AG340)</f>
        <v>1.5707963267948966</v>
      </c>
      <c r="AJ340" s="31" t="str">
        <f t="shared" si="251"/>
        <v>-46.2691887751473+143.718682167009i</v>
      </c>
      <c r="AK340" s="31">
        <f t="shared" ref="AK340:AK403" si="269">IMABS(AJ340)</f>
        <v>150.98310313982807</v>
      </c>
      <c r="AL340" s="31">
        <f t="shared" ref="AL340:AL403" si="270">IMARGUMENT(AJ340)</f>
        <v>1.88226057400559</v>
      </c>
      <c r="AM340" s="31" t="str">
        <f t="shared" si="252"/>
        <v>1+715.743055876942i</v>
      </c>
      <c r="AN340" s="31">
        <f t="shared" ref="AN340:AN403" si="271">IMABS(AM340)</f>
        <v>715.7437544513142</v>
      </c>
      <c r="AO340" s="31">
        <f t="shared" ref="AO340:AO403" si="272">IMARGUMENT(AM340)</f>
        <v>1.5693991782775421</v>
      </c>
      <c r="AP340" s="31" t="str">
        <f t="shared" si="253"/>
        <v>1+27.5285790721901i</v>
      </c>
      <c r="AQ340" s="31">
        <f t="shared" ref="AQ340:AQ403" si="273">IMABS(AP340)</f>
        <v>27.546736026865737</v>
      </c>
      <c r="AR340" s="31">
        <f t="shared" ref="AR340:AR403" si="274">IMARGUMENT(AP340)</f>
        <v>1.5344864072505071</v>
      </c>
      <c r="AS340" s="58" t="str">
        <f t="shared" ref="AS340:AS403" si="275">IMDIV(IMPRODUCT(AF340,AM340,AP340),IMPRODUCT(AG340,AJ340))</f>
        <v>-1.77940680651758+0.647863646080088i</v>
      </c>
      <c r="AT340" s="49">
        <f t="shared" ref="AT340:AT403" si="276">20*LOG(IMABS(AS340))</f>
        <v>5.5461220926917338</v>
      </c>
      <c r="AU340" s="61">
        <f t="shared" ref="AU340:AU403" si="277">(180/PI())*IMARGUMENT(AS340)</f>
        <v>159.99395730785747</v>
      </c>
      <c r="AV340" s="58" t="str">
        <f t="shared" si="254"/>
        <v>0.0335199793157086-0.00922900886153463i</v>
      </c>
      <c r="AW340" s="64">
        <f t="shared" ref="AW340:AW403" si="278">20*LOG(IMABS(AV340))</f>
        <v>-29.176586201337965</v>
      </c>
      <c r="AX340" s="61">
        <f t="shared" ref="AX340:AX403" si="279">(180/PI())*IMARGUMENT(AV340)</f>
        <v>-15.39375327193286</v>
      </c>
    </row>
    <row r="341" spans="14:50" x14ac:dyDescent="0.25">
      <c r="N341" s="10">
        <v>23</v>
      </c>
      <c r="O341" s="50">
        <f t="shared" si="244"/>
        <v>16982.436524617482</v>
      </c>
      <c r="P341" s="48" t="str">
        <f t="shared" si="245"/>
        <v>304.285714285714</v>
      </c>
      <c r="Q341" s="17" t="str">
        <f t="shared" si="246"/>
        <v>1+5556.21907357194i</v>
      </c>
      <c r="R341" s="17">
        <f t="shared" si="255"/>
        <v>5556.2191635611907</v>
      </c>
      <c r="S341" s="17">
        <f t="shared" si="256"/>
        <v>1.5706163482922564</v>
      </c>
      <c r="T341" s="17" t="str">
        <f t="shared" si="247"/>
        <v>1+0.115240099303714i</v>
      </c>
      <c r="U341" s="17">
        <f t="shared" si="257"/>
        <v>1.0066182396954317</v>
      </c>
      <c r="V341" s="17">
        <f t="shared" si="258"/>
        <v>0.11473398574146523</v>
      </c>
      <c r="W341" s="31" t="str">
        <f t="shared" si="248"/>
        <v>1-0.360125310324106i</v>
      </c>
      <c r="X341" s="17">
        <f t="shared" si="259"/>
        <v>1.0628688720326858</v>
      </c>
      <c r="Y341" s="17">
        <f t="shared" si="260"/>
        <v>-0.34566650951177369</v>
      </c>
      <c r="Z341" s="31" t="str">
        <f t="shared" si="249"/>
        <v>0.981891549504305+3.17682710674064i</v>
      </c>
      <c r="AA341" s="17">
        <f t="shared" si="261"/>
        <v>3.325107739774769</v>
      </c>
      <c r="AB341" s="17">
        <f t="shared" si="262"/>
        <v>1.2710308387487848</v>
      </c>
      <c r="AC341" s="66" t="str">
        <f t="shared" si="263"/>
        <v>-0.017579475334961-0.00121514109062199i</v>
      </c>
      <c r="AD341" s="64">
        <f t="shared" si="264"/>
        <v>-35.079180856351996</v>
      </c>
      <c r="AE341" s="61">
        <f t="shared" si="265"/>
        <v>-176.04584964701726</v>
      </c>
      <c r="AF341" s="31" t="str">
        <f t="shared" si="250"/>
        <v>-1512.12121212121</v>
      </c>
      <c r="AG341" s="31" t="str">
        <f t="shared" si="266"/>
        <v>106703.795651587i</v>
      </c>
      <c r="AH341" s="31">
        <f t="shared" si="267"/>
        <v>106703.795651587</v>
      </c>
      <c r="AI341" s="31">
        <f t="shared" si="268"/>
        <v>1.5707963267948966</v>
      </c>
      <c r="AJ341" s="31" t="str">
        <f t="shared" si="251"/>
        <v>-48.4969170096644+147.066320321325i</v>
      </c>
      <c r="AK341" s="31">
        <f t="shared" si="269"/>
        <v>154.85623504495015</v>
      </c>
      <c r="AL341" s="31">
        <f t="shared" si="270"/>
        <v>1.88932944782831</v>
      </c>
      <c r="AM341" s="31" t="str">
        <f t="shared" si="252"/>
        <v>1+732.414853352492i</v>
      </c>
      <c r="AN341" s="31">
        <f t="shared" si="271"/>
        <v>732.41553602538522</v>
      </c>
      <c r="AO341" s="31">
        <f t="shared" si="272"/>
        <v>1.5694309812205502</v>
      </c>
      <c r="AP341" s="31" t="str">
        <f t="shared" si="253"/>
        <v>1+28.169802052019i</v>
      </c>
      <c r="AQ341" s="31">
        <f t="shared" si="273"/>
        <v>28.187545967145383</v>
      </c>
      <c r="AR341" s="31">
        <f t="shared" si="274"/>
        <v>1.5353122202453884</v>
      </c>
      <c r="AS341" s="58" t="str">
        <f t="shared" si="275"/>
        <v>-1.77121124053306+0.657367943438632i</v>
      </c>
      <c r="AT341" s="49">
        <f t="shared" si="276"/>
        <v>5.5258571320617484</v>
      </c>
      <c r="AU341" s="61">
        <f t="shared" si="277"/>
        <v>159.63807844558931</v>
      </c>
      <c r="AV341" s="58" t="str">
        <f t="shared" si="254"/>
        <v>0.0319357591156866-0.0094039119891302i</v>
      </c>
      <c r="AW341" s="64">
        <f t="shared" si="278"/>
        <v>-29.553323724290244</v>
      </c>
      <c r="AX341" s="61">
        <f t="shared" si="279"/>
        <v>-16.407771201427952</v>
      </c>
    </row>
    <row r="342" spans="14:50" x14ac:dyDescent="0.25">
      <c r="N342" s="10">
        <v>24</v>
      </c>
      <c r="O342" s="50">
        <f t="shared" si="244"/>
        <v>17378.008287493791</v>
      </c>
      <c r="P342" s="48" t="str">
        <f t="shared" si="245"/>
        <v>304.285714285714</v>
      </c>
      <c r="Q342" s="17" t="str">
        <f t="shared" si="246"/>
        <v>1+5685.6400415628i</v>
      </c>
      <c r="R342" s="17">
        <f t="shared" si="255"/>
        <v>5685.6401295036458</v>
      </c>
      <c r="S342" s="17">
        <f t="shared" si="256"/>
        <v>1.5706204451030592</v>
      </c>
      <c r="T342" s="17" t="str">
        <f t="shared" si="247"/>
        <v>1+0.117924386047228i</v>
      </c>
      <c r="U342" s="17">
        <f t="shared" si="257"/>
        <v>1.0069290743764505</v>
      </c>
      <c r="V342" s="17">
        <f t="shared" si="258"/>
        <v>0.11738227694392528</v>
      </c>
      <c r="W342" s="31" t="str">
        <f t="shared" si="248"/>
        <v>1-0.368513706397588i</v>
      </c>
      <c r="X342" s="17">
        <f t="shared" si="259"/>
        <v>1.0657402834663272</v>
      </c>
      <c r="Y342" s="17">
        <f t="shared" si="260"/>
        <v>-0.3530719658858682</v>
      </c>
      <c r="Z342" s="31" t="str">
        <f t="shared" si="249"/>
        <v>0.981038124524991+3.25082491601522i</v>
      </c>
      <c r="AA342" s="17">
        <f t="shared" si="261"/>
        <v>3.3956293137439006</v>
      </c>
      <c r="AB342" s="17">
        <f t="shared" si="262"/>
        <v>1.2777061269996086</v>
      </c>
      <c r="AC342" s="66" t="str">
        <f t="shared" si="263"/>
        <v>-0.0168854225964883-0.000973277442335148i</v>
      </c>
      <c r="AD342" s="64">
        <f t="shared" si="264"/>
        <v>-35.435356311965961</v>
      </c>
      <c r="AE342" s="61">
        <f t="shared" si="265"/>
        <v>-176.70111570757251</v>
      </c>
      <c r="AF342" s="31" t="str">
        <f t="shared" si="250"/>
        <v>-1512.12121212121</v>
      </c>
      <c r="AG342" s="31" t="str">
        <f t="shared" si="266"/>
        <v>109189.246340026i</v>
      </c>
      <c r="AH342" s="31">
        <f t="shared" si="267"/>
        <v>109189.246340026</v>
      </c>
      <c r="AI342" s="31">
        <f t="shared" si="268"/>
        <v>1.5707963267948966</v>
      </c>
      <c r="AJ342" s="31" t="str">
        <f t="shared" si="251"/>
        <v>-50.8296348413254+150.491934985329i</v>
      </c>
      <c r="AK342" s="31">
        <f t="shared" si="269"/>
        <v>158.84418237294994</v>
      </c>
      <c r="AL342" s="31">
        <f t="shared" si="270"/>
        <v>1.8965224682736652</v>
      </c>
      <c r="AM342" s="31" t="str">
        <f t="shared" si="252"/>
        <v>1+749.474986877937i</v>
      </c>
      <c r="AN342" s="31">
        <f t="shared" si="271"/>
        <v>749.47565401131203</v>
      </c>
      <c r="AO342" s="31">
        <f t="shared" si="272"/>
        <v>1.5694620602428624</v>
      </c>
      <c r="AP342" s="31" t="str">
        <f t="shared" si="253"/>
        <v>1+28.8259610337668i</v>
      </c>
      <c r="AQ342" s="31">
        <f t="shared" si="273"/>
        <v>28.843301293718824</v>
      </c>
      <c r="AR342" s="31">
        <f t="shared" si="274"/>
        <v>1.5361192822301446</v>
      </c>
      <c r="AS342" s="58" t="str">
        <f t="shared" si="275"/>
        <v>-1.76271103785288+0.666988290067643i</v>
      </c>
      <c r="AT342" s="49">
        <f t="shared" si="276"/>
        <v>5.50475840418129</v>
      </c>
      <c r="AU342" s="61">
        <f t="shared" si="277"/>
        <v>159.273970674461</v>
      </c>
      <c r="AV342" s="58" t="str">
        <f t="shared" si="254"/>
        <v>0.0304132854466649-0.00954677225420389i</v>
      </c>
      <c r="AW342" s="64">
        <f t="shared" si="278"/>
        <v>-29.930597907784673</v>
      </c>
      <c r="AX342" s="61">
        <f t="shared" si="279"/>
        <v>-17.427145033111486</v>
      </c>
    </row>
    <row r="343" spans="14:50" x14ac:dyDescent="0.25">
      <c r="N343" s="10">
        <v>25</v>
      </c>
      <c r="O343" s="50">
        <f t="shared" si="244"/>
        <v>17782.794100389234</v>
      </c>
      <c r="P343" s="48" t="str">
        <f t="shared" si="245"/>
        <v>304.285714285714</v>
      </c>
      <c r="Q343" s="17" t="str">
        <f t="shared" si="246"/>
        <v>1+5818.07561116203i</v>
      </c>
      <c r="R343" s="17">
        <f t="shared" si="255"/>
        <v>5818.0756971010987</v>
      </c>
      <c r="S343" s="17">
        <f t="shared" si="256"/>
        <v>1.5706244486590686</v>
      </c>
      <c r="T343" s="17" t="str">
        <f t="shared" si="247"/>
        <v>1+0.120671197861138i</v>
      </c>
      <c r="U343" s="17">
        <f t="shared" si="257"/>
        <v>1.0072544554347933</v>
      </c>
      <c r="V343" s="17">
        <f t="shared" si="258"/>
        <v>0.12009054320492858</v>
      </c>
      <c r="W343" s="31" t="str">
        <f t="shared" si="248"/>
        <v>1-0.377097493316057i</v>
      </c>
      <c r="X343" s="17">
        <f t="shared" si="259"/>
        <v>1.0687387517374176</v>
      </c>
      <c r="Y343" s="17">
        <f t="shared" si="260"/>
        <v>-0.36060829924558785</v>
      </c>
      <c r="Z343" s="31" t="str">
        <f t="shared" si="249"/>
        <v>0.980144478865532+3.32654635569003i</v>
      </c>
      <c r="AA343" s="17">
        <f t="shared" si="261"/>
        <v>3.4679379832986066</v>
      </c>
      <c r="AB343" s="17">
        <f t="shared" si="262"/>
        <v>1.284261184711514</v>
      </c>
      <c r="AC343" s="66" t="str">
        <f t="shared" si="263"/>
        <v>-0.0162172865449705-0.000749597684244383i</v>
      </c>
      <c r="AD343" s="64">
        <f t="shared" si="264"/>
        <v>-35.791167448627398</v>
      </c>
      <c r="AE343" s="61">
        <f t="shared" si="265"/>
        <v>-177.3535501037542</v>
      </c>
      <c r="AF343" s="31" t="str">
        <f t="shared" si="250"/>
        <v>-1512.12121212121</v>
      </c>
      <c r="AG343" s="31" t="str">
        <f t="shared" si="266"/>
        <v>111732.590612165i</v>
      </c>
      <c r="AH343" s="31">
        <f t="shared" si="267"/>
        <v>111732.590612165</v>
      </c>
      <c r="AI343" s="31">
        <f t="shared" si="268"/>
        <v>1.5707963267948966</v>
      </c>
      <c r="AJ343" s="31" t="str">
        <f t="shared" si="251"/>
        <v>-53.2722902774049+153.997342465258i</v>
      </c>
      <c r="AK343" s="31">
        <f t="shared" si="269"/>
        <v>162.95127614646668</v>
      </c>
      <c r="AL343" s="31">
        <f t="shared" si="270"/>
        <v>1.9038406594319868</v>
      </c>
      <c r="AM343" s="31" t="str">
        <f t="shared" si="252"/>
        <v>1+766.932501961899i</v>
      </c>
      <c r="AN343" s="31">
        <f t="shared" si="271"/>
        <v>766.93315390947737</v>
      </c>
      <c r="AO343" s="31">
        <f t="shared" si="272"/>
        <v>1.5694924318227474</v>
      </c>
      <c r="AP343" s="31" t="str">
        <f t="shared" si="253"/>
        <v>1+29.4974039216115i</v>
      </c>
      <c r="AQ343" s="31">
        <f t="shared" si="273"/>
        <v>29.514349698319656</v>
      </c>
      <c r="AR343" s="31">
        <f t="shared" si="274"/>
        <v>1.5369080169118887</v>
      </c>
      <c r="AS343" s="58" t="str">
        <f t="shared" si="275"/>
        <v>-1.75389826344675+0.676716726010272i</v>
      </c>
      <c r="AT343" s="49">
        <f t="shared" si="276"/>
        <v>5.4827940493687697</v>
      </c>
      <c r="AU343" s="61">
        <f t="shared" si="277"/>
        <v>158.90160053918325</v>
      </c>
      <c r="AV343" s="58" t="str">
        <f t="shared" si="254"/>
        <v>0.0289507359997488-0.00965979097880294i</v>
      </c>
      <c r="AW343" s="64">
        <f t="shared" si="278"/>
        <v>-30.308373399258638</v>
      </c>
      <c r="AX343" s="61">
        <f t="shared" si="279"/>
        <v>-18.451949564570967</v>
      </c>
    </row>
    <row r="344" spans="14:50" x14ac:dyDescent="0.25">
      <c r="N344" s="10">
        <v>26</v>
      </c>
      <c r="O344" s="50">
        <f t="shared" si="244"/>
        <v>18197.008586099837</v>
      </c>
      <c r="P344" s="48" t="str">
        <f t="shared" si="245"/>
        <v>304.285714285714</v>
      </c>
      <c r="Q344" s="17" t="str">
        <f t="shared" si="246"/>
        <v>1+5953.59600146168i</v>
      </c>
      <c r="R344" s="17">
        <f t="shared" si="255"/>
        <v>5953.5960854445366</v>
      </c>
      <c r="S344" s="17">
        <f t="shared" si="256"/>
        <v>1.5706283610830225</v>
      </c>
      <c r="T344" s="17" t="str">
        <f t="shared" si="247"/>
        <v>1+0.123481991141427i</v>
      </c>
      <c r="U344" s="17">
        <f t="shared" si="257"/>
        <v>1.0075950586104774</v>
      </c>
      <c r="V344" s="17">
        <f t="shared" si="258"/>
        <v>0.12286006148293464</v>
      </c>
      <c r="W344" s="31" t="str">
        <f t="shared" si="248"/>
        <v>1-0.38588122231696i</v>
      </c>
      <c r="X344" s="17">
        <f t="shared" si="259"/>
        <v>1.0718695432452734</v>
      </c>
      <c r="Y344" s="17">
        <f t="shared" si="260"/>
        <v>-0.36827608017237023</v>
      </c>
      <c r="Z344" s="31" t="str">
        <f t="shared" si="249"/>
        <v>0.979208716983671+3.40403157427469i</v>
      </c>
      <c r="AA344" s="17">
        <f t="shared" si="261"/>
        <v>3.5420729340424133</v>
      </c>
      <c r="AB344" s="17">
        <f t="shared" si="262"/>
        <v>1.29069737082641</v>
      </c>
      <c r="AC344" s="66" t="str">
        <f t="shared" si="263"/>
        <v>-0.0155743115956093-0.000542998679802014i</v>
      </c>
      <c r="AD344" s="64">
        <f t="shared" si="264"/>
        <v>-36.146546866580763</v>
      </c>
      <c r="AE344" s="61">
        <f t="shared" si="265"/>
        <v>-178.00319034640012</v>
      </c>
      <c r="AF344" s="31" t="str">
        <f t="shared" si="250"/>
        <v>-1512.12121212121</v>
      </c>
      <c r="AG344" s="31" t="str">
        <f t="shared" si="266"/>
        <v>114335.176982803i</v>
      </c>
      <c r="AH344" s="31">
        <f t="shared" si="267"/>
        <v>114335.17698280299</v>
      </c>
      <c r="AI344" s="31">
        <f t="shared" si="268"/>
        <v>1.5707963267948966</v>
      </c>
      <c r="AJ344" s="31" t="str">
        <f t="shared" si="251"/>
        <v>-55.830064517576+157.584401374557i</v>
      </c>
      <c r="AK344" s="31">
        <f t="shared" si="269"/>
        <v>167.18205543841773</v>
      </c>
      <c r="AL344" s="31">
        <f t="shared" si="270"/>
        <v>1.9112849559278369</v>
      </c>
      <c r="AM344" s="31" t="str">
        <f t="shared" si="252"/>
        <v>1+784.796654809958i</v>
      </c>
      <c r="AN344" s="31">
        <f t="shared" si="271"/>
        <v>784.79729191740989</v>
      </c>
      <c r="AO344" s="31">
        <f t="shared" si="272"/>
        <v>1.5695221120633949</v>
      </c>
      <c r="AP344" s="31" t="str">
        <f t="shared" si="253"/>
        <v>1+30.18448672346i</v>
      </c>
      <c r="AQ344" s="31">
        <f t="shared" si="273"/>
        <v>30.201046981168268</v>
      </c>
      <c r="AR344" s="31">
        <f t="shared" si="274"/>
        <v>1.5376788385605566</v>
      </c>
      <c r="AS344" s="58" t="str">
        <f t="shared" si="275"/>
        <v>-1.74476507803763+0.686544771761416i</v>
      </c>
      <c r="AT344" s="49">
        <f t="shared" si="276"/>
        <v>5.4599314333571893</v>
      </c>
      <c r="AU344" s="61">
        <f t="shared" si="277"/>
        <v>158.52093914827705</v>
      </c>
      <c r="AV344" s="58" t="str">
        <f t="shared" si="254"/>
        <v>0.0275463078911871-0.00974505706580967i</v>
      </c>
      <c r="AW344" s="64">
        <f t="shared" si="278"/>
        <v>-30.686615433223562</v>
      </c>
      <c r="AX344" s="61">
        <f t="shared" si="279"/>
        <v>-19.482251198123031</v>
      </c>
    </row>
    <row r="345" spans="14:50" x14ac:dyDescent="0.25">
      <c r="N345" s="10">
        <v>27</v>
      </c>
      <c r="O345" s="50">
        <f t="shared" si="244"/>
        <v>18620.871366628675</v>
      </c>
      <c r="P345" s="48" t="str">
        <f t="shared" si="245"/>
        <v>304.285714285714</v>
      </c>
      <c r="Q345" s="17" t="str">
        <f t="shared" si="246"/>
        <v>1+6092.27306716646i</v>
      </c>
      <c r="R345" s="17">
        <f t="shared" si="255"/>
        <v>6092.2731492376333</v>
      </c>
      <c r="S345" s="17">
        <f t="shared" si="256"/>
        <v>1.5706321844493396</v>
      </c>
      <c r="T345" s="17" t="str">
        <f t="shared" si="247"/>
        <v>1+0.126358256207897i</v>
      </c>
      <c r="U345" s="17">
        <f t="shared" si="257"/>
        <v>1.0079515905597354</v>
      </c>
      <c r="V345" s="17">
        <f t="shared" si="258"/>
        <v>0.12569213017931324</v>
      </c>
      <c r="W345" s="31" t="str">
        <f t="shared" si="248"/>
        <v>1-0.394869550649677i</v>
      </c>
      <c r="X345" s="17">
        <f t="shared" si="259"/>
        <v>1.0751381130023612</v>
      </c>
      <c r="Y345" s="17">
        <f t="shared" si="260"/>
        <v>-0.37607576660492581</v>
      </c>
      <c r="Z345" s="31" t="str">
        <f t="shared" si="249"/>
        <v>0.978228854002996+3.48332165545771i</v>
      </c>
      <c r="AA345" s="17">
        <f t="shared" si="261"/>
        <v>3.6180742731713869</v>
      </c>
      <c r="AB345" s="17">
        <f t="shared" si="262"/>
        <v>1.2970160996890165</v>
      </c>
      <c r="AC345" s="66" t="str">
        <f t="shared" si="263"/>
        <v>-0.0149557466419312-0.000352433569160321i</v>
      </c>
      <c r="AD345" s="64">
        <f t="shared" si="264"/>
        <v>-36.501426985464903</v>
      </c>
      <c r="AE345" s="61">
        <f t="shared" si="265"/>
        <v>-178.65006943538577</v>
      </c>
      <c r="AF345" s="31" t="str">
        <f t="shared" si="250"/>
        <v>-1512.12121212121</v>
      </c>
      <c r="AG345" s="31" t="str">
        <f t="shared" si="266"/>
        <v>116998.385377682i</v>
      </c>
      <c r="AH345" s="31">
        <f t="shared" si="267"/>
        <v>116998.385377682</v>
      </c>
      <c r="AI345" s="31">
        <f t="shared" si="268"/>
        <v>1.5707963267948966</v>
      </c>
      <c r="AJ345" s="31" t="str">
        <f t="shared" si="251"/>
        <v>-58.5083829439282+161.255013619342i</v>
      </c>
      <c r="AK345" s="31">
        <f t="shared" si="269"/>
        <v>171.54127868267605</v>
      </c>
      <c r="AL345" s="31">
        <f t="shared" si="270"/>
        <v>1.9188561966275917</v>
      </c>
      <c r="AM345" s="31" t="str">
        <f t="shared" si="252"/>
        <v>1+803.076917232407i</v>
      </c>
      <c r="AN345" s="31">
        <f t="shared" si="271"/>
        <v>803.07753983753435</v>
      </c>
      <c r="AO345" s="31">
        <f t="shared" si="272"/>
        <v>1.5695511167014515</v>
      </c>
      <c r="AP345" s="31" t="str">
        <f t="shared" si="253"/>
        <v>1+30.887573739708i</v>
      </c>
      <c r="AQ345" s="31">
        <f t="shared" si="273"/>
        <v>30.903757239628632</v>
      </c>
      <c r="AR345" s="31">
        <f t="shared" si="274"/>
        <v>1.5384321522099267</v>
      </c>
      <c r="AS345" s="58" t="str">
        <f t="shared" si="275"/>
        <v>-1.73530376891186+0.696463414778851i</v>
      </c>
      <c r="AT345" s="49">
        <f t="shared" si="276"/>
        <v>5.4361371574142625</v>
      </c>
      <c r="AU345" s="61">
        <f t="shared" si="277"/>
        <v>158.13196254660892</v>
      </c>
      <c r="AV345" s="58" t="str">
        <f t="shared" si="254"/>
        <v>0.0261982206016942-0.00980455107595177i</v>
      </c>
      <c r="AW345" s="64">
        <f t="shared" si="278"/>
        <v>-31.065289828050638</v>
      </c>
      <c r="AX345" s="61">
        <f t="shared" si="279"/>
        <v>-20.518106888776856</v>
      </c>
    </row>
    <row r="346" spans="14:50" x14ac:dyDescent="0.25">
      <c r="N346" s="10">
        <v>28</v>
      </c>
      <c r="O346" s="50">
        <f t="shared" si="244"/>
        <v>19054.607179632505</v>
      </c>
      <c r="P346" s="48" t="str">
        <f t="shared" si="245"/>
        <v>304.285714285714</v>
      </c>
      <c r="Q346" s="17" t="str">
        <f t="shared" si="246"/>
        <v>1+6234.18033669226i</v>
      </c>
      <c r="R346" s="17">
        <f t="shared" si="255"/>
        <v>6234.1804168952658</v>
      </c>
      <c r="S346" s="17">
        <f t="shared" si="256"/>
        <v>1.5706359207852183</v>
      </c>
      <c r="T346" s="17" t="str">
        <f t="shared" si="247"/>
        <v>1+0.129301518094358i</v>
      </c>
      <c r="U346" s="17">
        <f t="shared" si="257"/>
        <v>1.0083247902246109</v>
      </c>
      <c r="V346" s="17">
        <f t="shared" si="258"/>
        <v>0.12858806907785134</v>
      </c>
      <c r="W346" s="31" t="str">
        <f t="shared" si="248"/>
        <v>1-0.404067244044868i</v>
      </c>
      <c r="X346" s="17">
        <f t="shared" si="259"/>
        <v>1.0785501090399161</v>
      </c>
      <c r="Y346" s="17">
        <f t="shared" si="260"/>
        <v>-0.38400769705661947</v>
      </c>
      <c r="Z346" s="31" t="str">
        <f t="shared" si="249"/>
        <v>0.977202811502752+3.5644586398897i</v>
      </c>
      <c r="AA346" s="17">
        <f t="shared" si="261"/>
        <v>3.6959830533016809</v>
      </c>
      <c r="AB346" s="17">
        <f t="shared" si="262"/>
        <v>1.3032188360679891</v>
      </c>
      <c r="AC346" s="66" t="str">
        <f t="shared" si="263"/>
        <v>-0.014360846715359-0.000176909717598628i</v>
      </c>
      <c r="AD346" s="64">
        <f t="shared" si="264"/>
        <v>-36.855740052815314</v>
      </c>
      <c r="AE346" s="61">
        <f t="shared" si="265"/>
        <v>-179.29421518926918</v>
      </c>
      <c r="AF346" s="31" t="str">
        <f t="shared" si="250"/>
        <v>-1512.12121212121</v>
      </c>
      <c r="AG346" s="31" t="str">
        <f t="shared" si="266"/>
        <v>119723.627865146i</v>
      </c>
      <c r="AH346" s="31">
        <f t="shared" si="267"/>
        <v>119723.627865146</v>
      </c>
      <c r="AI346" s="31">
        <f t="shared" si="268"/>
        <v>1.5707963267948966</v>
      </c>
      <c r="AJ346" s="31" t="str">
        <f t="shared" si="251"/>
        <v>-61.3129266289335+165.011125406811i</v>
      </c>
      <c r="AK346" s="31">
        <f t="shared" si="269"/>
        <v>176.03393559148557</v>
      </c>
      <c r="AL346" s="31">
        <f t="shared" si="270"/>
        <v>1.9265551182012557</v>
      </c>
      <c r="AM346" s="31" t="str">
        <f t="shared" si="252"/>
        <v>1+821.78298166636i</v>
      </c>
      <c r="AN346" s="31">
        <f t="shared" si="271"/>
        <v>821.78359009927487</v>
      </c>
      <c r="AO346" s="31">
        <f t="shared" si="272"/>
        <v>1.5695794611153655</v>
      </c>
      <c r="AP346" s="31" t="str">
        <f t="shared" si="253"/>
        <v>1+31.6070377563985i</v>
      </c>
      <c r="AQ346" s="31">
        <f t="shared" si="273"/>
        <v>31.622853061265683</v>
      </c>
      <c r="AR346" s="31">
        <f t="shared" si="274"/>
        <v>1.5391683538549803</v>
      </c>
      <c r="AS346" s="58" t="str">
        <f t="shared" si="275"/>
        <v>-1.72550678277182+0.706463097457331i</v>
      </c>
      <c r="AT346" s="49">
        <f t="shared" si="276"/>
        <v>5.4113770717408949</v>
      </c>
      <c r="AU346" s="61">
        <f t="shared" si="277"/>
        <v>157.73465209605791</v>
      </c>
      <c r="AV346" s="58" t="str">
        <f t="shared" si="254"/>
        <v>0.0249047186007634-0.00984014933498778i</v>
      </c>
      <c r="AW346" s="64">
        <f t="shared" si="278"/>
        <v>-31.444362981074416</v>
      </c>
      <c r="AX346" s="61">
        <f t="shared" si="279"/>
        <v>-21.559563093211246</v>
      </c>
    </row>
    <row r="347" spans="14:50" x14ac:dyDescent="0.25">
      <c r="N347" s="10">
        <v>29</v>
      </c>
      <c r="O347" s="50">
        <f t="shared" si="244"/>
        <v>19498.445997580486</v>
      </c>
      <c r="P347" s="48" t="str">
        <f t="shared" si="245"/>
        <v>304.285714285714</v>
      </c>
      <c r="Q347" s="17" t="str">
        <f t="shared" si="246"/>
        <v>1+6379.39305115162i</v>
      </c>
      <c r="R347" s="17">
        <f t="shared" si="255"/>
        <v>6379.3931295289822</v>
      </c>
      <c r="S347" s="17">
        <f t="shared" si="256"/>
        <v>1.5706395720717135</v>
      </c>
      <c r="T347" s="17" t="str">
        <f t="shared" si="247"/>
        <v>1+0.132313337357219i</v>
      </c>
      <c r="U347" s="17">
        <f t="shared" si="257"/>
        <v>1.0087154302590029</v>
      </c>
      <c r="V347" s="17">
        <f t="shared" si="258"/>
        <v>0.13154921924676116</v>
      </c>
      <c r="W347" s="31" t="str">
        <f t="shared" si="248"/>
        <v>1-0.413479179241308i</v>
      </c>
      <c r="X347" s="17">
        <f t="shared" si="259"/>
        <v>1.0821113767381183</v>
      </c>
      <c r="Y347" s="17">
        <f t="shared" si="260"/>
        <v>-0.39207208377270697</v>
      </c>
      <c r="Z347" s="31" t="str">
        <f t="shared" si="249"/>
        <v>0.976128413109235+3.6474855474737i</v>
      </c>
      <c r="AA347" s="17">
        <f t="shared" si="261"/>
        <v>3.7758412967057651</v>
      </c>
      <c r="AB347" s="17">
        <f t="shared" si="262"/>
        <v>1.3093070903904602</v>
      </c>
      <c r="AC347" s="66" t="str">
        <f t="shared" si="263"/>
        <v>-0.0137888744839383-0.0000154866582517363i</v>
      </c>
      <c r="AD347" s="64">
        <f t="shared" si="264"/>
        <v>-37.209418154525757</v>
      </c>
      <c r="AE347" s="61">
        <f t="shared" si="265"/>
        <v>-179.93564958586524</v>
      </c>
      <c r="AF347" s="31" t="str">
        <f t="shared" si="250"/>
        <v>-1512.12121212121</v>
      </c>
      <c r="AG347" s="31" t="str">
        <f t="shared" si="266"/>
        <v>122512.349404832i</v>
      </c>
      <c r="AH347" s="31">
        <f t="shared" si="267"/>
        <v>122512.349404832</v>
      </c>
      <c r="AI347" s="31">
        <f t="shared" si="268"/>
        <v>1.5707963267948966</v>
      </c>
      <c r="AJ347" s="31" t="str">
        <f t="shared" si="251"/>
        <v>-64.2496443857563+168.85472827715i</v>
      </c>
      <c r="AK347" s="31">
        <f t="shared" si="269"/>
        <v>180.66525970768788</v>
      </c>
      <c r="AL347" s="31">
        <f t="shared" si="270"/>
        <v>1.9343823485566833</v>
      </c>
      <c r="AM347" s="31" t="str">
        <f t="shared" si="252"/>
        <v>1+840.924766314765i</v>
      </c>
      <c r="AN347" s="31">
        <f t="shared" si="271"/>
        <v>840.92536089806572</v>
      </c>
      <c r="AO347" s="31">
        <f t="shared" si="272"/>
        <v>1.5696071603335375</v>
      </c>
      <c r="AP347" s="31" t="str">
        <f t="shared" si="253"/>
        <v>1+32.3432602428756i</v>
      </c>
      <c r="AQ347" s="31">
        <f t="shared" si="273"/>
        <v>32.358715721399967</v>
      </c>
      <c r="AR347" s="31">
        <f t="shared" si="274"/>
        <v>1.5398878306456201</v>
      </c>
      <c r="AS347" s="58" t="str">
        <f t="shared" si="275"/>
        <v>-1.71536676061413+0.716533706785024i</v>
      </c>
      <c r="AT347" s="49">
        <f t="shared" si="276"/>
        <v>5.3856162923506723</v>
      </c>
      <c r="AU347" s="61">
        <f t="shared" si="277"/>
        <v>157.32899486327366</v>
      </c>
      <c r="AV347" s="58" t="str">
        <f t="shared" si="254"/>
        <v>0.0236640736686709-0.00985362804757173i</v>
      </c>
      <c r="AW347" s="64">
        <f t="shared" si="278"/>
        <v>-31.823801862175088</v>
      </c>
      <c r="AX347" s="61">
        <f t="shared" si="279"/>
        <v>-22.606654722591596</v>
      </c>
    </row>
    <row r="348" spans="14:50" x14ac:dyDescent="0.25">
      <c r="N348" s="10">
        <v>30</v>
      </c>
      <c r="O348" s="50">
        <f t="shared" si="244"/>
        <v>19952.623149688792</v>
      </c>
      <c r="P348" s="48" t="str">
        <f t="shared" si="245"/>
        <v>304.285714285714</v>
      </c>
      <c r="Q348" s="17" t="str">
        <f t="shared" si="246"/>
        <v>1+6527.98820424801i</v>
      </c>
      <c r="R348" s="17">
        <f t="shared" si="255"/>
        <v>6527.9882808412849</v>
      </c>
      <c r="S348" s="17">
        <f t="shared" si="256"/>
        <v>1.5706431402447851</v>
      </c>
      <c r="T348" s="17" t="str">
        <f t="shared" si="247"/>
        <v>1+0.135395310902921i</v>
      </c>
      <c r="U348" s="17">
        <f t="shared" si="257"/>
        <v>1.0091243185130852</v>
      </c>
      <c r="V348" s="17">
        <f t="shared" si="258"/>
        <v>0.13457694290020278</v>
      </c>
      <c r="W348" s="31" t="str">
        <f t="shared" si="248"/>
        <v>1-0.423110346571629i</v>
      </c>
      <c r="X348" s="17">
        <f t="shared" si="259"/>
        <v>1.0858279630659564</v>
      </c>
      <c r="Y348" s="17">
        <f t="shared" si="260"/>
        <v>-0.40026900585633973</v>
      </c>
      <c r="Z348" s="31" t="str">
        <f t="shared" si="249"/>
        <v>0.975003379879402+3.73244640017517i</v>
      </c>
      <c r="AA348" s="17">
        <f t="shared" si="261"/>
        <v>3.8576920199721547</v>
      </c>
      <c r="AB348" s="17">
        <f t="shared" si="262"/>
        <v>1.3152824141910637</v>
      </c>
      <c r="AC348" s="66" t="str">
        <f t="shared" si="263"/>
        <v>-0.0132391015975432+0.000132725960633936i</v>
      </c>
      <c r="AD348" s="64">
        <f t="shared" si="264"/>
        <v>-37.562393227617854</v>
      </c>
      <c r="AE348" s="61">
        <f t="shared" si="265"/>
        <v>179.42561188436292</v>
      </c>
      <c r="AF348" s="31" t="str">
        <f t="shared" si="250"/>
        <v>-1512.12121212121</v>
      </c>
      <c r="AG348" s="31" t="str">
        <f t="shared" si="266"/>
        <v>125366.028613816i</v>
      </c>
      <c r="AH348" s="31">
        <f t="shared" si="267"/>
        <v>125366.028613816</v>
      </c>
      <c r="AI348" s="31">
        <f t="shared" si="268"/>
        <v>1.5707963267948966</v>
      </c>
      <c r="AJ348" s="31" t="str">
        <f t="shared" si="251"/>
        <v>-67.3247653864948+172.787860159478i</v>
      </c>
      <c r="AK348" s="31">
        <f t="shared" si="269"/>
        <v>185.4407416207072</v>
      </c>
      <c r="AL348" s="31">
        <f t="shared" si="270"/>
        <v>1.9423384001672617</v>
      </c>
      <c r="AM348" s="31" t="str">
        <f t="shared" si="252"/>
        <v>1+860.512420405231i</v>
      </c>
      <c r="AN348" s="31">
        <f t="shared" si="271"/>
        <v>860.5130014541727</v>
      </c>
      <c r="AO348" s="31">
        <f t="shared" si="272"/>
        <v>1.5696342290422902</v>
      </c>
      <c r="AP348" s="31" t="str">
        <f t="shared" si="253"/>
        <v>1+33.0966315540474i</v>
      </c>
      <c r="AQ348" s="31">
        <f t="shared" si="273"/>
        <v>33.111735385273391</v>
      </c>
      <c r="AR348" s="31">
        <f t="shared" si="274"/>
        <v>1.5405909610767816</v>
      </c>
      <c r="AS348" s="58" t="str">
        <f t="shared" si="275"/>
        <v>-1.70487657459697+0.726664565912121i</v>
      </c>
      <c r="AT348" s="49">
        <f t="shared" si="276"/>
        <v>5.3588192216338459</v>
      </c>
      <c r="AU348" s="61">
        <f t="shared" si="277"/>
        <v>156.91498401332046</v>
      </c>
      <c r="AV348" s="58" t="str">
        <f t="shared" si="254"/>
        <v>0.0224745869297914-0.00984666739657087i</v>
      </c>
      <c r="AW348" s="64">
        <f t="shared" si="278"/>
        <v>-32.203574005984009</v>
      </c>
      <c r="AX348" s="61">
        <f t="shared" si="279"/>
        <v>-23.659404102316575</v>
      </c>
    </row>
    <row r="349" spans="14:50" x14ac:dyDescent="0.25">
      <c r="N349" s="10">
        <v>31</v>
      </c>
      <c r="O349" s="50">
        <f t="shared" si="244"/>
        <v>20417.379446695286</v>
      </c>
      <c r="P349" s="48" t="str">
        <f t="shared" si="245"/>
        <v>304.285714285714</v>
      </c>
      <c r="Q349" s="17" t="str">
        <f t="shared" si="246"/>
        <v>1+6680.04458309839i</v>
      </c>
      <c r="R349" s="17">
        <f t="shared" si="255"/>
        <v>6680.0446579481886</v>
      </c>
      <c r="S349" s="17">
        <f t="shared" si="256"/>
        <v>1.5706466271963251</v>
      </c>
      <c r="T349" s="17" t="str">
        <f t="shared" si="247"/>
        <v>1+0.138549072834633i</v>
      </c>
      <c r="U349" s="17">
        <f t="shared" si="257"/>
        <v>1.0095522995780539</v>
      </c>
      <c r="V349" s="17">
        <f t="shared" si="258"/>
        <v>0.13767262321613721</v>
      </c>
      <c r="W349" s="31" t="str">
        <f t="shared" si="248"/>
        <v>1-0.432965852608228i</v>
      </c>
      <c r="X349" s="17">
        <f t="shared" si="259"/>
        <v>1.0897061207154752</v>
      </c>
      <c r="Y349" s="17">
        <f t="shared" si="260"/>
        <v>-0.40859840239500905</v>
      </c>
      <c r="Z349" s="31" t="str">
        <f t="shared" si="249"/>
        <v>0.973825325466938+3.81938624536277i</v>
      </c>
      <c r="AA349" s="17">
        <f t="shared" si="261"/>
        <v>3.9415792591025118</v>
      </c>
      <c r="AB349" s="17">
        <f t="shared" si="262"/>
        <v>1.3211463957751624</v>
      </c>
      <c r="AC349" s="66" t="str">
        <f t="shared" si="263"/>
        <v>-0.0127108098871745+0.000268570414782857i</v>
      </c>
      <c r="AD349" s="64">
        <f t="shared" si="264"/>
        <v>-37.914597075643371</v>
      </c>
      <c r="AE349" s="61">
        <f t="shared" si="265"/>
        <v>178.78956085011319</v>
      </c>
      <c r="AF349" s="31" t="str">
        <f t="shared" si="250"/>
        <v>-1512.12121212121</v>
      </c>
      <c r="AG349" s="31" t="str">
        <f t="shared" si="266"/>
        <v>128286.178550586i</v>
      </c>
      <c r="AH349" s="31">
        <f t="shared" si="267"/>
        <v>128286.178550586</v>
      </c>
      <c r="AI349" s="31">
        <f t="shared" si="268"/>
        <v>1.5707963267948966</v>
      </c>
      <c r="AJ349" s="31" t="str">
        <f t="shared" si="251"/>
        <v>-70.5448123750782+176.812606452381i</v>
      </c>
      <c r="AK349" s="31">
        <f t="shared" si="269"/>
        <v>190.36614287608904</v>
      </c>
      <c r="AL349" s="31">
        <f t="shared" si="270"/>
        <v>1.9504236633164802</v>
      </c>
      <c r="AM349" s="31" t="str">
        <f t="shared" si="252"/>
        <v>1+880.55632957122i</v>
      </c>
      <c r="AN349" s="31">
        <f t="shared" si="271"/>
        <v>880.55689739388151</v>
      </c>
      <c r="AO349" s="31">
        <f t="shared" si="272"/>
        <v>1.5696606815936518</v>
      </c>
      <c r="AP349" s="31" t="str">
        <f t="shared" si="253"/>
        <v>1+33.8675511373547i</v>
      </c>
      <c r="AQ349" s="31">
        <f t="shared" si="273"/>
        <v>33.882311314922653</v>
      </c>
      <c r="AR349" s="31">
        <f t="shared" si="274"/>
        <v>1.5412781151749562</v>
      </c>
      <c r="AS349" s="58" t="str">
        <f t="shared" si="275"/>
        <v>-1.69402936683769+0.736844427869034i</v>
      </c>
      <c r="AT349" s="49">
        <f t="shared" si="276"/>
        <v>5.3309495728016811</v>
      </c>
      <c r="AU349" s="61">
        <f t="shared" si="277"/>
        <v>156.49261920786842</v>
      </c>
      <c r="AV349" s="58" t="str">
        <f t="shared" si="254"/>
        <v>0.0213345906115412-0.0098208556087731i</v>
      </c>
      <c r="AW349" s="64">
        <f t="shared" si="278"/>
        <v>-32.583647502841707</v>
      </c>
      <c r="AX349" s="61">
        <f t="shared" si="279"/>
        <v>-24.717819942018444</v>
      </c>
    </row>
    <row r="350" spans="14:50" x14ac:dyDescent="0.25">
      <c r="N350" s="10">
        <v>32</v>
      </c>
      <c r="O350" s="50">
        <f t="shared" si="244"/>
        <v>20892.961308540423</v>
      </c>
      <c r="P350" s="48" t="str">
        <f t="shared" si="245"/>
        <v>304.285714285714</v>
      </c>
      <c r="Q350" s="17" t="str">
        <f t="shared" si="246"/>
        <v>1+6835.64281000763i</v>
      </c>
      <c r="R350" s="17">
        <f t="shared" si="255"/>
        <v>6835.6428831536405</v>
      </c>
      <c r="S350" s="17">
        <f t="shared" si="256"/>
        <v>1.5706500347751611</v>
      </c>
      <c r="T350" s="17" t="str">
        <f t="shared" si="247"/>
        <v>1+0.141776295318676i</v>
      </c>
      <c r="U350" s="17">
        <f t="shared" si="257"/>
        <v>1.0100002563931796</v>
      </c>
      <c r="V350" s="17">
        <f t="shared" si="258"/>
        <v>0.14083766410718196</v>
      </c>
      <c r="W350" s="31" t="str">
        <f t="shared" si="248"/>
        <v>1-0.443050922870864i</v>
      </c>
      <c r="X350" s="17">
        <f t="shared" si="259"/>
        <v>1.093752312114916</v>
      </c>
      <c r="Y350" s="17">
        <f t="shared" si="260"/>
        <v>-0.41706006562223213</v>
      </c>
      <c r="Z350" s="31" t="str">
        <f t="shared" si="249"/>
        <v>0.97259175106049+3.90835117969324i</v>
      </c>
      <c r="AA350" s="17">
        <f t="shared" si="261"/>
        <v>4.027548095062361</v>
      </c>
      <c r="AB350" s="17">
        <f t="shared" si="262"/>
        <v>1.3269006560950694</v>
      </c>
      <c r="AC350" s="66" t="str">
        <f t="shared" si="263"/>
        <v>-0.0122032924261331+0.000392842921227061i</v>
      </c>
      <c r="AD350" s="64">
        <f t="shared" si="264"/>
        <v>-38.265961387028469</v>
      </c>
      <c r="AE350" s="61">
        <f t="shared" si="265"/>
        <v>178.15619667413949</v>
      </c>
      <c r="AF350" s="31" t="str">
        <f t="shared" si="250"/>
        <v>-1512.12121212121</v>
      </c>
      <c r="AG350" s="31" t="str">
        <f t="shared" si="266"/>
        <v>131274.347517293i</v>
      </c>
      <c r="AH350" s="31">
        <f t="shared" si="267"/>
        <v>131274.347517293</v>
      </c>
      <c r="AI350" s="31">
        <f t="shared" si="268"/>
        <v>1.5707963267948966</v>
      </c>
      <c r="AJ350" s="31" t="str">
        <f t="shared" si="251"/>
        <v>-73.9166155028906+180.931101129617i</v>
      </c>
      <c r="AK350" s="31">
        <f t="shared" si="269"/>
        <v>195.44751060931387</v>
      </c>
      <c r="AL350" s="31">
        <f t="shared" si="270"/>
        <v>1.9586383992860614</v>
      </c>
      <c r="AM350" s="31" t="str">
        <f t="shared" si="252"/>
        <v>1+901.067121358697i</v>
      </c>
      <c r="AN350" s="31">
        <f t="shared" si="271"/>
        <v>901.06767625614509</v>
      </c>
      <c r="AO350" s="31">
        <f t="shared" si="272"/>
        <v>1.5696865320129674</v>
      </c>
      <c r="AP350" s="31" t="str">
        <f t="shared" si="253"/>
        <v>1+34.6564277445653i</v>
      </c>
      <c r="AQ350" s="31">
        <f t="shared" si="273"/>
        <v>34.670852080880209</v>
      </c>
      <c r="AR350" s="31">
        <f t="shared" si="274"/>
        <v>1.5419496546811704</v>
      </c>
      <c r="AS350" s="58" t="str">
        <f t="shared" si="275"/>
        <v>-1.68281859005772+0.747061471679109i</v>
      </c>
      <c r="AT350" s="49">
        <f t="shared" si="276"/>
        <v>5.3019703984014397</v>
      </c>
      <c r="AU350" s="61">
        <f t="shared" si="277"/>
        <v>156.06190700640482</v>
      </c>
      <c r="AV350" s="58" t="str">
        <f t="shared" si="254"/>
        <v>0.0202424495437367-0.009777692970011i</v>
      </c>
      <c r="AW350" s="64">
        <f t="shared" si="278"/>
        <v>-32.963990988627046</v>
      </c>
      <c r="AX350" s="61">
        <f t="shared" si="279"/>
        <v>-25.781896319455736</v>
      </c>
    </row>
    <row r="351" spans="14:50" x14ac:dyDescent="0.25">
      <c r="N351" s="10">
        <v>33</v>
      </c>
      <c r="O351" s="50">
        <f t="shared" si="244"/>
        <v>21379.620895022348</v>
      </c>
      <c r="P351" s="48" t="str">
        <f t="shared" si="245"/>
        <v>304.285714285714</v>
      </c>
      <c r="Q351" s="17" t="str">
        <f t="shared" si="246"/>
        <v>1+6994.86538521511i</v>
      </c>
      <c r="R351" s="17">
        <f t="shared" si="255"/>
        <v>6994.8654566961141</v>
      </c>
      <c r="S351" s="17">
        <f t="shared" si="256"/>
        <v>1.5706533647880365</v>
      </c>
      <c r="T351" s="17" t="str">
        <f t="shared" si="247"/>
        <v>1+0.145078689471128i</v>
      </c>
      <c r="U351" s="17">
        <f t="shared" si="257"/>
        <v>1.0104691119171629</v>
      </c>
      <c r="V351" s="17">
        <f t="shared" si="258"/>
        <v>0.14407348994093899</v>
      </c>
      <c r="W351" s="31" t="str">
        <f t="shared" si="248"/>
        <v>1-0.453370904597275i</v>
      </c>
      <c r="X351" s="17">
        <f t="shared" si="259"/>
        <v>1.0979732133050202</v>
      </c>
      <c r="Y351" s="17">
        <f t="shared" si="260"/>
        <v>-0.42565363415200569</v>
      </c>
      <c r="Z351" s="31" t="str">
        <f t="shared" si="249"/>
        <v>0.971300040083353+3.99938837355231i</v>
      </c>
      <c r="AA351" s="17">
        <f t="shared" si="261"/>
        <v>4.1156446798006403</v>
      </c>
      <c r="AB351" s="17">
        <f t="shared" si="262"/>
        <v>1.3325468448369688</v>
      </c>
      <c r="AC351" s="66" t="str">
        <f t="shared" si="263"/>
        <v>-0.0117158544609531+0.000506295626799112i</v>
      </c>
      <c r="AD351" s="64">
        <f t="shared" si="264"/>
        <v>-38.616417756636551</v>
      </c>
      <c r="AE351" s="61">
        <f t="shared" si="265"/>
        <v>177.52552704901208</v>
      </c>
      <c r="AF351" s="31" t="str">
        <f t="shared" si="250"/>
        <v>-1512.12121212121</v>
      </c>
      <c r="AG351" s="31" t="str">
        <f t="shared" si="266"/>
        <v>134332.119880674i</v>
      </c>
      <c r="AH351" s="31">
        <f t="shared" si="267"/>
        <v>134332.119880674</v>
      </c>
      <c r="AI351" s="31">
        <f t="shared" si="268"/>
        <v>1.5707963267948966</v>
      </c>
      <c r="AJ351" s="31" t="str">
        <f t="shared" si="251"/>
        <v>-77.4473268164291+185.145527871577i</v>
      </c>
      <c r="AK351" s="31">
        <f t="shared" si="269"/>
        <v>200.69119293545415</v>
      </c>
      <c r="AL351" s="31">
        <f t="shared" si="270"/>
        <v>1.966982733516776</v>
      </c>
      <c r="AM351" s="31" t="str">
        <f t="shared" si="252"/>
        <v>1+922.055670860944i</v>
      </c>
      <c r="AN351" s="31">
        <f t="shared" si="271"/>
        <v>922.05621312739152</v>
      </c>
      <c r="AO351" s="31">
        <f t="shared" si="272"/>
        <v>1.5697117940063332</v>
      </c>
      <c r="AP351" s="31" t="str">
        <f t="shared" si="253"/>
        <v>1+35.4636796484979i</v>
      </c>
      <c r="AQ351" s="31">
        <f t="shared" si="273"/>
        <v>35.477775778806716</v>
      </c>
      <c r="AR351" s="31">
        <f t="shared" si="274"/>
        <v>1.542605933230444</v>
      </c>
      <c r="AS351" s="58" t="str">
        <f t="shared" si="275"/>
        <v>-1.67123804996574+0.757303301114589i</v>
      </c>
      <c r="AT351" s="49">
        <f t="shared" si="276"/>
        <v>5.2718441230819408</v>
      </c>
      <c r="AU351" s="61">
        <f t="shared" si="277"/>
        <v>155.62286126879869</v>
      </c>
      <c r="AV351" s="58" t="str">
        <f t="shared" si="254"/>
        <v>0.0191965624134908-0.0097185957746958i</v>
      </c>
      <c r="AW351" s="64">
        <f t="shared" si="278"/>
        <v>-33.344573633554624</v>
      </c>
      <c r="AX351" s="61">
        <f t="shared" si="279"/>
        <v>-26.851611682189247</v>
      </c>
    </row>
    <row r="352" spans="14:50" x14ac:dyDescent="0.25">
      <c r="N352" s="10">
        <v>34</v>
      </c>
      <c r="O352" s="50">
        <f t="shared" si="244"/>
        <v>21877.61623949555</v>
      </c>
      <c r="P352" s="48" t="str">
        <f t="shared" si="245"/>
        <v>304.285714285714</v>
      </c>
      <c r="Q352" s="17" t="str">
        <f t="shared" si="246"/>
        <v>1+7157.79673063785i</v>
      </c>
      <c r="R352" s="17">
        <f t="shared" si="255"/>
        <v>7157.7968004917466</v>
      </c>
      <c r="S352" s="17">
        <f t="shared" si="256"/>
        <v>1.5706566190005675</v>
      </c>
      <c r="T352" s="17" t="str">
        <f t="shared" si="247"/>
        <v>1+0.148458006265081i</v>
      </c>
      <c r="U352" s="17">
        <f t="shared" si="257"/>
        <v>1.0109598308657981</v>
      </c>
      <c r="V352" s="17">
        <f t="shared" si="258"/>
        <v>0.14738154520608487</v>
      </c>
      <c r="W352" s="31" t="str">
        <f t="shared" si="248"/>
        <v>1-0.463931269578378i</v>
      </c>
      <c r="X352" s="17">
        <f t="shared" si="259"/>
        <v>1.1023757176628146</v>
      </c>
      <c r="Y352" s="17">
        <f t="shared" si="260"/>
        <v>-0.43437858632657489</v>
      </c>
      <c r="Z352" s="31" t="str">
        <f t="shared" si="249"/>
        <v>0.969947452643363+4.0925460960652i</v>
      </c>
      <c r="AA352" s="17">
        <f t="shared" si="261"/>
        <v>4.2059162627551041</v>
      </c>
      <c r="AB352" s="17">
        <f t="shared" si="262"/>
        <v>1.3380866367155015</v>
      </c>
      <c r="AC352" s="66" t="str">
        <f t="shared" si="263"/>
        <v>-0.0112478142199817+0.000609638561618596i</v>
      </c>
      <c r="AD352" s="64">
        <f t="shared" si="264"/>
        <v>-38.965897710804072</v>
      </c>
      <c r="AE352" s="61">
        <f t="shared" si="265"/>
        <v>176.89756857138025</v>
      </c>
      <c r="AF352" s="31" t="str">
        <f t="shared" si="250"/>
        <v>-1512.12121212121</v>
      </c>
      <c r="AG352" s="31" t="str">
        <f t="shared" si="266"/>
        <v>137461.116912112i</v>
      </c>
      <c r="AH352" s="31">
        <f t="shared" si="267"/>
        <v>137461.11691211199</v>
      </c>
      <c r="AI352" s="31">
        <f t="shared" si="268"/>
        <v>1.5707963267948966</v>
      </c>
      <c r="AJ352" s="31" t="str">
        <f t="shared" si="251"/>
        <v>-81.1444354277617+189.458121223106i</v>
      </c>
      <c r="AK352" s="31">
        <f t="shared" si="269"/>
        <v>206.10385512716473</v>
      </c>
      <c r="AL352" s="31">
        <f t="shared" si="270"/>
        <v>1.9754566487743705</v>
      </c>
      <c r="AM352" s="31" t="str">
        <f t="shared" si="252"/>
        <v>1+943.533106484735i</v>
      </c>
      <c r="AN352" s="31">
        <f t="shared" si="271"/>
        <v>943.53363640769817</v>
      </c>
      <c r="AO352" s="31">
        <f t="shared" si="272"/>
        <v>1.5697364809678633</v>
      </c>
      <c r="AP352" s="31" t="str">
        <f t="shared" si="253"/>
        <v>1+36.2897348647975i</v>
      </c>
      <c r="AQ352" s="31">
        <f t="shared" si="273"/>
        <v>36.303510251176803</v>
      </c>
      <c r="AR352" s="31">
        <f t="shared" si="274"/>
        <v>1.5432472965277755</v>
      </c>
      <c r="AS352" s="58" t="str">
        <f t="shared" si="275"/>
        <v>-1.65928194924182+0.7675569463473i</v>
      </c>
      <c r="AT352" s="49">
        <f t="shared" si="276"/>
        <v>5.2405325807774368</v>
      </c>
      <c r="AU352" s="61">
        <f t="shared" si="277"/>
        <v>155.17550355736333</v>
      </c>
      <c r="AV352" s="58" t="str">
        <f t="shared" si="254"/>
        <v>0.0181953627909096-0.00964490019662637i</v>
      </c>
      <c r="AW352" s="64">
        <f t="shared" si="278"/>
        <v>-33.725365130026624</v>
      </c>
      <c r="AX352" s="61">
        <f t="shared" si="279"/>
        <v>-27.926927871256357</v>
      </c>
    </row>
    <row r="353" spans="14:50" x14ac:dyDescent="0.25">
      <c r="N353" s="10">
        <v>35</v>
      </c>
      <c r="O353" s="50">
        <f t="shared" si="244"/>
        <v>22387.211385683382</v>
      </c>
      <c r="P353" s="48" t="str">
        <f t="shared" si="245"/>
        <v>304.285714285714</v>
      </c>
      <c r="Q353" s="17" t="str">
        <f t="shared" si="246"/>
        <v>1+7324.52323463177i</v>
      </c>
      <c r="R353" s="17">
        <f t="shared" si="255"/>
        <v>7324.5233028955981</v>
      </c>
      <c r="S353" s="17">
        <f t="shared" si="256"/>
        <v>1.5706597991381805</v>
      </c>
      <c r="T353" s="17" t="str">
        <f t="shared" si="247"/>
        <v>1+0.151916037459029i</v>
      </c>
      <c r="U353" s="17">
        <f t="shared" si="257"/>
        <v>1.0114734215179622</v>
      </c>
      <c r="V353" s="17">
        <f t="shared" si="258"/>
        <v>0.15076329412032097</v>
      </c>
      <c r="W353" s="31" t="str">
        <f t="shared" si="248"/>
        <v>1-0.474737617059466i</v>
      </c>
      <c r="X353" s="17">
        <f t="shared" si="259"/>
        <v>1.106966939457227</v>
      </c>
      <c r="Y353" s="17">
        <f t="shared" si="260"/>
        <v>-0.44323423372066606</v>
      </c>
      <c r="Z353" s="31" t="str">
        <f t="shared" si="249"/>
        <v>0.968531119721214+4.18787374068946i</v>
      </c>
      <c r="AA353" s="17">
        <f t="shared" si="261"/>
        <v>4.298411217860008</v>
      </c>
      <c r="AB353" s="17">
        <f t="shared" si="262"/>
        <v>1.3435217279721843</v>
      </c>
      <c r="AC353" s="66" t="str">
        <f t="shared" si="263"/>
        <v>-0.0107985036074437+0.000703541552277864i</v>
      </c>
      <c r="AD353" s="64">
        <f t="shared" si="264"/>
        <v>-39.314332736066945</v>
      </c>
      <c r="AE353" s="61">
        <f t="shared" si="265"/>
        <v>176.2723472922616</v>
      </c>
      <c r="AF353" s="31" t="str">
        <f t="shared" si="250"/>
        <v>-1512.12121212121</v>
      </c>
      <c r="AG353" s="31" t="str">
        <f t="shared" si="266"/>
        <v>140662.997647249i</v>
      </c>
      <c r="AH353" s="31">
        <f t="shared" si="267"/>
        <v>140662.99764724899</v>
      </c>
      <c r="AI353" s="31">
        <f t="shared" si="268"/>
        <v>1.5707963267948966</v>
      </c>
      <c r="AJ353" s="31" t="str">
        <f t="shared" si="251"/>
        <v>-85.0157833999324+193.871167778281i</v>
      </c>
      <c r="AK353" s="31">
        <f t="shared" si="269"/>
        <v>211.69249661435475</v>
      </c>
      <c r="AL353" s="31">
        <f t="shared" si="270"/>
        <v>1.9840599783556825</v>
      </c>
      <c r="AM353" s="31" t="str">
        <f t="shared" si="252"/>
        <v>1+965.510815850715i</v>
      </c>
      <c r="AN353" s="31">
        <f t="shared" si="271"/>
        <v>965.51133371116521</v>
      </c>
      <c r="AO353" s="31">
        <f t="shared" si="272"/>
        <v>1.5697606059867912</v>
      </c>
      <c r="AP353" s="31" t="str">
        <f t="shared" si="253"/>
        <v>1+37.1350313788737i</v>
      </c>
      <c r="AQ353" s="31">
        <f t="shared" si="273"/>
        <v>37.148493314129638</v>
      </c>
      <c r="AR353" s="31">
        <f t="shared" si="274"/>
        <v>1.5438740825206838</v>
      </c>
      <c r="AS353" s="58" t="str">
        <f t="shared" si="275"/>
        <v>-1.64694493295564+0.777808868744357i</v>
      </c>
      <c r="AT353" s="49">
        <f t="shared" si="276"/>
        <v>5.2079970564624727</v>
      </c>
      <c r="AU353" s="61">
        <f t="shared" si="277"/>
        <v>154.71986353641105</v>
      </c>
      <c r="AV353" s="58" t="str">
        <f t="shared" si="254"/>
        <v>0.0172373199408907-0.00955786606968542i</v>
      </c>
      <c r="AW353" s="64">
        <f t="shared" si="278"/>
        <v>-34.10633567960447</v>
      </c>
      <c r="AX353" s="61">
        <f t="shared" si="279"/>
        <v>-29.007789171327353</v>
      </c>
    </row>
    <row r="354" spans="14:50" x14ac:dyDescent="0.25">
      <c r="N354" s="10">
        <v>36</v>
      </c>
      <c r="O354" s="50">
        <f t="shared" si="244"/>
        <v>22908.676527677751</v>
      </c>
      <c r="P354" s="48" t="str">
        <f t="shared" si="245"/>
        <v>304.285714285714</v>
      </c>
      <c r="Q354" s="17" t="str">
        <f t="shared" si="246"/>
        <v>1+7495.1332977963i</v>
      </c>
      <c r="R354" s="17">
        <f t="shared" si="255"/>
        <v>7495.1333645062541</v>
      </c>
      <c r="S354" s="17">
        <f t="shared" si="256"/>
        <v>1.5706629068870266</v>
      </c>
      <c r="T354" s="17" t="str">
        <f t="shared" si="247"/>
        <v>1+0.155454616546886i</v>
      </c>
      <c r="U354" s="17">
        <f t="shared" si="257"/>
        <v>1.0120109375919508</v>
      </c>
      <c r="V354" s="17">
        <f t="shared" si="258"/>
        <v>0.15422022017609407</v>
      </c>
      <c r="W354" s="31" t="str">
        <f t="shared" si="248"/>
        <v>1-0.485795676709019i</v>
      </c>
      <c r="X354" s="17">
        <f t="shared" si="259"/>
        <v>1.1117542172212227</v>
      </c>
      <c r="Y354" s="17">
        <f t="shared" si="260"/>
        <v>-0.45221971484807405</v>
      </c>
      <c r="Z354" s="31" t="str">
        <f t="shared" si="249"/>
        <v>0.967048037084887+4.28542185140414i</v>
      </c>
      <c r="AA354" s="17">
        <f t="shared" si="261"/>
        <v>4.3931790710739094</v>
      </c>
      <c r="AB354" s="17">
        <f t="shared" si="262"/>
        <v>1.3488538330732678</v>
      </c>
      <c r="AC354" s="66" t="str">
        <f t="shared" si="263"/>
        <v>-0.010367268790708+0.00078863609024505i</v>
      </c>
      <c r="AD354" s="64">
        <f t="shared" si="264"/>
        <v>-39.661654311764636</v>
      </c>
      <c r="AE354" s="61">
        <f t="shared" si="265"/>
        <v>175.64989924074629</v>
      </c>
      <c r="AF354" s="31" t="str">
        <f t="shared" si="250"/>
        <v>-1512.12121212121</v>
      </c>
      <c r="AG354" s="31" t="str">
        <f t="shared" si="266"/>
        <v>143939.459765635i</v>
      </c>
      <c r="AH354" s="31">
        <f t="shared" si="267"/>
        <v>143939.45976563499</v>
      </c>
      <c r="AI354" s="31">
        <f t="shared" si="268"/>
        <v>1.5707963267948966</v>
      </c>
      <c r="AJ354" s="31" t="str">
        <f t="shared" si="251"/>
        <v>-89.0695823810331+198.387007392802i</v>
      </c>
      <c r="AK354" s="31">
        <f t="shared" si="269"/>
        <v>217.46446883986204</v>
      </c>
      <c r="AL354" s="31">
        <f t="shared" si="270"/>
        <v>1.9927923993730956</v>
      </c>
      <c r="AM354" s="31" t="str">
        <f t="shared" si="252"/>
        <v>1+988.000451831316i</v>
      </c>
      <c r="AN354" s="31">
        <f t="shared" si="271"/>
        <v>988.00095790382943</v>
      </c>
      <c r="AO354" s="31">
        <f t="shared" si="272"/>
        <v>1.5697841818544087</v>
      </c>
      <c r="AP354" s="31" t="str">
        <f t="shared" si="253"/>
        <v>1+38.0000173781276i</v>
      </c>
      <c r="AQ354" s="31">
        <f t="shared" si="273"/>
        <v>38.013172989609792</v>
      </c>
      <c r="AR354" s="31">
        <f t="shared" si="274"/>
        <v>1.5444866215683548</v>
      </c>
      <c r="AS354" s="58" t="str">
        <f t="shared" si="275"/>
        <v>-1.63422213522035+0.788044969055713i</v>
      </c>
      <c r="AT354" s="49">
        <f t="shared" si="276"/>
        <v>5.1741983326114607</v>
      </c>
      <c r="AU354" s="61">
        <f t="shared" si="277"/>
        <v>154.2559793671133</v>
      </c>
      <c r="AV354" s="58" t="str">
        <f t="shared" si="254"/>
        <v>0.0163209394362207-0.00945868056867784i</v>
      </c>
      <c r="AW354" s="64">
        <f t="shared" si="278"/>
        <v>-34.487455979153189</v>
      </c>
      <c r="AX354" s="61">
        <f t="shared" si="279"/>
        <v>-30.09412139214048</v>
      </c>
    </row>
    <row r="355" spans="14:50" x14ac:dyDescent="0.25">
      <c r="N355" s="10">
        <v>37</v>
      </c>
      <c r="O355" s="50">
        <f t="shared" si="244"/>
        <v>23442.288153199243</v>
      </c>
      <c r="P355" s="48" t="str">
        <f t="shared" si="245"/>
        <v>304.285714285714</v>
      </c>
      <c r="Q355" s="17" t="str">
        <f t="shared" si="246"/>
        <v>1+7669.7173798451i</v>
      </c>
      <c r="R355" s="17">
        <f t="shared" si="255"/>
        <v>7669.717445036551</v>
      </c>
      <c r="S355" s="17">
        <f t="shared" si="256"/>
        <v>1.5706659438948747</v>
      </c>
      <c r="T355" s="17" t="str">
        <f t="shared" si="247"/>
        <v>1+0.15907561973012i</v>
      </c>
      <c r="U355" s="17">
        <f t="shared" si="257"/>
        <v>1.0125734801941644</v>
      </c>
      <c r="V355" s="17">
        <f t="shared" si="258"/>
        <v>0.15775382561977874</v>
      </c>
      <c r="W355" s="31" t="str">
        <f t="shared" si="248"/>
        <v>1-0.497111311656626i</v>
      </c>
      <c r="X355" s="17">
        <f t="shared" si="259"/>
        <v>1.11674511692551</v>
      </c>
      <c r="Y355" s="17">
        <f t="shared" si="260"/>
        <v>-0.46133398911877543</v>
      </c>
      <c r="Z355" s="31" t="str">
        <f t="shared" si="249"/>
        <v>0.96549505891727+4.38524214950867i</v>
      </c>
      <c r="AA355" s="17">
        <f t="shared" si="261"/>
        <v>4.4902705284449276</v>
      </c>
      <c r="AB355" s="17">
        <f t="shared" si="262"/>
        <v>1.3540846816020646</v>
      </c>
      <c r="AC355" s="66" t="str">
        <f t="shared" si="263"/>
        <v>-0.00995347068831477+0.000865517151749241i</v>
      </c>
      <c r="AD355" s="64">
        <f t="shared" si="264"/>
        <v>-40.007793946666624</v>
      </c>
      <c r="AE355" s="61">
        <f t="shared" si="265"/>
        <v>175.03027091839385</v>
      </c>
      <c r="AF355" s="31" t="str">
        <f t="shared" si="250"/>
        <v>-1512.12121212121</v>
      </c>
      <c r="AG355" s="31" t="str">
        <f t="shared" si="266"/>
        <v>147292.240490852i</v>
      </c>
      <c r="AH355" s="31">
        <f t="shared" si="267"/>
        <v>147292.24049085201</v>
      </c>
      <c r="AI355" s="31">
        <f t="shared" si="268"/>
        <v>1.5707963267948966</v>
      </c>
      <c r="AJ355" s="31" t="str">
        <f t="shared" si="251"/>
        <v>-93.3144310222021+203.008034424605i</v>
      </c>
      <c r="AK355" s="31">
        <f t="shared" si="269"/>
        <v>223.42749400630828</v>
      </c>
      <c r="AL355" s="31">
        <f t="shared" si="270"/>
        <v>2.0016534261582386</v>
      </c>
      <c r="AM355" s="31" t="str">
        <f t="shared" si="252"/>
        <v>1+1011.01393872921i</v>
      </c>
      <c r="AN355" s="31">
        <f t="shared" si="271"/>
        <v>1011.0144332821123</v>
      </c>
      <c r="AO355" s="31">
        <f t="shared" si="272"/>
        <v>1.569807221070848</v>
      </c>
      <c r="AP355" s="31" t="str">
        <f t="shared" si="253"/>
        <v>1+38.8851514895849i</v>
      </c>
      <c r="AQ355" s="31">
        <f t="shared" si="273"/>
        <v>38.898007742916171</v>
      </c>
      <c r="AR355" s="31">
        <f t="shared" si="274"/>
        <v>1.545085236607429</v>
      </c>
      <c r="AS355" s="58" t="str">
        <f t="shared" si="275"/>
        <v>-1.62110922685141+0.798250599232637i</v>
      </c>
      <c r="AT355" s="49">
        <f t="shared" si="276"/>
        <v>5.1390967404759227</v>
      </c>
      <c r="AU355" s="61">
        <f t="shared" si="277"/>
        <v>153.7838980953295</v>
      </c>
      <c r="AV355" s="58" t="str">
        <f t="shared" si="254"/>
        <v>0.0154447635869922-0.0093484617820906i</v>
      </c>
      <c r="AW355" s="64">
        <f t="shared" si="278"/>
        <v>-34.868697206190689</v>
      </c>
      <c r="AX355" s="61">
        <f t="shared" si="279"/>
        <v>-31.185830986276603</v>
      </c>
    </row>
    <row r="356" spans="14:50" x14ac:dyDescent="0.25">
      <c r="N356" s="10">
        <v>38</v>
      </c>
      <c r="O356" s="50">
        <f t="shared" si="244"/>
        <v>23988.329190194923</v>
      </c>
      <c r="P356" s="48" t="str">
        <f t="shared" si="245"/>
        <v>304.285714285714</v>
      </c>
      <c r="Q356" s="17" t="str">
        <f t="shared" si="246"/>
        <v>1+7848.36804756937i</v>
      </c>
      <c r="R356" s="17">
        <f t="shared" si="255"/>
        <v>7848.3681112768818</v>
      </c>
      <c r="S356" s="17">
        <f t="shared" si="256"/>
        <v>1.5706689117719865</v>
      </c>
      <c r="T356" s="17" t="str">
        <f t="shared" si="247"/>
        <v>1+0.16278096691255i</v>
      </c>
      <c r="U356" s="17">
        <f t="shared" si="257"/>
        <v>1.0131621998421501</v>
      </c>
      <c r="V356" s="17">
        <f t="shared" si="258"/>
        <v>0.16136563085985914</v>
      </c>
      <c r="W356" s="31" t="str">
        <f t="shared" si="248"/>
        <v>1-0.508690521601718i</v>
      </c>
      <c r="X356" s="17">
        <f t="shared" si="259"/>
        <v>1.1219474349395466</v>
      </c>
      <c r="Y356" s="17">
        <f t="shared" si="260"/>
        <v>-0.47057583109702678</v>
      </c>
      <c r="Z356" s="31" t="str">
        <f t="shared" si="249"/>
        <v>0.96386889114346+4.4873875610464i</v>
      </c>
      <c r="AA356" s="17">
        <f t="shared" si="261"/>
        <v>4.5897375047324953</v>
      </c>
      <c r="AB356" s="17">
        <f t="shared" si="262"/>
        <v>1.359216015340406</v>
      </c>
      <c r="AC356" s="66" t="str">
        <f t="shared" si="263"/>
        <v>-0.00955648536610959+0.000934744966102027i</v>
      </c>
      <c r="AD356" s="64">
        <f t="shared" si="264"/>
        <v>-40.352683219730679</v>
      </c>
      <c r="AE356" s="61">
        <f t="shared" si="265"/>
        <v>174.41351976148027</v>
      </c>
      <c r="AF356" s="31" t="str">
        <f t="shared" si="250"/>
        <v>-1512.12121212121</v>
      </c>
      <c r="AG356" s="31" t="str">
        <f t="shared" si="266"/>
        <v>150723.11751162i</v>
      </c>
      <c r="AH356" s="31">
        <f t="shared" si="267"/>
        <v>150723.11751161999</v>
      </c>
      <c r="AI356" s="31">
        <f t="shared" si="268"/>
        <v>1.5707963267948966</v>
      </c>
      <c r="AJ356" s="31" t="str">
        <f t="shared" si="251"/>
        <v>-97.7593332165246+207.736699003388i</v>
      </c>
      <c r="AK356" s="31">
        <f t="shared" si="269"/>
        <v>229.58968475034698</v>
      </c>
      <c r="AL356" s="31">
        <f t="shared" si="270"/>
        <v>2.0106424038286606</v>
      </c>
      <c r="AM356" s="31" t="str">
        <f t="shared" si="252"/>
        <v>1+1034.56347859976i</v>
      </c>
      <c r="AN356" s="31">
        <f t="shared" si="271"/>
        <v>1034.5639618952691</v>
      </c>
      <c r="AO356" s="31">
        <f t="shared" si="272"/>
        <v>1.5698297358517088</v>
      </c>
      <c r="AP356" s="31" t="str">
        <f t="shared" si="253"/>
        <v>1+39.7909030230677i</v>
      </c>
      <c r="AQ356" s="31">
        <f t="shared" si="273"/>
        <v>39.803466725791331</v>
      </c>
      <c r="AR356" s="31">
        <f t="shared" si="274"/>
        <v>1.5456702433144796</v>
      </c>
      <c r="AS356" s="58" t="str">
        <f t="shared" si="275"/>
        <v>-1.60760246376586+0.808410578105189i</v>
      </c>
      <c r="AT356" s="49">
        <f t="shared" si="276"/>
        <v>5.1026522162655477</v>
      </c>
      <c r="AU356" s="61">
        <f t="shared" si="277"/>
        <v>153.30367602989773</v>
      </c>
      <c r="AV356" s="58" t="str">
        <f t="shared" si="254"/>
        <v>0.0146073717010727-0.00922826216996879i</v>
      </c>
      <c r="AW356" s="64">
        <f t="shared" si="278"/>
        <v>-35.250031003465139</v>
      </c>
      <c r="AX356" s="61">
        <f t="shared" si="279"/>
        <v>-32.282804208622004</v>
      </c>
    </row>
    <row r="357" spans="14:50" x14ac:dyDescent="0.25">
      <c r="N357" s="10">
        <v>39</v>
      </c>
      <c r="O357" s="50">
        <f t="shared" si="244"/>
        <v>24547.089156850321</v>
      </c>
      <c r="P357" s="48" t="str">
        <f t="shared" si="245"/>
        <v>304.285714285714</v>
      </c>
      <c r="Q357" s="17" t="str">
        <f t="shared" si="246"/>
        <v>1+8031.18002391791i</v>
      </c>
      <c r="R357" s="17">
        <f t="shared" si="255"/>
        <v>8031.1800861752627</v>
      </c>
      <c r="S357" s="17">
        <f t="shared" si="256"/>
        <v>1.5706718120919696</v>
      </c>
      <c r="T357" s="17" t="str">
        <f t="shared" si="247"/>
        <v>1+0.166572622718297i</v>
      </c>
      <c r="U357" s="17">
        <f t="shared" si="257"/>
        <v>1.0137782985639672</v>
      </c>
      <c r="V357" s="17">
        <f t="shared" si="258"/>
        <v>0.16505717379938289</v>
      </c>
      <c r="W357" s="31" t="str">
        <f t="shared" si="248"/>
        <v>1-0.520539445994678i</v>
      </c>
      <c r="X357" s="17">
        <f t="shared" si="259"/>
        <v>1.1273692007663001</v>
      </c>
      <c r="Y357" s="17">
        <f t="shared" si="260"/>
        <v>-0.47994382511261413</v>
      </c>
      <c r="Z357" s="31" t="str">
        <f t="shared" si="249"/>
        <v>0.962166084443582+4.5919122448666i</v>
      </c>
      <c r="AA357" s="17">
        <f t="shared" si="261"/>
        <v>4.6916331526036119</v>
      </c>
      <c r="AB357" s="17">
        <f t="shared" si="262"/>
        <v>1.3642495855334595</v>
      </c>
      <c r="AC357" s="66" t="str">
        <f t="shared" si="263"/>
        <v>-0.00917570434860047+0.000996846730035866i</v>
      </c>
      <c r="AD357" s="64">
        <f t="shared" si="264"/>
        <v>-40.696253825051883</v>
      </c>
      <c r="AE357" s="61">
        <f t="shared" si="265"/>
        <v>173.79971456817023</v>
      </c>
      <c r="AF357" s="31" t="str">
        <f t="shared" si="250"/>
        <v>-1512.12121212121</v>
      </c>
      <c r="AG357" s="31" t="str">
        <f t="shared" si="266"/>
        <v>154233.909924349i</v>
      </c>
      <c r="AH357" s="31">
        <f t="shared" si="267"/>
        <v>154233.90992434899</v>
      </c>
      <c r="AI357" s="31">
        <f t="shared" si="268"/>
        <v>1.5707963267948966</v>
      </c>
      <c r="AJ357" s="31" t="str">
        <f t="shared" si="251"/>
        <v>-102.413717197494+212.575508329703i</v>
      </c>
      <c r="AK357" s="31">
        <f t="shared" si="269"/>
        <v>235.95956478142585</v>
      </c>
      <c r="AL357" s="31">
        <f t="shared" si="270"/>
        <v>2.0197585020636444</v>
      </c>
      <c r="AM357" s="31" t="str">
        <f t="shared" si="252"/>
        <v>1+1058.66155772073i</v>
      </c>
      <c r="AN357" s="31">
        <f t="shared" si="271"/>
        <v>1058.6620300150951</v>
      </c>
      <c r="AO357" s="31">
        <f t="shared" si="272"/>
        <v>1.5698517381345347</v>
      </c>
      <c r="AP357" s="31" t="str">
        <f t="shared" si="253"/>
        <v>1+40.7177522200281i</v>
      </c>
      <c r="AQ357" s="31">
        <f t="shared" si="273"/>
        <v>40.730030025174351</v>
      </c>
      <c r="AR357" s="31">
        <f t="shared" si="274"/>
        <v>1.5462419502652205</v>
      </c>
      <c r="AS357" s="58" t="str">
        <f t="shared" si="275"/>
        <v>-1.59369873582433+0.818509211130998i</v>
      </c>
      <c r="AT357" s="49">
        <f t="shared" si="276"/>
        <v>5.0648243622933187</v>
      </c>
      <c r="AU357" s="61">
        <f t="shared" si="277"/>
        <v>152.81537910874789</v>
      </c>
      <c r="AV357" s="58" t="str">
        <f t="shared" si="254"/>
        <v>0.0138073801900422-0.00909907190141301i</v>
      </c>
      <c r="AW357" s="64">
        <f t="shared" si="278"/>
        <v>-35.631429462758575</v>
      </c>
      <c r="AX357" s="61">
        <f t="shared" si="279"/>
        <v>-33.384906323081879</v>
      </c>
    </row>
    <row r="358" spans="14:50" x14ac:dyDescent="0.25">
      <c r="N358" s="10">
        <v>40</v>
      </c>
      <c r="O358" s="50">
        <f t="shared" si="244"/>
        <v>25118.86431509586</v>
      </c>
      <c r="P358" s="48" t="str">
        <f t="shared" si="245"/>
        <v>304.285714285714</v>
      </c>
      <c r="Q358" s="17" t="str">
        <f t="shared" si="246"/>
        <v>1+8218.2502382204i</v>
      </c>
      <c r="R358" s="17">
        <f t="shared" si="255"/>
        <v>8218.2502990606008</v>
      </c>
      <c r="S358" s="17">
        <f t="shared" si="256"/>
        <v>1.5706746463926118</v>
      </c>
      <c r="T358" s="17" t="str">
        <f t="shared" si="247"/>
        <v>1+0.17045259753346i</v>
      </c>
      <c r="U358" s="17">
        <f t="shared" si="257"/>
        <v>1.0144230320758216</v>
      </c>
      <c r="V358" s="17">
        <f t="shared" si="258"/>
        <v>0.16883000908782389</v>
      </c>
      <c r="W358" s="31" t="str">
        <f t="shared" si="248"/>
        <v>1-0.532664367292063i</v>
      </c>
      <c r="X358" s="17">
        <f t="shared" si="259"/>
        <v>1.133018679538274</v>
      </c>
      <c r="Y358" s="17">
        <f t="shared" si="260"/>
        <v>-0.48943636027900778</v>
      </c>
      <c r="Z358" s="31" t="str">
        <f t="shared" si="249"/>
        <v>0.960383026936327+4.6988716213402i</v>
      </c>
      <c r="AA358" s="17">
        <f t="shared" si="261"/>
        <v>4.7960118924230857</v>
      </c>
      <c r="AB358" s="17">
        <f t="shared" si="262"/>
        <v>1.3691871503319142</v>
      </c>
      <c r="AC358" s="66" t="str">
        <f t="shared" si="263"/>
        <v>-0.0088105348523815+0.00105231826621284i</v>
      </c>
      <c r="AD358" s="64">
        <f t="shared" si="264"/>
        <v>-41.03843762102008</v>
      </c>
      <c r="AE358" s="61">
        <f t="shared" si="265"/>
        <v>173.18893588759363</v>
      </c>
      <c r="AF358" s="31" t="str">
        <f t="shared" si="250"/>
        <v>-1512.12121212121</v>
      </c>
      <c r="AG358" s="31" t="str">
        <f t="shared" si="266"/>
        <v>157826.479197648i</v>
      </c>
      <c r="AH358" s="31">
        <f t="shared" si="267"/>
        <v>157826.479197648</v>
      </c>
      <c r="AI358" s="31">
        <f t="shared" si="268"/>
        <v>1.5707963267948966</v>
      </c>
      <c r="AJ358" s="31" t="str">
        <f t="shared" si="251"/>
        <v>-107.287455537559+217.527028004305i</v>
      </c>
      <c r="AK358" s="31">
        <f t="shared" si="269"/>
        <v>242.54609052324344</v>
      </c>
      <c r="AL358" s="31">
        <f t="shared" si="270"/>
        <v>2.0290007091378328</v>
      </c>
      <c r="AM358" s="31" t="str">
        <f t="shared" si="252"/>
        <v>1+1083.32095321265i</v>
      </c>
      <c r="AN358" s="31">
        <f t="shared" si="271"/>
        <v>1083.3214147562876</v>
      </c>
      <c r="AO358" s="31">
        <f t="shared" si="272"/>
        <v>1.5698732395851418</v>
      </c>
      <c r="AP358" s="31" t="str">
        <f t="shared" si="253"/>
        <v>1+41.666190508179i</v>
      </c>
      <c r="AQ358" s="31">
        <f t="shared" si="273"/>
        <v>41.678188917752486</v>
      </c>
      <c r="AR358" s="31">
        <f t="shared" si="274"/>
        <v>1.5468006590904941</v>
      </c>
      <c r="AS358" s="58" t="str">
        <f t="shared" si="275"/>
        <v>-1.57939561578367+0.828530314407823i</v>
      </c>
      <c r="AT358" s="49">
        <f t="shared" si="276"/>
        <v>5.0255725131104274</v>
      </c>
      <c r="AU358" s="61">
        <f t="shared" si="277"/>
        <v>152.31908325004895</v>
      </c>
      <c r="AV358" s="58" t="str">
        <f t="shared" si="254"/>
        <v>0.0130434425345981-0.00896182206741036i</v>
      </c>
      <c r="AW358" s="64">
        <f t="shared" si="278"/>
        <v>-36.012865107909668</v>
      </c>
      <c r="AX358" s="61">
        <f t="shared" si="279"/>
        <v>-34.491980862357494</v>
      </c>
    </row>
    <row r="359" spans="14:50" x14ac:dyDescent="0.25">
      <c r="N359" s="10">
        <v>41</v>
      </c>
      <c r="O359" s="50">
        <f t="shared" si="244"/>
        <v>25703.95782768865</v>
      </c>
      <c r="P359" s="48" t="str">
        <f t="shared" si="245"/>
        <v>304.285714285714</v>
      </c>
      <c r="Q359" s="17" t="str">
        <f t="shared" si="246"/>
        <v>1+8409.67787758056i</v>
      </c>
      <c r="R359" s="17">
        <f t="shared" si="255"/>
        <v>8409.677937035869</v>
      </c>
      <c r="S359" s="17">
        <f t="shared" si="256"/>
        <v>1.5706774161766965</v>
      </c>
      <c r="T359" s="17" t="str">
        <f t="shared" si="247"/>
        <v>1+0.174422948572041i</v>
      </c>
      <c r="U359" s="17">
        <f t="shared" si="257"/>
        <v>1.015097712039863</v>
      </c>
      <c r="V359" s="17">
        <f t="shared" si="258"/>
        <v>0.17268570728723412</v>
      </c>
      <c r="W359" s="31" t="str">
        <f t="shared" si="248"/>
        <v>1-0.545071714287628i</v>
      </c>
      <c r="X359" s="17">
        <f t="shared" si="259"/>
        <v>1.1389043742634646</v>
      </c>
      <c r="Y359" s="17">
        <f t="shared" si="260"/>
        <v>-0.49905162597316555</v>
      </c>
      <c r="Z359" s="31" t="str">
        <f t="shared" si="249"/>
        <v>0.958515936517665+4.80832240174432i</v>
      </c>
      <c r="AA359" s="17">
        <f t="shared" si="261"/>
        <v>4.9029294426571761</v>
      </c>
      <c r="AB359" s="17">
        <f t="shared" si="262"/>
        <v>1.3740304724053105</v>
      </c>
      <c r="AC359" s="66" t="str">
        <f t="shared" si="263"/>
        <v>-0.00846039994818453+0.00110162562457105i</v>
      </c>
      <c r="AD359" s="64">
        <f t="shared" si="264"/>
        <v>-41.379166683651761</v>
      </c>
      <c r="AE359" s="61">
        <f t="shared" si="265"/>
        <v>172.5812763677574</v>
      </c>
      <c r="AF359" s="31" t="str">
        <f t="shared" si="250"/>
        <v>-1512.12121212121</v>
      </c>
      <c r="AG359" s="31" t="str">
        <f t="shared" si="266"/>
        <v>161502.730159297i</v>
      </c>
      <c r="AH359" s="31">
        <f t="shared" si="267"/>
        <v>161502.730159297</v>
      </c>
      <c r="AI359" s="31">
        <f t="shared" si="268"/>
        <v>1.5707963267948966</v>
      </c>
      <c r="AJ359" s="31" t="str">
        <f t="shared" si="251"/>
        <v>-112.39088608917+222.593883388464i</v>
      </c>
      <c r="AK359" s="31">
        <f t="shared" si="269"/>
        <v>249.35867379713483</v>
      </c>
      <c r="AL359" s="31">
        <f t="shared" si="270"/>
        <v>2.0383678262633609</v>
      </c>
      <c r="AM359" s="31" t="str">
        <f t="shared" si="252"/>
        <v>1+1108.55473981341i</v>
      </c>
      <c r="AN359" s="31">
        <f t="shared" si="271"/>
        <v>1108.5551908510361</v>
      </c>
      <c r="AO359" s="31">
        <f t="shared" si="272"/>
        <v>1.5698942516038044</v>
      </c>
      <c r="AP359" s="31" t="str">
        <f t="shared" si="253"/>
        <v>1+42.6367207620544i</v>
      </c>
      <c r="AQ359" s="31">
        <f t="shared" si="273"/>
        <v>42.648446130444199</v>
      </c>
      <c r="AR359" s="31">
        <f t="shared" si="274"/>
        <v>1.5473466646290832</v>
      </c>
      <c r="AS359" s="58" t="str">
        <f t="shared" si="275"/>
        <v>-1.56469140799551+0.838457243117573i</v>
      </c>
      <c r="AT359" s="49">
        <f t="shared" si="276"/>
        <v>4.9848558066238118</v>
      </c>
      <c r="AU359" s="61">
        <f t="shared" si="277"/>
        <v>151.81487468549187</v>
      </c>
      <c r="AV359" s="58" t="str">
        <f t="shared" si="254"/>
        <v>0.0123142491230045-0.00881738776582087i</v>
      </c>
      <c r="AW359" s="64">
        <f t="shared" si="278"/>
        <v>-36.394310877027941</v>
      </c>
      <c r="AX359" s="61">
        <f t="shared" si="279"/>
        <v>-35.603848946750681</v>
      </c>
    </row>
    <row r="360" spans="14:50" x14ac:dyDescent="0.25">
      <c r="N360" s="10">
        <v>42</v>
      </c>
      <c r="O360" s="50">
        <f t="shared" si="244"/>
        <v>26302.679918953829</v>
      </c>
      <c r="P360" s="48" t="str">
        <f t="shared" si="245"/>
        <v>304.285714285714</v>
      </c>
      <c r="Q360" s="17" t="str">
        <f t="shared" si="246"/>
        <v>1+8605.56443946666i</v>
      </c>
      <c r="R360" s="17">
        <f t="shared" si="255"/>
        <v>8605.5644975686009</v>
      </c>
      <c r="S360" s="17">
        <f t="shared" si="256"/>
        <v>1.5706801229128</v>
      </c>
      <c r="T360" s="17" t="str">
        <f t="shared" si="247"/>
        <v>1+0.178485780966715i</v>
      </c>
      <c r="U360" s="17">
        <f t="shared" si="257"/>
        <v>1.0158037084039899</v>
      </c>
      <c r="V360" s="17">
        <f t="shared" si="258"/>
        <v>0.17662585394742616</v>
      </c>
      <c r="W360" s="31" t="str">
        <f t="shared" si="248"/>
        <v>1-0.557768065520986i</v>
      </c>
      <c r="X360" s="17">
        <f t="shared" si="259"/>
        <v>1.1450350278113868</v>
      </c>
      <c r="Y360" s="17">
        <f t="shared" si="260"/>
        <v>-0.50878760783238464</v>
      </c>
      <c r="Z360" s="31" t="str">
        <f t="shared" si="249"/>
        <v>0.956560852838491+4.92032261833152i</v>
      </c>
      <c r="AA360" s="17">
        <f t="shared" si="261"/>
        <v>5.0124428509109045</v>
      </c>
      <c r="AB360" s="17">
        <f t="shared" si="262"/>
        <v>1.3787813167201504</v>
      </c>
      <c r="AC360" s="66" t="str">
        <f t="shared" si="263"/>
        <v>-0.00812473865781859+0.0011452066256398i</v>
      </c>
      <c r="AD360" s="64">
        <f t="shared" si="264"/>
        <v>-41.718373364012571</v>
      </c>
      <c r="AE360" s="61">
        <f t="shared" si="265"/>
        <v>171.9768410591808</v>
      </c>
      <c r="AF360" s="31" t="str">
        <f t="shared" si="250"/>
        <v>-1512.12121212121</v>
      </c>
      <c r="AG360" s="31" t="str">
        <f t="shared" si="266"/>
        <v>165264.612006218i</v>
      </c>
      <c r="AH360" s="31">
        <f t="shared" si="267"/>
        <v>165264.612006218</v>
      </c>
      <c r="AI360" s="31">
        <f t="shared" si="268"/>
        <v>1.5707963267948966</v>
      </c>
      <c r="AJ360" s="31" t="str">
        <f t="shared" si="251"/>
        <v>-117.734833912757+227.778760995974i</v>
      </c>
      <c r="AK360" s="31">
        <f t="shared" si="269"/>
        <v>256.40720558776337</v>
      </c>
      <c r="AL360" s="31">
        <f t="shared" si="270"/>
        <v>2.0478584622930409</v>
      </c>
      <c r="AM360" s="31" t="str">
        <f t="shared" si="252"/>
        <v>1+1134.37629681068i</v>
      </c>
      <c r="AN360" s="31">
        <f t="shared" si="271"/>
        <v>1134.3767375814405</v>
      </c>
      <c r="AO360" s="31">
        <f t="shared" si="272"/>
        <v>1.5699147853312985</v>
      </c>
      <c r="AP360" s="31" t="str">
        <f t="shared" si="253"/>
        <v>1+43.6298575696415i</v>
      </c>
      <c r="AQ360" s="31">
        <f t="shared" si="273"/>
        <v>43.641316106955394</v>
      </c>
      <c r="AR360" s="31">
        <f t="shared" si="274"/>
        <v>1.5478802550773949</v>
      </c>
      <c r="AS360" s="58" t="str">
        <f t="shared" si="275"/>
        <v>-1.54958519645358+0.848272924539898i</v>
      </c>
      <c r="AT360" s="49">
        <f t="shared" si="276"/>
        <v>4.9426332601480469</v>
      </c>
      <c r="AU360" s="61">
        <f t="shared" si="277"/>
        <v>151.30285027269619</v>
      </c>
      <c r="AV360" s="58" t="str">
        <f t="shared" si="254"/>
        <v>0.0116185269756759-0.00866659105636213i</v>
      </c>
      <c r="AW360" s="64">
        <f t="shared" si="278"/>
        <v>-36.775740103864514</v>
      </c>
      <c r="AX360" s="61">
        <f t="shared" si="279"/>
        <v>-36.720308668122975</v>
      </c>
    </row>
    <row r="361" spans="14:50" x14ac:dyDescent="0.25">
      <c r="N361" s="10">
        <v>43</v>
      </c>
      <c r="O361" s="50">
        <f t="shared" si="244"/>
        <v>26915.348039269167</v>
      </c>
      <c r="P361" s="48" t="str">
        <f t="shared" si="245"/>
        <v>304.285714285714</v>
      </c>
      <c r="Q361" s="17" t="str">
        <f t="shared" si="246"/>
        <v>1+8806.0137855267i</v>
      </c>
      <c r="R361" s="17">
        <f t="shared" si="255"/>
        <v>8806.0138423060798</v>
      </c>
      <c r="S361" s="17">
        <f t="shared" si="256"/>
        <v>1.5706827680360691</v>
      </c>
      <c r="T361" s="17" t="str">
        <f t="shared" si="247"/>
        <v>1+0.182643248884998i</v>
      </c>
      <c r="U361" s="17">
        <f t="shared" si="257"/>
        <v>1.0165424518254351</v>
      </c>
      <c r="V361" s="17">
        <f t="shared" si="258"/>
        <v>0.18065204858468156</v>
      </c>
      <c r="W361" s="31" t="str">
        <f t="shared" si="248"/>
        <v>1-0.570760152765619i</v>
      </c>
      <c r="X361" s="17">
        <f t="shared" si="259"/>
        <v>1.1514196246308435</v>
      </c>
      <c r="Y361" s="17">
        <f t="shared" si="260"/>
        <v>-0.51864208432351799</v>
      </c>
      <c r="Z361" s="31" t="str">
        <f t="shared" si="249"/>
        <v>0.9545136289042+5.03493165509914i</v>
      </c>
      <c r="AA361" s="17">
        <f t="shared" si="261"/>
        <v>5.1246105256188228</v>
      </c>
      <c r="AB361" s="17">
        <f t="shared" si="262"/>
        <v>1.3834414484762951</v>
      </c>
      <c r="AC361" s="66" t="str">
        <f t="shared" si="263"/>
        <v>-0.00780300599194698+0.00118347234536707i</v>
      </c>
      <c r="AD361" s="64">
        <f t="shared" si="264"/>
        <v>-42.055990349592129</v>
      </c>
      <c r="AE361" s="61">
        <f t="shared" si="265"/>
        <v>171.37574767113924</v>
      </c>
      <c r="AF361" s="31" t="str">
        <f t="shared" si="250"/>
        <v>-1512.12121212121</v>
      </c>
      <c r="AG361" s="31" t="str">
        <f t="shared" si="266"/>
        <v>169114.119337961i</v>
      </c>
      <c r="AH361" s="31">
        <f t="shared" si="267"/>
        <v>169114.11933796099</v>
      </c>
      <c r="AI361" s="31">
        <f t="shared" si="268"/>
        <v>1.5707963267948966</v>
      </c>
      <c r="AJ361" s="31" t="str">
        <f t="shared" si="251"/>
        <v>-123.330634238131+233.084409917573i</v>
      </c>
      <c r="AK361" s="31">
        <f t="shared" si="269"/>
        <v>263.70208093263665</v>
      </c>
      <c r="AL361" s="31">
        <f t="shared" si="270"/>
        <v>2.0574710288384925</v>
      </c>
      <c r="AM361" s="31" t="str">
        <f t="shared" si="252"/>
        <v>1+1160.79931513576i</v>
      </c>
      <c r="AN361" s="31">
        <f t="shared" si="271"/>
        <v>1160.7997458733566</v>
      </c>
      <c r="AO361" s="31">
        <f t="shared" si="272"/>
        <v>1.5699348516548091</v>
      </c>
      <c r="AP361" s="31" t="str">
        <f t="shared" si="253"/>
        <v>1+44.6461275052217i</v>
      </c>
      <c r="AQ361" s="31">
        <f t="shared" si="273"/>
        <v>44.657325280546232</v>
      </c>
      <c r="AR361" s="31">
        <f t="shared" si="274"/>
        <v>1.5484017121360658</v>
      </c>
      <c r="AS361" s="58" t="str">
        <f t="shared" si="275"/>
        <v>-1.53407689176338+0.857959895738876i</v>
      </c>
      <c r="AT361" s="49">
        <f t="shared" si="276"/>
        <v>4.8988638513048146</v>
      </c>
      <c r="AU361" s="61">
        <f t="shared" si="277"/>
        <v>150.78311778365978</v>
      </c>
      <c r="AV361" s="58" t="str">
        <f t="shared" si="254"/>
        <v>0.0109550393684961-0.00851020378436929i</v>
      </c>
      <c r="AW361" s="64">
        <f t="shared" si="278"/>
        <v>-37.157126498287305</v>
      </c>
      <c r="AX361" s="61">
        <f t="shared" si="279"/>
        <v>-37.841134545200923</v>
      </c>
    </row>
    <row r="362" spans="14:50" x14ac:dyDescent="0.25">
      <c r="N362" s="10">
        <v>44</v>
      </c>
      <c r="O362" s="50">
        <f t="shared" si="244"/>
        <v>27542.287033381719</v>
      </c>
      <c r="P362" s="48" t="str">
        <f t="shared" si="245"/>
        <v>304.285714285714</v>
      </c>
      <c r="Q362" s="17" t="str">
        <f t="shared" si="246"/>
        <v>1+9011.13219665721i</v>
      </c>
      <c r="R362" s="17">
        <f t="shared" si="255"/>
        <v>9011.1322521441343</v>
      </c>
      <c r="S362" s="17">
        <f t="shared" si="256"/>
        <v>1.5706853529489835</v>
      </c>
      <c r="T362" s="17" t="str">
        <f t="shared" si="247"/>
        <v>1+0.186897556671408i</v>
      </c>
      <c r="U362" s="17">
        <f t="shared" si="257"/>
        <v>1.0173154361798225</v>
      </c>
      <c r="V362" s="17">
        <f t="shared" si="258"/>
        <v>0.1847659035583244</v>
      </c>
      <c r="W362" s="31" t="str">
        <f t="shared" si="248"/>
        <v>1-0.584054864598152i</v>
      </c>
      <c r="X362" s="17">
        <f t="shared" si="259"/>
        <v>1.1580673921930302</v>
      </c>
      <c r="Y362" s="17">
        <f t="shared" si="260"/>
        <v>-0.52861262393943931</v>
      </c>
      <c r="Z362" s="31" t="str">
        <f t="shared" si="249"/>
        <v>0.95236992227835+5.1522102792755i</v>
      </c>
      <c r="AA362" s="17">
        <f t="shared" si="261"/>
        <v>5.2394922684104221</v>
      </c>
      <c r="AB362" s="17">
        <f t="shared" si="262"/>
        <v>1.3880126311951557</v>
      </c>
      <c r="AC362" s="66" t="str">
        <f t="shared" si="263"/>
        <v>-0.00749467293433469+0.00121680854136894i</v>
      </c>
      <c r="AD362" s="64">
        <f t="shared" si="264"/>
        <v>-42.391950729440552</v>
      </c>
      <c r="AE362" s="61">
        <f t="shared" si="265"/>
        <v>170.77812677742341</v>
      </c>
      <c r="AF362" s="31" t="str">
        <f t="shared" si="250"/>
        <v>-1512.12121212121</v>
      </c>
      <c r="AG362" s="31" t="str">
        <f t="shared" si="266"/>
        <v>173053.293214267i</v>
      </c>
      <c r="AH362" s="31">
        <f t="shared" si="267"/>
        <v>173053.293214267</v>
      </c>
      <c r="AI362" s="31">
        <f t="shared" si="268"/>
        <v>1.5707963267948966</v>
      </c>
      <c r="AJ362" s="31" t="str">
        <f t="shared" si="251"/>
        <v>-129.190156508022+238.513643278548i</v>
      </c>
      <c r="AK362" s="31">
        <f t="shared" si="269"/>
        <v>271.25422497829163</v>
      </c>
      <c r="AL362" s="31">
        <f t="shared" si="270"/>
        <v>2.0672037358581337</v>
      </c>
      <c r="AM362" s="31" t="str">
        <f t="shared" si="252"/>
        <v>1+1187.83780462273i</v>
      </c>
      <c r="AN362" s="31">
        <f t="shared" si="271"/>
        <v>1187.8382255555455</v>
      </c>
      <c r="AO362" s="31">
        <f t="shared" si="272"/>
        <v>1.5699544612137015</v>
      </c>
      <c r="AP362" s="31" t="str">
        <f t="shared" si="253"/>
        <v>1+45.6860694085665i</v>
      </c>
      <c r="AQ362" s="31">
        <f t="shared" si="273"/>
        <v>45.697012353154506</v>
      </c>
      <c r="AR362" s="31">
        <f t="shared" si="274"/>
        <v>1.5489113111535342</v>
      </c>
      <c r="AS362" s="58" t="str">
        <f t="shared" si="275"/>
        <v>-1.51816727657973+0.867500345986714i</v>
      </c>
      <c r="AT362" s="49">
        <f t="shared" si="276"/>
        <v>4.853506603635255</v>
      </c>
      <c r="AU362" s="61">
        <f t="shared" si="277"/>
        <v>150.25579616610474</v>
      </c>
      <c r="AV362" s="58" t="str">
        <f t="shared" si="254"/>
        <v>0.0103225853669376-0.00834895027296164i</v>
      </c>
      <c r="AW362" s="64">
        <f t="shared" si="278"/>
        <v>-37.538444125805277</v>
      </c>
      <c r="AX362" s="61">
        <f t="shared" si="279"/>
        <v>-38.966077056471747</v>
      </c>
    </row>
    <row r="363" spans="14:50" x14ac:dyDescent="0.25">
      <c r="N363" s="10">
        <v>45</v>
      </c>
      <c r="O363" s="50">
        <f t="shared" si="244"/>
        <v>28183.829312644593</v>
      </c>
      <c r="P363" s="48" t="str">
        <f t="shared" si="245"/>
        <v>304.285714285714</v>
      </c>
      <c r="Q363" s="17" t="str">
        <f t="shared" si="246"/>
        <v>1+9221.0284293548i</v>
      </c>
      <c r="R363" s="17">
        <f t="shared" si="255"/>
        <v>9221.0284835786842</v>
      </c>
      <c r="S363" s="17">
        <f t="shared" si="256"/>
        <v>1.5706878790220977</v>
      </c>
      <c r="T363" s="17" t="str">
        <f t="shared" si="247"/>
        <v>1+0.191250960016247i</v>
      </c>
      <c r="U363" s="17">
        <f t="shared" si="257"/>
        <v>1.018124221157289</v>
      </c>
      <c r="V363" s="17">
        <f t="shared" si="258"/>
        <v>0.18896904283934179</v>
      </c>
      <c r="W363" s="31" t="str">
        <f t="shared" si="248"/>
        <v>1-0.597659250050773i</v>
      </c>
      <c r="X363" s="17">
        <f t="shared" si="259"/>
        <v>1.1649878021555644</v>
      </c>
      <c r="Y363" s="17">
        <f t="shared" si="260"/>
        <v>-0.53869658307639345</v>
      </c>
      <c r="Z363" s="31" t="str">
        <f t="shared" si="249"/>
        <v>0.950125185871778+5.27222067353949i</v>
      </c>
      <c r="AA363" s="17">
        <f t="shared" si="261"/>
        <v>5.3571493071712188</v>
      </c>
      <c r="AB363" s="17">
        <f t="shared" si="262"/>
        <v>1.3924966249531396</v>
      </c>
      <c r="AC363" s="66" t="str">
        <f t="shared" si="263"/>
        <v>-0.00719922637788018+0.00124557702083284i</v>
      </c>
      <c r="AD363" s="64">
        <f t="shared" si="264"/>
        <v>-42.726188062820576</v>
      </c>
      <c r="AE363" s="61">
        <f t="shared" si="265"/>
        <v>170.1841219685779</v>
      </c>
      <c r="AF363" s="31" t="str">
        <f t="shared" si="250"/>
        <v>-1512.12121212121</v>
      </c>
      <c r="AG363" s="31" t="str">
        <f t="shared" si="266"/>
        <v>177084.222237266i</v>
      </c>
      <c r="AH363" s="31">
        <f t="shared" si="267"/>
        <v>177084.22223726599</v>
      </c>
      <c r="AI363" s="31">
        <f t="shared" si="268"/>
        <v>1.5707963267948966</v>
      </c>
      <c r="AJ363" s="31" t="str">
        <f t="shared" si="251"/>
        <v>-135.325829554764+244.06933973029i</v>
      </c>
      <c r="AK363" s="31">
        <f t="shared" si="269"/>
        <v>279.07512024733552</v>
      </c>
      <c r="AL363" s="31">
        <f t="shared" si="270"/>
        <v>2.077054587770494</v>
      </c>
      <c r="AM363" s="31" t="str">
        <f t="shared" si="252"/>
        <v>1+1215.50610143659i</v>
      </c>
      <c r="AN363" s="31">
        <f t="shared" si="271"/>
        <v>1215.5065127878079</v>
      </c>
      <c r="AO363" s="31">
        <f t="shared" si="272"/>
        <v>1.5699736244051636</v>
      </c>
      <c r="AP363" s="31" t="str">
        <f t="shared" si="253"/>
        <v>1+46.7502346706382i</v>
      </c>
      <c r="AQ363" s="31">
        <f t="shared" si="273"/>
        <v>46.760928581025226</v>
      </c>
      <c r="AR363" s="31">
        <f t="shared" si="274"/>
        <v>1.5494093212666304</v>
      </c>
      <c r="AS363" s="58" t="str">
        <f t="shared" si="275"/>
        <v>-1.50185804903417+0.876876163944028i</v>
      </c>
      <c r="AT363" s="49">
        <f t="shared" si="276"/>
        <v>4.8065206767447997</v>
      </c>
      <c r="AU363" s="61">
        <f t="shared" si="277"/>
        <v>149.72101577454603</v>
      </c>
      <c r="AV363" s="58" t="str">
        <f t="shared" si="254"/>
        <v>0.00971999928251373-0.00818350988403003i</v>
      </c>
      <c r="AW363" s="64">
        <f t="shared" si="278"/>
        <v>-37.919667386075773</v>
      </c>
      <c r="AX363" s="61">
        <f t="shared" si="279"/>
        <v>-40.094862256876063</v>
      </c>
    </row>
    <row r="364" spans="14:50" x14ac:dyDescent="0.25">
      <c r="N364" s="10">
        <v>46</v>
      </c>
      <c r="O364" s="50">
        <f t="shared" si="244"/>
        <v>28840.315031266062</v>
      </c>
      <c r="P364" s="48" t="str">
        <f t="shared" si="245"/>
        <v>304.285714285714</v>
      </c>
      <c r="Q364" s="17" t="str">
        <f t="shared" si="246"/>
        <v>1+9435.81377338033i</v>
      </c>
      <c r="R364" s="17">
        <f t="shared" si="255"/>
        <v>9435.8138263699293</v>
      </c>
      <c r="S364" s="17">
        <f t="shared" si="256"/>
        <v>1.5706903475947689</v>
      </c>
      <c r="T364" s="17" t="str">
        <f t="shared" si="247"/>
        <v>1+0.195705767151591i</v>
      </c>
      <c r="U364" s="17">
        <f t="shared" si="257"/>
        <v>1.0189704349471542</v>
      </c>
      <c r="V364" s="17">
        <f t="shared" si="258"/>
        <v>0.19326310066501701</v>
      </c>
      <c r="W364" s="31" t="str">
        <f t="shared" si="248"/>
        <v>1-0.611580522348724i</v>
      </c>
      <c r="X364" s="17">
        <f t="shared" si="259"/>
        <v>1.1721905712452809</v>
      </c>
      <c r="Y364" s="17">
        <f t="shared" si="260"/>
        <v>-0.54889110464400004</v>
      </c>
      <c r="Z364" s="31" t="str">
        <f t="shared" si="249"/>
        <v>0.947774658297607+5.39502646899065i</v>
      </c>
      <c r="AA364" s="17">
        <f t="shared" si="261"/>
        <v>5.4776443298210653</v>
      </c>
      <c r="AB364" s="17">
        <f t="shared" si="262"/>
        <v>1.3968951847538704</v>
      </c>
      <c r="AC364" s="66" t="str">
        <f t="shared" si="263"/>
        <v>-0.00691616901742907+0.00127011695058741i</v>
      </c>
      <c r="AD364" s="64">
        <f t="shared" si="264"/>
        <v>-43.058636451073852</v>
      </c>
      <c r="AE364" s="61">
        <f t="shared" si="265"/>
        <v>169.59388994768204</v>
      </c>
      <c r="AF364" s="31" t="str">
        <f t="shared" si="250"/>
        <v>-1512.12121212121</v>
      </c>
      <c r="AG364" s="31" t="str">
        <f t="shared" si="266"/>
        <v>181209.043658881i</v>
      </c>
      <c r="AH364" s="31">
        <f t="shared" si="267"/>
        <v>181209.04365888101</v>
      </c>
      <c r="AI364" s="31">
        <f t="shared" si="268"/>
        <v>1.5707963267948966</v>
      </c>
      <c r="AJ364" s="31" t="str">
        <f t="shared" si="251"/>
        <v>-141.750667963513+249.754444976596i</v>
      </c>
      <c r="AK364" s="31">
        <f t="shared" si="269"/>
        <v>287.17683516201242</v>
      </c>
      <c r="AL364" s="31">
        <f t="shared" si="270"/>
        <v>2.0870213801481299</v>
      </c>
      <c r="AM364" s="31" t="str">
        <f t="shared" si="252"/>
        <v>1+1243.81887567456i</v>
      </c>
      <c r="AN364" s="31">
        <f t="shared" si="271"/>
        <v>1243.8192776622843</v>
      </c>
      <c r="AO364" s="31">
        <f t="shared" si="272"/>
        <v>1.5699923513897165</v>
      </c>
      <c r="AP364" s="31" t="str">
        <f t="shared" si="253"/>
        <v>1+47.8391875259446i</v>
      </c>
      <c r="AQ364" s="31">
        <f t="shared" si="273"/>
        <v>47.849638066995801</v>
      </c>
      <c r="AR364" s="31">
        <f t="shared" si="274"/>
        <v>1.5498960055382343</v>
      </c>
      <c r="AS364" s="58" t="str">
        <f t="shared" si="275"/>
        <v>-1.48515186365479+0.886068989567173i</v>
      </c>
      <c r="AT364" s="49">
        <f t="shared" si="276"/>
        <v>4.7578654607520479</v>
      </c>
      <c r="AU364" s="61">
        <f t="shared" si="277"/>
        <v>149.17891856792056</v>
      </c>
      <c r="AV364" s="58" t="str">
        <f t="shared" si="254"/>
        <v>0.00914615006254718-0.00801451944917359i</v>
      </c>
      <c r="AW364" s="64">
        <f t="shared" si="278"/>
        <v>-38.300770990321801</v>
      </c>
      <c r="AX364" s="61">
        <f t="shared" si="279"/>
        <v>-41.227191484397373</v>
      </c>
    </row>
    <row r="365" spans="14:50" x14ac:dyDescent="0.25">
      <c r="N365" s="10">
        <v>47</v>
      </c>
      <c r="O365" s="50">
        <f t="shared" si="244"/>
        <v>29512.092266663854</v>
      </c>
      <c r="P365" s="48" t="str">
        <f t="shared" si="245"/>
        <v>304.285714285714</v>
      </c>
      <c r="Q365" s="17" t="str">
        <f t="shared" si="246"/>
        <v>1+9655.60211076635i</v>
      </c>
      <c r="R365" s="17">
        <f t="shared" si="255"/>
        <v>9655.6021625497578</v>
      </c>
      <c r="S365" s="17">
        <f t="shared" si="256"/>
        <v>1.5706927599758673</v>
      </c>
      <c r="T365" s="17" t="str">
        <f t="shared" si="247"/>
        <v>1+0.200264340075153i</v>
      </c>
      <c r="U365" s="17">
        <f t="shared" si="257"/>
        <v>1.0198557770124834</v>
      </c>
      <c r="V365" s="17">
        <f t="shared" si="258"/>
        <v>0.1976497200734525</v>
      </c>
      <c r="W365" s="31" t="str">
        <f t="shared" si="248"/>
        <v>1-0.625826062734855i</v>
      </c>
      <c r="X365" s="17">
        <f t="shared" si="259"/>
        <v>1.1796856618600613</v>
      </c>
      <c r="Y365" s="17">
        <f t="shared" si="260"/>
        <v>-0.5591931174571021</v>
      </c>
      <c r="Z365" s="31" t="str">
        <f t="shared" si="249"/>
        <v>0.94531335377171+5.52069277888733i</v>
      </c>
      <c r="AA365" s="17">
        <f t="shared" si="261"/>
        <v>5.601041518831817</v>
      </c>
      <c r="AB365" s="17">
        <f t="shared" si="262"/>
        <v>1.4012100590327481</v>
      </c>
      <c r="AC365" s="66" t="str">
        <f t="shared" si="263"/>
        <v>-0.00664501920405166+0.00129074611009525i</v>
      </c>
      <c r="AD365" s="64">
        <f t="shared" si="264"/>
        <v>-43.389230612347582</v>
      </c>
      <c r="AE365" s="61">
        <f t="shared" si="265"/>
        <v>169.00760056687037</v>
      </c>
      <c r="AF365" s="31" t="str">
        <f t="shared" si="250"/>
        <v>-1512.12121212121</v>
      </c>
      <c r="AG365" s="31" t="str">
        <f t="shared" si="266"/>
        <v>185429.944514031i</v>
      </c>
      <c r="AH365" s="31">
        <f t="shared" si="267"/>
        <v>185429.944514031</v>
      </c>
      <c r="AI365" s="31">
        <f t="shared" si="268"/>
        <v>1.5707963267948966</v>
      </c>
      <c r="AJ365" s="31" t="str">
        <f t="shared" si="251"/>
        <v>-148.478299677931+255.57197333552i</v>
      </c>
      <c r="AK365" s="31">
        <f t="shared" si="269"/>
        <v>295.57205387157495</v>
      </c>
      <c r="AL365" s="31">
        <f t="shared" si="270"/>
        <v>2.0971016970468992</v>
      </c>
      <c r="AM365" s="31" t="str">
        <f t="shared" si="252"/>
        <v>1+1272.79113914431i</v>
      </c>
      <c r="AN365" s="31">
        <f t="shared" si="271"/>
        <v>1272.7915319816793</v>
      </c>
      <c r="AO365" s="31">
        <f t="shared" si="272"/>
        <v>1.5700106520966026</v>
      </c>
      <c r="AP365" s="31" t="str">
        <f t="shared" si="253"/>
        <v>1+48.9535053517042i</v>
      </c>
      <c r="AQ365" s="31">
        <f t="shared" si="273"/>
        <v>48.963718059593191</v>
      </c>
      <c r="AR365" s="31">
        <f t="shared" si="274"/>
        <v>1.5503716210920455</v>
      </c>
      <c r="AS365" s="58" t="str">
        <f t="shared" si="275"/>
        <v>-1.46805236926558+0.895060270659647i</v>
      </c>
      <c r="AT365" s="49">
        <f t="shared" si="276"/>
        <v>4.7075006747581307</v>
      </c>
      <c r="AU365" s="61">
        <f t="shared" si="277"/>
        <v>148.62965827063758</v>
      </c>
      <c r="AV365" s="58" t="str">
        <f t="shared" si="254"/>
        <v>0.00859994062366858-0.00784257557236269i</v>
      </c>
      <c r="AW365" s="64">
        <f t="shared" si="278"/>
        <v>-38.681729937589452</v>
      </c>
      <c r="AX365" s="61">
        <f t="shared" si="279"/>
        <v>-42.362741162492021</v>
      </c>
    </row>
    <row r="366" spans="14:50" x14ac:dyDescent="0.25">
      <c r="N366" s="10">
        <v>48</v>
      </c>
      <c r="O366" s="50">
        <f t="shared" si="244"/>
        <v>30199.517204020212</v>
      </c>
      <c r="P366" s="48" t="str">
        <f t="shared" si="245"/>
        <v>304.285714285714</v>
      </c>
      <c r="Q366" s="17" t="str">
        <f t="shared" si="246"/>
        <v>1+9880.50997619847i</v>
      </c>
      <c r="R366" s="17">
        <f t="shared" si="255"/>
        <v>9880.5100268031438</v>
      </c>
      <c r="S366" s="17">
        <f t="shared" si="256"/>
        <v>1.570695117444469</v>
      </c>
      <c r="T366" s="17" t="str">
        <f t="shared" si="247"/>
        <v>1+0.204929095802634i</v>
      </c>
      <c r="U366" s="17">
        <f t="shared" si="257"/>
        <v>1.0207820209557401</v>
      </c>
      <c r="V366" s="17">
        <f t="shared" si="258"/>
        <v>0.20213055131166746</v>
      </c>
      <c r="W366" s="31" t="str">
        <f t="shared" si="248"/>
        <v>1-0.640403424383233i</v>
      </c>
      <c r="X366" s="17">
        <f t="shared" si="259"/>
        <v>1.1874832823925443</v>
      </c>
      <c r="Y366" s="17">
        <f t="shared" si="260"/>
        <v>-0.56959933645529714</v>
      </c>
      <c r="Z366" s="31" t="str">
        <f t="shared" si="249"/>
        <v>0.942736051537198+5.64928623317037i</v>
      </c>
      <c r="AA366" s="17">
        <f t="shared" si="261"/>
        <v>5.7274065865063415</v>
      </c>
      <c r="AB366" s="17">
        <f t="shared" si="262"/>
        <v>1.4054429882875095</v>
      </c>
      <c r="AC366" s="66" t="str">
        <f t="shared" si="263"/>
        <v>-0.00638531076516155+0.00130776208833375i</v>
      </c>
      <c r="AD366" s="64">
        <f t="shared" si="264"/>
        <v>-43.717905958771155</v>
      </c>
      <c r="AE366" s="61">
        <f t="shared" si="265"/>
        <v>168.42543680196846</v>
      </c>
      <c r="AF366" s="31" t="str">
        <f t="shared" si="250"/>
        <v>-1512.12121212121</v>
      </c>
      <c r="AG366" s="31" t="str">
        <f t="shared" si="266"/>
        <v>189749.162780217i</v>
      </c>
      <c r="AH366" s="31">
        <f t="shared" si="267"/>
        <v>189749.16278021701</v>
      </c>
      <c r="AI366" s="31">
        <f t="shared" si="268"/>
        <v>1.5707963267948966</v>
      </c>
      <c r="AJ366" s="31" t="str">
        <f t="shared" si="251"/>
        <v>-155.522994906869+261.525009337601i</v>
      </c>
      <c r="AK366" s="31">
        <f t="shared" si="269"/>
        <v>304.27410743248311</v>
      </c>
      <c r="AL366" s="31">
        <f t="shared" si="270"/>
        <v>2.1072929090239416</v>
      </c>
      <c r="AM366" s="31" t="str">
        <f t="shared" si="252"/>
        <v>1+1302.43825332341i</v>
      </c>
      <c r="AN366" s="31">
        <f t="shared" si="271"/>
        <v>1302.4386372187118</v>
      </c>
      <c r="AO366" s="31">
        <f t="shared" si="272"/>
        <v>1.5700285362290503</v>
      </c>
      <c r="AP366" s="31" t="str">
        <f t="shared" si="253"/>
        <v>1+50.0937789739773i</v>
      </c>
      <c r="AQ366" s="31">
        <f t="shared" si="273"/>
        <v>50.103759259098425</v>
      </c>
      <c r="AR366" s="31">
        <f t="shared" si="274"/>
        <v>1.5508364192445199</v>
      </c>
      <c r="AS366" s="58" t="str">
        <f t="shared" si="275"/>
        <v>-1.45056424334448+0.903831323927479i</v>
      </c>
      <c r="AT366" s="49">
        <f t="shared" si="276"/>
        <v>4.6553864690051974</v>
      </c>
      <c r="AU366" s="61">
        <f t="shared" si="277"/>
        <v>148.07340049400148</v>
      </c>
      <c r="AV366" s="58" t="str">
        <f t="shared" si="254"/>
        <v>0.00808030713890507-0.00766823680670279i</v>
      </c>
      <c r="AW366" s="64">
        <f t="shared" si="278"/>
        <v>-39.062519489765954</v>
      </c>
      <c r="AX366" s="61">
        <f t="shared" si="279"/>
        <v>-43.50116270403003</v>
      </c>
    </row>
    <row r="367" spans="14:50" x14ac:dyDescent="0.25">
      <c r="N367" s="10">
        <v>49</v>
      </c>
      <c r="O367" s="50">
        <f t="shared" si="244"/>
        <v>30902.954325135954</v>
      </c>
      <c r="P367" s="48" t="str">
        <f t="shared" si="245"/>
        <v>304.285714285714</v>
      </c>
      <c r="Q367" s="17" t="str">
        <f t="shared" si="246"/>
        <v>1+10110.656618804i</v>
      </c>
      <c r="R367" s="17">
        <f t="shared" si="255"/>
        <v>10110.65666825677</v>
      </c>
      <c r="S367" s="17">
        <f t="shared" si="256"/>
        <v>1.5706974212505347</v>
      </c>
      <c r="T367" s="17" t="str">
        <f t="shared" si="247"/>
        <v>1+0.209702507649267i</v>
      </c>
      <c r="U367" s="17">
        <f t="shared" si="257"/>
        <v>1.0217510174765627</v>
      </c>
      <c r="V367" s="17">
        <f t="shared" si="258"/>
        <v>0.20670725011091667</v>
      </c>
      <c r="W367" s="31" t="str">
        <f t="shared" si="248"/>
        <v>1-0.65532033640396i</v>
      </c>
      <c r="X367" s="17">
        <f t="shared" si="259"/>
        <v>1.1955938872813792</v>
      </c>
      <c r="Y367" s="17">
        <f t="shared" si="260"/>
        <v>-0.5801062637919826</v>
      </c>
      <c r="Z367" s="31" t="str">
        <f t="shared" si="249"/>
        <v>0.940037284790484+5.78087501379138i</v>
      </c>
      <c r="AA367" s="17">
        <f t="shared" si="261"/>
        <v>5.8568068110424933</v>
      </c>
      <c r="AB367" s="17">
        <f t="shared" si="262"/>
        <v>1.4095957038285911</v>
      </c>
      <c r="AC367" s="66" t="str">
        <f t="shared" si="263"/>
        <v>-0.00613659279454776+0.00132144342570561i</v>
      </c>
      <c r="AD367" s="64">
        <f t="shared" si="264"/>
        <v>-44.044598675627824</v>
      </c>
      <c r="AE367" s="61">
        <f t="shared" si="265"/>
        <v>167.84759466283853</v>
      </c>
      <c r="AF367" s="31" t="str">
        <f t="shared" si="250"/>
        <v>-1512.12121212121</v>
      </c>
      <c r="AG367" s="31" t="str">
        <f t="shared" si="266"/>
        <v>194168.988564136i</v>
      </c>
      <c r="AH367" s="31">
        <f t="shared" si="267"/>
        <v>194168.988564136</v>
      </c>
      <c r="AI367" s="31">
        <f t="shared" si="268"/>
        <v>1.5707963267948966</v>
      </c>
      <c r="AJ367" s="31" t="str">
        <f t="shared" si="251"/>
        <v>-162.899696393408+267.616709361326i</v>
      </c>
      <c r="AK367" s="31">
        <f t="shared" si="269"/>
        <v>313.29700639241503</v>
      </c>
      <c r="AL367" s="31">
        <f t="shared" si="270"/>
        <v>2.1175921718958901</v>
      </c>
      <c r="AM367" s="31" t="str">
        <f t="shared" si="252"/>
        <v>1+1332.77593750423i</v>
      </c>
      <c r="AN367" s="31">
        <f t="shared" si="271"/>
        <v>1332.7763126610103</v>
      </c>
      <c r="AO367" s="31">
        <f t="shared" si="272"/>
        <v>1.570046013269417</v>
      </c>
      <c r="AP367" s="31" t="str">
        <f t="shared" si="253"/>
        <v>1+51.2606129809319i</v>
      </c>
      <c r="AQ367" s="31">
        <f t="shared" si="273"/>
        <v>51.270366130747334</v>
      </c>
      <c r="AR367" s="31">
        <f t="shared" si="274"/>
        <v>1.5512906456340196</v>
      </c>
      <c r="AS367" s="58" t="str">
        <f t="shared" si="275"/>
        <v>-1.43269322231621+0.912363400338147i</v>
      </c>
      <c r="AT367" s="49">
        <f t="shared" si="276"/>
        <v>4.6014835303363375</v>
      </c>
      <c r="AU367" s="61">
        <f t="shared" si="277"/>
        <v>147.51032281505618</v>
      </c>
      <c r="AV367" s="58" t="str">
        <f t="shared" si="254"/>
        <v>0.00758621828763181-0.00749202570820691i</v>
      </c>
      <c r="AW367" s="64">
        <f t="shared" si="278"/>
        <v>-39.443115145291486</v>
      </c>
      <c r="AX367" s="61">
        <f t="shared" si="279"/>
        <v>-44.642082522105277</v>
      </c>
    </row>
    <row r="368" spans="14:50" x14ac:dyDescent="0.25">
      <c r="N368" s="10">
        <v>50</v>
      </c>
      <c r="O368" s="50">
        <f t="shared" si="244"/>
        <v>31622.77660168384</v>
      </c>
      <c r="P368" s="48" t="str">
        <f t="shared" si="245"/>
        <v>304.285714285714</v>
      </c>
      <c r="Q368" s="17" t="str">
        <f t="shared" si="246"/>
        <v>1+10346.1640653791i</v>
      </c>
      <c r="R368" s="17">
        <f t="shared" si="255"/>
        <v>10346.164113706189</v>
      </c>
      <c r="S368" s="17">
        <f t="shared" si="256"/>
        <v>1.5706996726155731</v>
      </c>
      <c r="T368" s="17" t="str">
        <f t="shared" si="247"/>
        <v>1+0.214587106541196i</v>
      </c>
      <c r="U368" s="17">
        <f t="shared" si="257"/>
        <v>1.0227646974224924</v>
      </c>
      <c r="V368" s="17">
        <f t="shared" si="258"/>
        <v>0.21138147582271596</v>
      </c>
      <c r="W368" s="31" t="str">
        <f t="shared" si="248"/>
        <v>1-0.670584707941237i</v>
      </c>
      <c r="X368" s="17">
        <f t="shared" si="259"/>
        <v>1.2040281767984644</v>
      </c>
      <c r="Y368" s="17">
        <f t="shared" si="260"/>
        <v>-0.59071019082979159</v>
      </c>
      <c r="Z368" s="31" t="str">
        <f t="shared" si="249"/>
        <v>0.937211329085471+5.91552889086361i</v>
      </c>
      <c r="AA368" s="17">
        <f t="shared" si="261"/>
        <v>5.9893110734047035</v>
      </c>
      <c r="AB368" s="17">
        <f t="shared" si="262"/>
        <v>1.4136699266431914</v>
      </c>
      <c r="AC368" s="66" t="str">
        <f t="shared" si="263"/>
        <v>-0.00589842941610702+0.0013320507022686i</v>
      </c>
      <c r="AD368" s="64">
        <f t="shared" si="264"/>
        <v>-44.369245802012756</v>
      </c>
      <c r="AE368" s="61">
        <f t="shared" si="265"/>
        <v>167.27428303729766</v>
      </c>
      <c r="AF368" s="31" t="str">
        <f t="shared" si="250"/>
        <v>-1512.12121212121</v>
      </c>
      <c r="AG368" s="31" t="str">
        <f t="shared" si="266"/>
        <v>198691.765315922i</v>
      </c>
      <c r="AH368" s="31">
        <f t="shared" si="267"/>
        <v>198691.76531592201</v>
      </c>
      <c r="AI368" s="31">
        <f t="shared" si="268"/>
        <v>1.5707963267948966</v>
      </c>
      <c r="AJ368" s="31" t="str">
        <f t="shared" si="251"/>
        <v>-170.624051110412+273.85030330668i</v>
      </c>
      <c r="AK368" s="31">
        <f t="shared" si="269"/>
        <v>322.6554748311101</v>
      </c>
      <c r="AL368" s="31">
        <f t="shared" si="270"/>
        <v>2.1279964262859075</v>
      </c>
      <c r="AM368" s="31" t="str">
        <f t="shared" si="252"/>
        <v>1+1363.82027712849i</v>
      </c>
      <c r="AN368" s="31">
        <f t="shared" si="271"/>
        <v>1363.8206437456618</v>
      </c>
      <c r="AO368" s="31">
        <f t="shared" si="272"/>
        <v>1.5700630924842185</v>
      </c>
      <c r="AP368" s="31" t="str">
        <f t="shared" si="253"/>
        <v>1+52.4546260434034i</v>
      </c>
      <c r="AQ368" s="31">
        <f t="shared" si="273"/>
        <v>52.464157225226579</v>
      </c>
      <c r="AR368" s="31">
        <f t="shared" si="274"/>
        <v>1.5517345403472249</v>
      </c>
      <c r="AS368" s="58" t="str">
        <f t="shared" si="275"/>
        <v>-1.41444612726128+0.920637754519524i</v>
      </c>
      <c r="AT368" s="49">
        <f t="shared" si="276"/>
        <v>4.5457531905176909</v>
      </c>
      <c r="AU368" s="61">
        <f t="shared" si="277"/>
        <v>146.94061481006824</v>
      </c>
      <c r="AV368" s="58" t="str">
        <f t="shared" si="254"/>
        <v>0.00711667447709387-0.00731443076997616i</v>
      </c>
      <c r="AW368" s="64">
        <f t="shared" si="278"/>
        <v>-39.82349261149507</v>
      </c>
      <c r="AX368" s="61">
        <f t="shared" si="279"/>
        <v>-45.785102152634046</v>
      </c>
    </row>
    <row r="369" spans="14:50" x14ac:dyDescent="0.25">
      <c r="N369" s="10">
        <v>51</v>
      </c>
      <c r="O369" s="50">
        <f t="shared" si="244"/>
        <v>32359.365692962871</v>
      </c>
      <c r="P369" s="48" t="str">
        <f t="shared" si="245"/>
        <v>304.285714285714</v>
      </c>
      <c r="Q369" s="17" t="str">
        <f t="shared" si="246"/>
        <v>1+10587.1571850894i</v>
      </c>
      <c r="R369" s="17">
        <f t="shared" si="255"/>
        <v>10587.157232316431</v>
      </c>
      <c r="S369" s="17">
        <f t="shared" si="256"/>
        <v>1.5707018727332875</v>
      </c>
      <c r="T369" s="17" t="str">
        <f t="shared" si="247"/>
        <v>1+0.219585482357409i</v>
      </c>
      <c r="U369" s="17">
        <f t="shared" si="257"/>
        <v>1.0238250749332798</v>
      </c>
      <c r="V369" s="17">
        <f t="shared" si="258"/>
        <v>0.21615488940906566</v>
      </c>
      <c r="W369" s="31" t="str">
        <f t="shared" si="248"/>
        <v>1-0.686204632366904i</v>
      </c>
      <c r="X369" s="17">
        <f t="shared" si="259"/>
        <v>1.2127970965836774</v>
      </c>
      <c r="Y369" s="17">
        <f t="shared" si="260"/>
        <v>-0.60140720107381185</v>
      </c>
      <c r="Z369" s="31" t="str">
        <f t="shared" si="249"/>
        <v>0.934252190191223+6.05331925965507i</v>
      </c>
      <c r="AA369" s="17">
        <f t="shared" si="261"/>
        <v>6.1249898950274275</v>
      </c>
      <c r="AB369" s="17">
        <f t="shared" si="262"/>
        <v>1.4176673663671238</v>
      </c>
      <c r="AC369" s="66" t="str">
        <f t="shared" si="263"/>
        <v>-0.00567039952477896+0.00133982757369542i</v>
      </c>
      <c r="AD369" s="64">
        <f t="shared" si="264"/>
        <v>-44.691785312429815</v>
      </c>
      <c r="AE369" s="61">
        <f t="shared" si="265"/>
        <v>166.70572346677667</v>
      </c>
      <c r="AF369" s="31" t="str">
        <f t="shared" si="250"/>
        <v>-1512.12121212121</v>
      </c>
      <c r="AG369" s="31" t="str">
        <f t="shared" si="266"/>
        <v>203319.891071675i</v>
      </c>
      <c r="AH369" s="31">
        <f t="shared" si="267"/>
        <v>203319.891071675</v>
      </c>
      <c r="AI369" s="31">
        <f t="shared" si="268"/>
        <v>1.5707963267948966</v>
      </c>
      <c r="AJ369" s="31" t="str">
        <f t="shared" si="251"/>
        <v>-178.712443449859+280.229096307685i</v>
      </c>
      <c r="AK369" s="31">
        <f t="shared" si="269"/>
        <v>332.36498591343951</v>
      </c>
      <c r="AL369" s="31">
        <f t="shared" si="270"/>
        <v>2.1385023980048983</v>
      </c>
      <c r="AM369" s="31" t="str">
        <f t="shared" si="252"/>
        <v>1+1395.58773231597i</v>
      </c>
      <c r="AN369" s="31">
        <f t="shared" si="271"/>
        <v>1395.5880905879183</v>
      </c>
      <c r="AO369" s="31">
        <f t="shared" si="272"/>
        <v>1.5700797829290405</v>
      </c>
      <c r="AP369" s="31" t="str">
        <f t="shared" si="253"/>
        <v>1+53.6764512429222i</v>
      </c>
      <c r="AQ369" s="31">
        <f t="shared" si="273"/>
        <v>53.685765506638759</v>
      </c>
      <c r="AR369" s="31">
        <f t="shared" si="274"/>
        <v>1.5521683380428586</v>
      </c>
      <c r="AS369" s="58" t="str">
        <f t="shared" si="275"/>
        <v>-1.39583088453508+0.928635717871046i</v>
      </c>
      <c r="AT369" s="49">
        <f t="shared" si="276"/>
        <v>4.4881575369306619</v>
      </c>
      <c r="AU369" s="61">
        <f t="shared" si="277"/>
        <v>146.3644780400551</v>
      </c>
      <c r="AV369" s="58" t="str">
        <f t="shared" si="254"/>
        <v>0.00667070704361745-0.00713590824062452i</v>
      </c>
      <c r="AW369" s="64">
        <f t="shared" si="278"/>
        <v>-40.203627775499143</v>
      </c>
      <c r="AX369" s="61">
        <f t="shared" si="279"/>
        <v>-46.929798493168228</v>
      </c>
    </row>
    <row r="370" spans="14:50" x14ac:dyDescent="0.25">
      <c r="N370" s="10">
        <v>52</v>
      </c>
      <c r="O370" s="50">
        <f t="shared" si="244"/>
        <v>33113.11214825909</v>
      </c>
      <c r="P370" s="48" t="str">
        <f t="shared" si="245"/>
        <v>304.285714285714</v>
      </c>
      <c r="Q370" s="17" t="str">
        <f t="shared" si="246"/>
        <v>1+10833.7637556768i</v>
      </c>
      <c r="R370" s="17">
        <f t="shared" si="255"/>
        <v>10833.763801828813</v>
      </c>
      <c r="S370" s="17">
        <f t="shared" si="256"/>
        <v>1.5707040227702094</v>
      </c>
      <c r="T370" s="17" t="str">
        <f t="shared" si="247"/>
        <v>1+0.224700285302925i</v>
      </c>
      <c r="U370" s="17">
        <f t="shared" si="257"/>
        <v>1.0249342506791428</v>
      </c>
      <c r="V370" s="17">
        <f t="shared" si="258"/>
        <v>0.22102915128030579</v>
      </c>
      <c r="W370" s="31" t="str">
        <f t="shared" si="248"/>
        <v>1-0.702188391571643i</v>
      </c>
      <c r="X370" s="17">
        <f t="shared" si="259"/>
        <v>1.22191183694159</v>
      </c>
      <c r="Y370" s="17">
        <f t="shared" si="260"/>
        <v>-0.61219317406760931</v>
      </c>
      <c r="Z370" s="31" t="str">
        <f t="shared" si="249"/>
        <v>0.931153591377409+6.19431917844315i</v>
      </c>
      <c r="AA370" s="17">
        <f t="shared" si="261"/>
        <v>6.2639154763744758</v>
      </c>
      <c r="AB370" s="17">
        <f t="shared" si="262"/>
        <v>1.4215897203586856</v>
      </c>
      <c r="AC370" s="66" t="str">
        <f t="shared" si="263"/>
        <v>-0.00545209650792017+0.00134500175647224i</v>
      </c>
      <c r="AD370" s="64">
        <f t="shared" si="264"/>
        <v>-45.012156198738083</v>
      </c>
      <c r="AE370" s="61">
        <f t="shared" si="265"/>
        <v>166.14214985223938</v>
      </c>
      <c r="AF370" s="31" t="str">
        <f t="shared" si="250"/>
        <v>-1512.12121212121</v>
      </c>
      <c r="AG370" s="31" t="str">
        <f t="shared" si="266"/>
        <v>208055.819724931i</v>
      </c>
      <c r="AH370" s="31">
        <f t="shared" si="267"/>
        <v>208055.819724931</v>
      </c>
      <c r="AI370" s="31">
        <f t="shared" si="268"/>
        <v>1.5707963267948966</v>
      </c>
      <c r="AJ370" s="31" t="str">
        <f t="shared" si="251"/>
        <v>-187.182029976329+286.756470484822i</v>
      </c>
      <c r="AK370" s="31">
        <f t="shared" si="269"/>
        <v>342.44179901257957</v>
      </c>
      <c r="AL370" s="31">
        <f t="shared" si="270"/>
        <v>2.1491065993079208</v>
      </c>
      <c r="AM370" s="31" t="str">
        <f t="shared" si="252"/>
        <v>1+1428.09514659192i</v>
      </c>
      <c r="AN370" s="31">
        <f t="shared" si="271"/>
        <v>1428.0954967086052</v>
      </c>
      <c r="AO370" s="31">
        <f t="shared" si="272"/>
        <v>1.5700960934533408</v>
      </c>
      <c r="AP370" s="31" t="str">
        <f t="shared" si="253"/>
        <v>1+54.9267364073818i</v>
      </c>
      <c r="AQ370" s="31">
        <f t="shared" si="273"/>
        <v>54.935838688109627</v>
      </c>
      <c r="AR370" s="31">
        <f t="shared" si="274"/>
        <v>1.5525922680727677</v>
      </c>
      <c r="AS370" s="58" t="str">
        <f t="shared" si="275"/>
        <v>-1.37685654081269+0.936338774994499i</v>
      </c>
      <c r="AT370" s="49">
        <f t="shared" si="276"/>
        <v>4.4286595250950773</v>
      </c>
      <c r="AU370" s="61">
        <f t="shared" si="277"/>
        <v>145.78212598601152</v>
      </c>
      <c r="AV370" s="58" t="str">
        <f t="shared" si="254"/>
        <v>0.00624737744105125-0.00695688383118112i</v>
      </c>
      <c r="AW370" s="64">
        <f t="shared" si="278"/>
        <v>-40.583496673643005</v>
      </c>
      <c r="AX370" s="61">
        <f t="shared" si="279"/>
        <v>-48.075724161749058</v>
      </c>
    </row>
    <row r="371" spans="14:50" x14ac:dyDescent="0.25">
      <c r="N371" s="10">
        <v>53</v>
      </c>
      <c r="O371" s="50">
        <f t="shared" si="244"/>
        <v>33884.41561392029</v>
      </c>
      <c r="P371" s="48" t="str">
        <f t="shared" si="245"/>
        <v>304.285714285714</v>
      </c>
      <c r="Q371" s="17" t="str">
        <f t="shared" si="246"/>
        <v>1+11086.1145312093i</v>
      </c>
      <c r="R371" s="17">
        <f t="shared" si="255"/>
        <v>11086.114576310763</v>
      </c>
      <c r="S371" s="17">
        <f t="shared" si="256"/>
        <v>1.5707061238663167</v>
      </c>
      <c r="T371" s="17" t="str">
        <f t="shared" si="247"/>
        <v>1+0.229934227313971i</v>
      </c>
      <c r="U371" s="17">
        <f t="shared" si="257"/>
        <v>1.0260944151931015</v>
      </c>
      <c r="V371" s="17">
        <f t="shared" si="258"/>
        <v>0.22600591897407468</v>
      </c>
      <c r="W371" s="31" t="str">
        <f t="shared" si="248"/>
        <v>1-0.71854446035616i</v>
      </c>
      <c r="X371" s="17">
        <f t="shared" si="259"/>
        <v>1.2313838319177839</v>
      </c>
      <c r="Y371" s="17">
        <f t="shared" si="260"/>
        <v>-0.62306379027015024</v>
      </c>
      <c r="Z371" s="31" t="str">
        <f t="shared" si="249"/>
        <v>0.927908960100506+6.33860340725119i</v>
      </c>
      <c r="AA371" s="17">
        <f t="shared" si="261"/>
        <v>6.4061617363793744</v>
      </c>
      <c r="AB371" s="17">
        <f t="shared" si="262"/>
        <v>1.4254386728689814</v>
      </c>
      <c r="AC371" s="66" t="str">
        <f t="shared" si="263"/>
        <v>-0.00524312795009431+0.00134778596392061i</v>
      </c>
      <c r="AD371" s="64">
        <f t="shared" si="264"/>
        <v>-45.330298551828491</v>
      </c>
      <c r="AE371" s="61">
        <f t="shared" si="265"/>
        <v>165.58380808927171</v>
      </c>
      <c r="AF371" s="31" t="str">
        <f t="shared" si="250"/>
        <v>-1512.12121212121</v>
      </c>
      <c r="AG371" s="31" t="str">
        <f t="shared" si="266"/>
        <v>212902.062327751i</v>
      </c>
      <c r="AH371" s="31">
        <f t="shared" si="267"/>
        <v>212902.06232775099</v>
      </c>
      <c r="AI371" s="31">
        <f t="shared" si="268"/>
        <v>1.5707963267948966</v>
      </c>
      <c r="AJ371" s="31" t="str">
        <f t="shared" si="251"/>
        <v>-196.050775818387+293.435886738282i</v>
      </c>
      <c r="AK371" s="31">
        <f t="shared" si="269"/>
        <v>352.90299846398773</v>
      </c>
      <c r="AL371" s="31">
        <f t="shared" si="270"/>
        <v>2.1598053310619312</v>
      </c>
      <c r="AM371" s="31" t="str">
        <f t="shared" si="252"/>
        <v>1+1461.35975581768i</v>
      </c>
      <c r="AN371" s="31">
        <f t="shared" si="271"/>
        <v>1461.3600979647383</v>
      </c>
      <c r="AO371" s="31">
        <f t="shared" si="272"/>
        <v>1.5701120327051403</v>
      </c>
      <c r="AP371" s="31" t="str">
        <f t="shared" si="253"/>
        <v>1+56.2061444545262i</v>
      </c>
      <c r="AQ371" s="31">
        <f t="shared" si="273"/>
        <v>56.215039575215691</v>
      </c>
      <c r="AR371" s="31">
        <f t="shared" si="274"/>
        <v>1.5530065546004181</v>
      </c>
      <c r="AS371" s="58" t="str">
        <f t="shared" si="275"/>
        <v>-1.35753327210367+0.943728642986976i</v>
      </c>
      <c r="AT371" s="49">
        <f t="shared" si="276"/>
        <v>4.3672230924298017</v>
      </c>
      <c r="AU371" s="61">
        <f t="shared" si="277"/>
        <v>145.19378393176416</v>
      </c>
      <c r="AV371" s="58" t="str">
        <f t="shared" si="254"/>
        <v>0.00584577642338205-0.00677775431504613i</v>
      </c>
      <c r="AW371" s="64">
        <f t="shared" si="278"/>
        <v>-40.963075459398688</v>
      </c>
      <c r="AX371" s="61">
        <f t="shared" si="279"/>
        <v>-49.222407978964128</v>
      </c>
    </row>
    <row r="372" spans="14:50" x14ac:dyDescent="0.25">
      <c r="N372" s="10">
        <v>54</v>
      </c>
      <c r="O372" s="50">
        <f t="shared" si="244"/>
        <v>34673.685045253202</v>
      </c>
      <c r="P372" s="48" t="str">
        <f t="shared" si="245"/>
        <v>304.285714285714</v>
      </c>
      <c r="Q372" s="17" t="str">
        <f t="shared" si="246"/>
        <v>1+11344.3433114083i</v>
      </c>
      <c r="R372" s="17">
        <f t="shared" si="255"/>
        <v>11344.34335548313</v>
      </c>
      <c r="S372" s="17">
        <f t="shared" si="256"/>
        <v>1.5707081771356384</v>
      </c>
      <c r="T372" s="17" t="str">
        <f t="shared" si="247"/>
        <v>1+0.235290083495876i</v>
      </c>
      <c r="U372" s="17">
        <f t="shared" si="257"/>
        <v>1.0273078522972052</v>
      </c>
      <c r="V372" s="17">
        <f t="shared" si="258"/>
        <v>0.23108684466887924</v>
      </c>
      <c r="W372" s="31" t="str">
        <f t="shared" si="248"/>
        <v>1-0.735281510924612i</v>
      </c>
      <c r="X372" s="17">
        <f t="shared" si="259"/>
        <v>1.2412247581754001</v>
      </c>
      <c r="Y372" s="17">
        <f t="shared" si="260"/>
        <v>-0.63401453692404419</v>
      </c>
      <c r="Z372" s="31" t="str">
        <f t="shared" si="249"/>
        <v>0.924511414062565+6.48624844748703i</v>
      </c>
      <c r="AA372" s="17">
        <f t="shared" si="261"/>
        <v>6.5518043527916694</v>
      </c>
      <c r="AB372" s="17">
        <f t="shared" si="262"/>
        <v>1.4292158943032856</v>
      </c>
      <c r="AC372" s="66" t="str">
        <f t="shared" si="263"/>
        <v>-0.00504311532401268+0.00134837879468473i</v>
      </c>
      <c r="AD372" s="64">
        <f t="shared" si="264"/>
        <v>-45.646153642382608</v>
      </c>
      <c r="AE372" s="61">
        <f t="shared" si="265"/>
        <v>165.03095563168011</v>
      </c>
      <c r="AF372" s="31" t="str">
        <f t="shared" si="250"/>
        <v>-1512.12121212121</v>
      </c>
      <c r="AG372" s="31" t="str">
        <f t="shared" si="266"/>
        <v>217861.188422107i</v>
      </c>
      <c r="AH372" s="31">
        <f t="shared" si="267"/>
        <v>217861.18842210699</v>
      </c>
      <c r="AI372" s="31">
        <f t="shared" si="268"/>
        <v>1.5707963267948966</v>
      </c>
      <c r="AJ372" s="31" t="str">
        <f t="shared" si="251"/>
        <v>-205.337492775009+300.270886582973i</v>
      </c>
      <c r="AK372" s="31">
        <f t="shared" si="269"/>
        <v>363.76653401385278</v>
      </c>
      <c r="AL372" s="31">
        <f t="shared" si="270"/>
        <v>2.1705946858551872</v>
      </c>
      <c r="AM372" s="31" t="str">
        <f t="shared" si="252"/>
        <v>1+1495.39919732934i</v>
      </c>
      <c r="AN372" s="31">
        <f t="shared" si="271"/>
        <v>1495.3995316881822</v>
      </c>
      <c r="AO372" s="31">
        <f t="shared" si="272"/>
        <v>1.5701276091356089</v>
      </c>
      <c r="AP372" s="31" t="str">
        <f t="shared" si="253"/>
        <v>1+57.5153537434362i</v>
      </c>
      <c r="AQ372" s="31">
        <f t="shared" si="273"/>
        <v>57.524046417412265</v>
      </c>
      <c r="AR372" s="31">
        <f t="shared" si="274"/>
        <v>1.5534114167168407</v>
      </c>
      <c r="AS372" s="58" t="str">
        <f t="shared" si="275"/>
        <v>-1.33787238632138+0.95078735307647i</v>
      </c>
      <c r="AT372" s="49">
        <f t="shared" si="276"/>
        <v>4.3038132726211629</v>
      </c>
      <c r="AU372" s="61">
        <f t="shared" si="277"/>
        <v>144.59968879272296</v>
      </c>
      <c r="AV372" s="58" t="str">
        <f t="shared" si="254"/>
        <v>0.00546502322788803-0.00659888902588741i</v>
      </c>
      <c r="AW372" s="64">
        <f t="shared" si="278"/>
        <v>-41.342340369761445</v>
      </c>
      <c r="AX372" s="61">
        <f t="shared" si="279"/>
        <v>-50.369355575596941</v>
      </c>
    </row>
    <row r="373" spans="14:50" x14ac:dyDescent="0.25">
      <c r="N373" s="10">
        <v>55</v>
      </c>
      <c r="O373" s="50">
        <f t="shared" si="244"/>
        <v>35481.33892335758</v>
      </c>
      <c r="P373" s="48" t="str">
        <f t="shared" si="245"/>
        <v>304.285714285714</v>
      </c>
      <c r="Q373" s="17" t="str">
        <f t="shared" si="246"/>
        <v>1+11608.5870125912i</v>
      </c>
      <c r="R373" s="17">
        <f t="shared" si="255"/>
        <v>11608.587055662763</v>
      </c>
      <c r="S373" s="17">
        <f t="shared" si="256"/>
        <v>1.5707101836668449</v>
      </c>
      <c r="T373" s="17" t="str">
        <f t="shared" si="247"/>
        <v>1+0.240770693594484i</v>
      </c>
      <c r="U373" s="17">
        <f t="shared" si="257"/>
        <v>1.0285769426221691</v>
      </c>
      <c r="V373" s="17">
        <f t="shared" si="258"/>
        <v>0.2362735725259521</v>
      </c>
      <c r="W373" s="31" t="str">
        <f t="shared" si="248"/>
        <v>1-0.752408417482763i</v>
      </c>
      <c r="X373" s="17">
        <f t="shared" si="259"/>
        <v>1.2514465336956733</v>
      </c>
      <c r="Y373" s="17">
        <f t="shared" si="260"/>
        <v>-0.64504071491749082</v>
      </c>
      <c r="Z373" s="31" t="str">
        <f t="shared" si="249"/>
        <v>0.920953746612917+6.63733258250542i</v>
      </c>
      <c r="AA373" s="17">
        <f t="shared" si="261"/>
        <v>6.7009208034559284</v>
      </c>
      <c r="AB373" s="17">
        <f t="shared" si="262"/>
        <v>1.4329230405682756</v>
      </c>
      <c r="AC373" s="66" t="str">
        <f t="shared" si="263"/>
        <v>-0.00485169367012609+0.00134696557536637i</v>
      </c>
      <c r="AD373" s="64">
        <f t="shared" si="264"/>
        <v>-45.959664000048875</v>
      </c>
      <c r="AE373" s="61">
        <f t="shared" si="265"/>
        <v>164.48386098339762</v>
      </c>
      <c r="AF373" s="31" t="str">
        <f t="shared" si="250"/>
        <v>-1512.12121212121</v>
      </c>
      <c r="AG373" s="31" t="str">
        <f t="shared" si="266"/>
        <v>222935.8274023i</v>
      </c>
      <c r="AH373" s="31">
        <f t="shared" si="267"/>
        <v>222935.8274023</v>
      </c>
      <c r="AI373" s="31">
        <f t="shared" si="268"/>
        <v>1.5707963267948966</v>
      </c>
      <c r="AJ373" s="31" t="str">
        <f t="shared" si="251"/>
        <v>-215.06187921796+307.265094026285i</v>
      </c>
      <c r="AK373" s="31">
        <f t="shared" si="269"/>
        <v>375.05126302912532</v>
      </c>
      <c r="AL373" s="31">
        <f t="shared" si="270"/>
        <v>2.181470552072442</v>
      </c>
      <c r="AM373" s="31" t="str">
        <f t="shared" si="252"/>
        <v>1+1530.23151928938i</v>
      </c>
      <c r="AN373" s="31">
        <f t="shared" si="271"/>
        <v>1530.2318460372874</v>
      </c>
      <c r="AO373" s="31">
        <f t="shared" si="272"/>
        <v>1.5701428310035459</v>
      </c>
      <c r="AP373" s="31" t="str">
        <f t="shared" si="253"/>
        <v>1+58.8550584342072i</v>
      </c>
      <c r="AQ373" s="31">
        <f t="shared" si="273"/>
        <v>58.863553267654041</v>
      </c>
      <c r="AR373" s="31">
        <f t="shared" si="274"/>
        <v>1.5538070685540859</v>
      </c>
      <c r="AS373" s="58" t="str">
        <f t="shared" si="275"/>
        <v>-1.31788631903773+0.957497334021044i</v>
      </c>
      <c r="AT373" s="49">
        <f t="shared" si="276"/>
        <v>4.2383963099234743</v>
      </c>
      <c r="AU373" s="61">
        <f t="shared" si="277"/>
        <v>144.00008888914519</v>
      </c>
      <c r="AV373" s="58" t="str">
        <f t="shared" si="254"/>
        <v>0.00510426476458971-0.00642063125862263i</v>
      </c>
      <c r="AW373" s="64">
        <f t="shared" si="278"/>
        <v>-41.721267690125394</v>
      </c>
      <c r="AX373" s="61">
        <f t="shared" si="279"/>
        <v>-51.516050127457156</v>
      </c>
    </row>
    <row r="374" spans="14:50" x14ac:dyDescent="0.25">
      <c r="N374" s="10">
        <v>56</v>
      </c>
      <c r="O374" s="50">
        <f t="shared" si="244"/>
        <v>36307.805477010232</v>
      </c>
      <c r="P374" s="48" t="str">
        <f t="shared" si="245"/>
        <v>304.285714285714</v>
      </c>
      <c r="Q374" s="17" t="str">
        <f t="shared" si="246"/>
        <v>1+11878.985740266i</v>
      </c>
      <c r="R374" s="17">
        <f t="shared" si="255"/>
        <v>11878.985782357136</v>
      </c>
      <c r="S374" s="17">
        <f t="shared" si="256"/>
        <v>1.5707121445238255</v>
      </c>
      <c r="T374" s="17" t="str">
        <f t="shared" si="247"/>
        <v>1+0.246378963501812i</v>
      </c>
      <c r="U374" s="17">
        <f t="shared" si="257"/>
        <v>1.0299041672195657</v>
      </c>
      <c r="V374" s="17">
        <f t="shared" si="258"/>
        <v>0.24156773585314889</v>
      </c>
      <c r="W374" s="31" t="str">
        <f t="shared" si="248"/>
        <v>1-0.769934260943163i</v>
      </c>
      <c r="X374" s="17">
        <f t="shared" si="259"/>
        <v>1.2620613163290024</v>
      </c>
      <c r="Y374" s="17">
        <f t="shared" si="260"/>
        <v>-0.6561374466335459</v>
      </c>
      <c r="Z374" s="31" t="str">
        <f t="shared" si="249"/>
        <v>0.91722841146192+6.79193591911451i</v>
      </c>
      <c r="AA374" s="17">
        <f t="shared" si="261"/>
        <v>6.8535904085487056</v>
      </c>
      <c r="AB374" s="17">
        <f t="shared" si="262"/>
        <v>1.4365617525000938</v>
      </c>
      <c r="AC374" s="66" t="str">
        <f t="shared" si="263"/>
        <v>-0.00466851126715157+0.00134371915901455i</v>
      </c>
      <c r="AD374" s="64">
        <f t="shared" si="264"/>
        <v>-46.270773490358685</v>
      </c>
      <c r="AE374" s="61">
        <f t="shared" si="265"/>
        <v>163.94280311899379</v>
      </c>
      <c r="AF374" s="31" t="str">
        <f t="shared" si="250"/>
        <v>-1512.12121212121</v>
      </c>
      <c r="AG374" s="31" t="str">
        <f t="shared" si="266"/>
        <v>228128.669909085i</v>
      </c>
      <c r="AH374" s="31">
        <f t="shared" si="267"/>
        <v>228128.669909085</v>
      </c>
      <c r="AI374" s="31">
        <f t="shared" si="268"/>
        <v>1.5707963267948966</v>
      </c>
      <c r="AJ374" s="31" t="str">
        <f t="shared" si="251"/>
        <v>-225.244561874651+314.422217489585i</v>
      </c>
      <c r="AK374" s="31">
        <f t="shared" si="269"/>
        <v>386.77699453971064</v>
      </c>
      <c r="AL374" s="31">
        <f t="shared" si="270"/>
        <v>2.1924286189525932</v>
      </c>
      <c r="AM374" s="31" t="str">
        <f t="shared" si="252"/>
        <v>1+1565.87519025596i</v>
      </c>
      <c r="AN374" s="31">
        <f t="shared" si="271"/>
        <v>1565.8755095661784</v>
      </c>
      <c r="AO374" s="31">
        <f t="shared" si="272"/>
        <v>1.5701577063797592</v>
      </c>
      <c r="AP374" s="31" t="str">
        <f t="shared" si="253"/>
        <v>1+60.2259688559984i</v>
      </c>
      <c r="AQ374" s="31">
        <f t="shared" si="273"/>
        <v>60.234270350388485</v>
      </c>
      <c r="AR374" s="31">
        <f t="shared" si="274"/>
        <v>1.5541937193962265</v>
      </c>
      <c r="AS374" s="58" t="str">
        <f t="shared" si="275"/>
        <v>-1.29758862211179+0.963841496637048i</v>
      </c>
      <c r="AT374" s="49">
        <f t="shared" si="276"/>
        <v>4.170939772684557</v>
      </c>
      <c r="AU374" s="61">
        <f t="shared" si="277"/>
        <v>143.39524366296598</v>
      </c>
      <c r="AV374" s="58" t="str">
        <f t="shared" si="254"/>
        <v>0.00476267481717211-0.00624329957884919i</v>
      </c>
      <c r="AW374" s="64">
        <f t="shared" si="278"/>
        <v>-42.099833717674137</v>
      </c>
      <c r="AX374" s="61">
        <f t="shared" si="279"/>
        <v>-52.661953218040189</v>
      </c>
    </row>
    <row r="375" spans="14:50" x14ac:dyDescent="0.25">
      <c r="N375" s="10">
        <v>57</v>
      </c>
      <c r="O375" s="50">
        <f t="shared" si="244"/>
        <v>37153.522909717351</v>
      </c>
      <c r="P375" s="48" t="str">
        <f t="shared" si="245"/>
        <v>304.285714285714</v>
      </c>
      <c r="Q375" s="17" t="str">
        <f t="shared" si="246"/>
        <v>1+12155.6828634172i</v>
      </c>
      <c r="R375" s="17">
        <f t="shared" si="255"/>
        <v>12155.682904550224</v>
      </c>
      <c r="S375" s="17">
        <f t="shared" si="256"/>
        <v>1.5707140607462524</v>
      </c>
      <c r="T375" s="17" t="str">
        <f t="shared" si="247"/>
        <v>1+0.2521178667968i</v>
      </c>
      <c r="U375" s="17">
        <f t="shared" si="257"/>
        <v>1.0312921112653626</v>
      </c>
      <c r="V375" s="17">
        <f t="shared" si="258"/>
        <v>0.24697095408496902</v>
      </c>
      <c r="W375" s="31" t="str">
        <f t="shared" si="248"/>
        <v>1-0.78786833374i</v>
      </c>
      <c r="X375" s="17">
        <f t="shared" si="259"/>
        <v>1.2730815022260924</v>
      </c>
      <c r="Y375" s="17">
        <f t="shared" si="260"/>
        <v>-0.66729968477155777</v>
      </c>
      <c r="Z375" s="31" t="str">
        <f t="shared" si="249"/>
        <v>0.913327506674254+6.95014043004982i</v>
      </c>
      <c r="AA375" s="17">
        <f t="shared" si="261"/>
        <v>7.0098943738019983</v>
      </c>
      <c r="AB375" s="17">
        <f t="shared" si="262"/>
        <v>1.4401336553684789</v>
      </c>
      <c r="AC375" s="66" t="str">
        <f t="shared" si="263"/>
        <v>-0.00449322929560924+0.00133880068118978i</v>
      </c>
      <c r="AD375" s="64">
        <f t="shared" si="264"/>
        <v>-46.57942738870539</v>
      </c>
      <c r="AE375" s="61">
        <f t="shared" si="265"/>
        <v>163.40807083359036</v>
      </c>
      <c r="AF375" s="31" t="str">
        <f t="shared" si="250"/>
        <v>-1512.12121212121</v>
      </c>
      <c r="AG375" s="31" t="str">
        <f t="shared" si="266"/>
        <v>233442.469256296i</v>
      </c>
      <c r="AH375" s="31">
        <f t="shared" si="267"/>
        <v>233442.469256296</v>
      </c>
      <c r="AI375" s="31">
        <f t="shared" si="268"/>
        <v>1.5707963267948966</v>
      </c>
      <c r="AJ375" s="31" t="str">
        <f t="shared" si="251"/>
        <v>-235.907139580215+321.746051774468i</v>
      </c>
      <c r="AK375" s="31">
        <f t="shared" si="269"/>
        <v>398.96453518749968</v>
      </c>
      <c r="AL375" s="31">
        <f t="shared" si="270"/>
        <v>2.2034643826382414</v>
      </c>
      <c r="AM375" s="31" t="str">
        <f t="shared" si="252"/>
        <v>1+1602.34910897521i</v>
      </c>
      <c r="AN375" s="31">
        <f t="shared" si="271"/>
        <v>1602.3494210170418</v>
      </c>
      <c r="AO375" s="31">
        <f t="shared" si="272"/>
        <v>1.5701722431513436</v>
      </c>
      <c r="AP375" s="31" t="str">
        <f t="shared" si="253"/>
        <v>1+61.6288118836621i</v>
      </c>
      <c r="AQ375" s="31">
        <f t="shared" si="273"/>
        <v>61.636924438130514</v>
      </c>
      <c r="AR375" s="31">
        <f t="shared" si="274"/>
        <v>1.5545715737879608</v>
      </c>
      <c r="AS375" s="58" t="str">
        <f t="shared" si="275"/>
        <v>-1.27699394494467+0.969803318773507i</v>
      </c>
      <c r="AT375" s="49">
        <f t="shared" si="276"/>
        <v>4.1014126653592626</v>
      </c>
      <c r="AU375" s="61">
        <f t="shared" si="277"/>
        <v>142.78542333765091</v>
      </c>
      <c r="AV375" s="58" t="str">
        <f t="shared" si="254"/>
        <v>0.00443945325994692-0.00606718904625934i</v>
      </c>
      <c r="AW375" s="64">
        <f t="shared" si="278"/>
        <v>-42.478014723346121</v>
      </c>
      <c r="AX375" s="61">
        <f t="shared" si="279"/>
        <v>-53.806505828758802</v>
      </c>
    </row>
    <row r="376" spans="14:50" x14ac:dyDescent="0.25">
      <c r="N376" s="10">
        <v>58</v>
      </c>
      <c r="O376" s="50">
        <f t="shared" si="244"/>
        <v>38018.939632056143</v>
      </c>
      <c r="P376" s="48" t="str">
        <f t="shared" si="245"/>
        <v>304.285714285714</v>
      </c>
      <c r="Q376" s="17" t="str">
        <f t="shared" si="246"/>
        <v>1+12438.825090522i</v>
      </c>
      <c r="R376" s="17">
        <f t="shared" si="255"/>
        <v>12438.825130718722</v>
      </c>
      <c r="S376" s="17">
        <f t="shared" si="256"/>
        <v>1.5707159333501324</v>
      </c>
      <c r="T376" s="17" t="str">
        <f t="shared" si="247"/>
        <v>1+0.257990446321938i</v>
      </c>
      <c r="U376" s="17">
        <f t="shared" si="257"/>
        <v>1.0327434678531706</v>
      </c>
      <c r="V376" s="17">
        <f t="shared" si="258"/>
        <v>0.25248482957300383</v>
      </c>
      <c r="W376" s="31" t="str">
        <f t="shared" si="248"/>
        <v>1-0.806220144756056i</v>
      </c>
      <c r="X376" s="17">
        <f t="shared" si="259"/>
        <v>1.2845197241811726</v>
      </c>
      <c r="Y376" s="17">
        <f t="shared" si="260"/>
        <v>-0.67852222211624791</v>
      </c>
      <c r="Z376" s="31" t="str">
        <f t="shared" si="249"/>
        <v>0.909242757907861+7.11202999743713i</v>
      </c>
      <c r="AA376" s="17">
        <f t="shared" si="261"/>
        <v>7.169915834739867</v>
      </c>
      <c r="AB376" s="17">
        <f t="shared" si="262"/>
        <v>1.4436403584523363</v>
      </c>
      <c r="AC376" s="66" t="str">
        <f t="shared" si="263"/>
        <v>-0.00432552149625216+0.00133236027532242i</v>
      </c>
      <c r="AD376" s="64">
        <f t="shared" si="264"/>
        <v>-46.885572450715209</v>
      </c>
      <c r="AE376" s="61">
        <f t="shared" si="265"/>
        <v>162.87996202352718</v>
      </c>
      <c r="AF376" s="31" t="str">
        <f t="shared" si="250"/>
        <v>-1512.12121212121</v>
      </c>
      <c r="AG376" s="31" t="str">
        <f t="shared" si="266"/>
        <v>238880.042890683i</v>
      </c>
      <c r="AH376" s="31">
        <f t="shared" si="267"/>
        <v>238880.04289068299</v>
      </c>
      <c r="AI376" s="31">
        <f t="shared" si="268"/>
        <v>1.5707963267948966</v>
      </c>
      <c r="AJ376" s="31" t="str">
        <f t="shared" si="251"/>
        <v>-247.072229091521+329.240480074813i</v>
      </c>
      <c r="AK376" s="31">
        <f t="shared" si="269"/>
        <v>411.63573716108078</v>
      </c>
      <c r="AL376" s="31">
        <f t="shared" si="270"/>
        <v>2.2145731532179225</v>
      </c>
      <c r="AM376" s="31" t="str">
        <f t="shared" si="252"/>
        <v>1+1639.67261440164i</v>
      </c>
      <c r="AN376" s="31">
        <f t="shared" si="271"/>
        <v>1639.672919340534</v>
      </c>
      <c r="AO376" s="31">
        <f t="shared" si="272"/>
        <v>1.5701864490258632</v>
      </c>
      <c r="AP376" s="31" t="str">
        <f t="shared" si="253"/>
        <v>1+63.0643313231403i</v>
      </c>
      <c r="AQ376" s="31">
        <f t="shared" si="273"/>
        <v>63.072259236805643</v>
      </c>
      <c r="AR376" s="31">
        <f t="shared" si="274"/>
        <v>1.5549408316408593</v>
      </c>
      <c r="AS376" s="58" t="str">
        <f t="shared" si="275"/>
        <v>-1.25611800818661+0.975366930007201i</v>
      </c>
      <c r="AT376" s="49">
        <f t="shared" si="276"/>
        <v>4.0297855382546501</v>
      </c>
      <c r="AU376" s="61">
        <f t="shared" si="277"/>
        <v>142.17090852103348</v>
      </c>
      <c r="AV376" s="58" t="str">
        <f t="shared" si="254"/>
        <v>0.00413382529483585-0.00589257235770458i</v>
      </c>
      <c r="AW376" s="64">
        <f t="shared" si="278"/>
        <v>-42.855786912460559</v>
      </c>
      <c r="AX376" s="61">
        <f t="shared" si="279"/>
        <v>-54.949129455439333</v>
      </c>
    </row>
    <row r="377" spans="14:50" x14ac:dyDescent="0.25">
      <c r="N377" s="10">
        <v>59</v>
      </c>
      <c r="O377" s="50">
        <f t="shared" si="244"/>
        <v>38904.514499428085</v>
      </c>
      <c r="P377" s="48" t="str">
        <f t="shared" si="245"/>
        <v>304.285714285714</v>
      </c>
      <c r="Q377" s="17" t="str">
        <f t="shared" si="246"/>
        <v>1+12728.5625473372i</v>
      </c>
      <c r="R377" s="17">
        <f t="shared" si="255"/>
        <v>12728.562586618933</v>
      </c>
      <c r="S377" s="17">
        <f t="shared" si="256"/>
        <v>1.5707177633283447</v>
      </c>
      <c r="T377" s="17" t="str">
        <f t="shared" si="247"/>
        <v>1+0.263999815796623i</v>
      </c>
      <c r="U377" s="17">
        <f t="shared" si="257"/>
        <v>1.0342610418751403</v>
      </c>
      <c r="V377" s="17">
        <f t="shared" si="258"/>
        <v>0.25811094418154068</v>
      </c>
      <c r="W377" s="31" t="str">
        <f t="shared" si="248"/>
        <v>1-0.824999424364448i</v>
      </c>
      <c r="X377" s="17">
        <f t="shared" si="259"/>
        <v>1.2963888499218399</v>
      </c>
      <c r="Y377" s="17">
        <f t="shared" si="260"/>
        <v>-0.68979970222072451</v>
      </c>
      <c r="Z377" s="31" t="str">
        <f t="shared" si="249"/>
        <v>0.904965500862954+7.27769045726792i</v>
      </c>
      <c r="AA377" s="17">
        <f t="shared" si="261"/>
        <v>7.3337399019573013</v>
      </c>
      <c r="AB377" s="17">
        <f t="shared" si="262"/>
        <v>1.4470834546823637</v>
      </c>
      <c r="AC377" s="66" t="str">
        <f t="shared" si="263"/>
        <v>-0.00416507382509013+0.00132453774907611i</v>
      </c>
      <c r="AD377" s="64">
        <f t="shared" si="264"/>
        <v>-47.189156978356557</v>
      </c>
      <c r="AE377" s="61">
        <f t="shared" si="265"/>
        <v>162.35878289965774</v>
      </c>
      <c r="AF377" s="31" t="str">
        <f t="shared" si="250"/>
        <v>-1512.12121212121</v>
      </c>
      <c r="AG377" s="31" t="str">
        <f t="shared" si="266"/>
        <v>244444.273885762i</v>
      </c>
      <c r="AH377" s="31">
        <f t="shared" si="267"/>
        <v>244444.273885762</v>
      </c>
      <c r="AI377" s="31">
        <f t="shared" si="268"/>
        <v>1.5707963267948966</v>
      </c>
      <c r="AJ377" s="31" t="str">
        <f t="shared" si="251"/>
        <v>-258.763513060355+336.909476035707i</v>
      </c>
      <c r="AK377" s="31">
        <f t="shared" si="269"/>
        <v>424.81354819966742</v>
      </c>
      <c r="AL377" s="31">
        <f t="shared" si="270"/>
        <v>2.2257500627534368</v>
      </c>
      <c r="AM377" s="31" t="str">
        <f t="shared" si="252"/>
        <v>1+1677.86549595187i</v>
      </c>
      <c r="AN377" s="31">
        <f t="shared" si="271"/>
        <v>1677.8657939495085</v>
      </c>
      <c r="AO377" s="31">
        <f t="shared" si="272"/>
        <v>1.570200331535438</v>
      </c>
      <c r="AP377" s="31" t="str">
        <f t="shared" si="253"/>
        <v>1+64.5332883058411i</v>
      </c>
      <c r="AQ377" s="31">
        <f t="shared" si="273"/>
        <v>64.541035780074111</v>
      </c>
      <c r="AR377" s="31">
        <f t="shared" si="274"/>
        <v>1.5553016883373014</v>
      </c>
      <c r="AS377" s="58" t="str">
        <f t="shared" si="275"/>
        <v>-1.2349775698008+0.980517195299619i</v>
      </c>
      <c r="AT377" s="49">
        <f t="shared" si="276"/>
        <v>3.956030594233066</v>
      </c>
      <c r="AU377" s="61">
        <f t="shared" si="277"/>
        <v>141.5519897515718</v>
      </c>
      <c r="AV377" s="58" t="str">
        <f t="shared" si="254"/>
        <v>0.00384504071175815-0.00571970091565667i</v>
      </c>
      <c r="AW377" s="64">
        <f t="shared" si="278"/>
        <v>-43.233126384123494</v>
      </c>
      <c r="AX377" s="61">
        <f t="shared" si="279"/>
        <v>-56.089227348770507</v>
      </c>
    </row>
    <row r="378" spans="14:50" x14ac:dyDescent="0.25">
      <c r="N378" s="10">
        <v>60</v>
      </c>
      <c r="O378" s="50">
        <f t="shared" si="244"/>
        <v>39810.717055349742</v>
      </c>
      <c r="P378" s="48" t="str">
        <f t="shared" si="245"/>
        <v>304.285714285714</v>
      </c>
      <c r="Q378" s="17" t="str">
        <f t="shared" si="246"/>
        <v>1+13025.0488564974i</v>
      </c>
      <c r="R378" s="17">
        <f t="shared" si="255"/>
        <v>13025.048894884972</v>
      </c>
      <c r="S378" s="17">
        <f t="shared" si="256"/>
        <v>1.5707195516511676</v>
      </c>
      <c r="T378" s="17" t="str">
        <f t="shared" si="247"/>
        <v>1+0.270149161468094i</v>
      </c>
      <c r="U378" s="17">
        <f t="shared" si="257"/>
        <v>1.0358477539879662</v>
      </c>
      <c r="V378" s="17">
        <f t="shared" si="258"/>
        <v>0.26385085568348754</v>
      </c>
      <c r="W378" s="31" t="str">
        <f t="shared" si="248"/>
        <v>1-0.844216129587793i</v>
      </c>
      <c r="X378" s="17">
        <f t="shared" si="259"/>
        <v>1.3087019803821622</v>
      </c>
      <c r="Y378" s="17">
        <f t="shared" si="260"/>
        <v>-0.70112663096036953</v>
      </c>
      <c r="Z378" s="31" t="str">
        <f t="shared" si="249"/>
        <v>0.900486662903881+7.44720964491077i</v>
      </c>
      <c r="AA378" s="17">
        <f t="shared" si="261"/>
        <v>7.5014537074702901</v>
      </c>
      <c r="AB378" s="17">
        <f t="shared" si="262"/>
        <v>1.4504645203465281</v>
      </c>
      <c r="AC378" s="66" t="str">
        <f t="shared" si="263"/>
        <v>-0.00401158410653899+0.00131546322340845i</v>
      </c>
      <c r="AD378" s="64">
        <f t="shared" si="264"/>
        <v>-47.490130881161662</v>
      </c>
      <c r="AE378" s="61">
        <f t="shared" si="265"/>
        <v>161.84484713570743</v>
      </c>
      <c r="AF378" s="31" t="str">
        <f t="shared" si="250"/>
        <v>-1512.12121212121</v>
      </c>
      <c r="AG378" s="31" t="str">
        <f t="shared" si="266"/>
        <v>250138.112470457i</v>
      </c>
      <c r="AH378" s="31">
        <f t="shared" si="267"/>
        <v>250138.11247045701</v>
      </c>
      <c r="AI378" s="31">
        <f t="shared" si="268"/>
        <v>1.5707963267948966</v>
      </c>
      <c r="AJ378" s="31" t="str">
        <f t="shared" si="251"/>
        <v>-271.00579026749+344.75710586032i</v>
      </c>
      <c r="AK378" s="31">
        <f t="shared" si="269"/>
        <v>438.52206375471081</v>
      </c>
      <c r="AL378" s="31">
        <f t="shared" si="270"/>
        <v>2.2369900742755053</v>
      </c>
      <c r="AM378" s="31" t="str">
        <f t="shared" si="252"/>
        <v>1+1716.94800399721i</v>
      </c>
      <c r="AN378" s="31">
        <f t="shared" si="271"/>
        <v>1716.9482952115952</v>
      </c>
      <c r="AO378" s="31">
        <f t="shared" si="272"/>
        <v>1.5702138980407365</v>
      </c>
      <c r="AP378" s="31" t="str">
        <f t="shared" si="253"/>
        <v>1+66.0364616922006i</v>
      </c>
      <c r="AQ378" s="31">
        <f t="shared" si="273"/>
        <v>66.044032832841751</v>
      </c>
      <c r="AR378" s="31">
        <f t="shared" si="274"/>
        <v>1.5556543348321494</v>
      </c>
      <c r="AS378" s="58" t="str">
        <f t="shared" si="275"/>
        <v>-1.21359038347486+0.985239796833219i</v>
      </c>
      <c r="AT378" s="49">
        <f t="shared" si="276"/>
        <v>3.8801217915989898</v>
      </c>
      <c r="AU378" s="61">
        <f t="shared" si="277"/>
        <v>140.92896698899014</v>
      </c>
      <c r="AV378" s="58" t="str">
        <f t="shared" si="254"/>
        <v>0.00357237317522379-0.00554880582784918i</v>
      </c>
      <c r="AW378" s="64">
        <f t="shared" si="278"/>
        <v>-43.610009089562681</v>
      </c>
      <c r="AX378" s="61">
        <f t="shared" si="279"/>
        <v>-57.226185875302455</v>
      </c>
    </row>
    <row r="379" spans="14:50" x14ac:dyDescent="0.25">
      <c r="N379" s="10">
        <v>61</v>
      </c>
      <c r="O379" s="50">
        <f t="shared" si="244"/>
        <v>40738.027780411358</v>
      </c>
      <c r="P379" s="48" t="str">
        <f t="shared" si="245"/>
        <v>304.285714285714</v>
      </c>
      <c r="Q379" s="17" t="str">
        <f t="shared" si="246"/>
        <v>1+13328.4412189682i</v>
      </c>
      <c r="R379" s="17">
        <f t="shared" si="255"/>
        <v>13328.441256481965</v>
      </c>
      <c r="S379" s="17">
        <f t="shared" si="256"/>
        <v>1.5707212992667938</v>
      </c>
      <c r="T379" s="17" t="str">
        <f t="shared" si="247"/>
        <v>1+0.276441743800822i</v>
      </c>
      <c r="U379" s="17">
        <f t="shared" si="257"/>
        <v>1.037506644660958</v>
      </c>
      <c r="V379" s="17">
        <f t="shared" si="258"/>
        <v>0.26970609395234019</v>
      </c>
      <c r="W379" s="31" t="str">
        <f t="shared" si="248"/>
        <v>1-0.863880449377571i</v>
      </c>
      <c r="X379" s="17">
        <f t="shared" si="259"/>
        <v>1.3214724479976092</v>
      </c>
      <c r="Y379" s="17">
        <f t="shared" si="260"/>
        <v>-0.71249738890547731</v>
      </c>
      <c r="Z379" s="31" t="str">
        <f t="shared" si="249"/>
        <v>0.895796743814841+7.62067744168284i</v>
      </c>
      <c r="AA379" s="17">
        <f t="shared" si="261"/>
        <v>7.673146452166999</v>
      </c>
      <c r="AB379" s="17">
        <f t="shared" si="262"/>
        <v>1.4537851148543965</v>
      </c>
      <c r="AC379" s="66" t="str">
        <f t="shared" si="263"/>
        <v>-0.00386476168606876+0.00130525773599647i</v>
      </c>
      <c r="AD379" s="64">
        <f t="shared" si="264"/>
        <v>-47.788445731972018</v>
      </c>
      <c r="AE379" s="61">
        <f t="shared" si="265"/>
        <v>161.33847495466193</v>
      </c>
      <c r="AF379" s="31" t="str">
        <f t="shared" si="250"/>
        <v>-1512.12121212121</v>
      </c>
      <c r="AG379" s="31" t="str">
        <f t="shared" si="266"/>
        <v>255964.577593354i</v>
      </c>
      <c r="AH379" s="31">
        <f t="shared" si="267"/>
        <v>255964.57759335401</v>
      </c>
      <c r="AI379" s="31">
        <f t="shared" si="268"/>
        <v>1.5707963267948966</v>
      </c>
      <c r="AJ379" s="31" t="str">
        <f t="shared" si="251"/>
        <v>-283.825028224235+352.78753046586i</v>
      </c>
      <c r="AK379" s="31">
        <f t="shared" si="269"/>
        <v>452.78658140307988</v>
      </c>
      <c r="AL379" s="31">
        <f t="shared" si="270"/>
        <v>2.2482879917218836</v>
      </c>
      <c r="AM379" s="31" t="str">
        <f t="shared" si="252"/>
        <v>1+1756.94086060078i</v>
      </c>
      <c r="AN379" s="31">
        <f t="shared" si="271"/>
        <v>1756.9411451863177</v>
      </c>
      <c r="AO379" s="31">
        <f t="shared" si="272"/>
        <v>1.5702271557348799</v>
      </c>
      <c r="AP379" s="31" t="str">
        <f t="shared" si="253"/>
        <v>1+67.5746484846454i</v>
      </c>
      <c r="AQ379" s="31">
        <f t="shared" si="273"/>
        <v>67.582047304172335</v>
      </c>
      <c r="AR379" s="31">
        <f t="shared" si="274"/>
        <v>1.5559989577522018</v>
      </c>
      <c r="AS379" s="58" t="str">
        <f t="shared" si="275"/>
        <v>-1.19197514946001+0.989521313230932i</v>
      </c>
      <c r="AT379" s="49">
        <f t="shared" si="276"/>
        <v>3.8020349423944033</v>
      </c>
      <c r="AU379" s="61">
        <f t="shared" si="277"/>
        <v>140.3021490507883</v>
      </c>
      <c r="AV379" s="58" t="str">
        <f t="shared" si="254"/>
        <v>0.00331511953935107-0.00538009884387158i</v>
      </c>
      <c r="AW379" s="64">
        <f t="shared" si="278"/>
        <v>-43.986410789577619</v>
      </c>
      <c r="AX379" s="61">
        <f t="shared" si="279"/>
        <v>-58.359375994549787</v>
      </c>
    </row>
    <row r="380" spans="14:50" x14ac:dyDescent="0.25">
      <c r="N380" s="10">
        <v>62</v>
      </c>
      <c r="O380" s="50">
        <f t="shared" si="244"/>
        <v>41686.938347033625</v>
      </c>
      <c r="P380" s="48" t="str">
        <f t="shared" si="245"/>
        <v>304.285714285714</v>
      </c>
      <c r="Q380" s="17" t="str">
        <f t="shared" si="246"/>
        <v>1+13638.9004973962i</v>
      </c>
      <c r="R380" s="17">
        <f t="shared" si="255"/>
        <v>13638.900534056045</v>
      </c>
      <c r="S380" s="17">
        <f t="shared" si="256"/>
        <v>1.5707230071018321</v>
      </c>
      <c r="T380" s="17" t="str">
        <f t="shared" si="247"/>
        <v>1+0.282880899205254i</v>
      </c>
      <c r="U380" s="17">
        <f t="shared" si="257"/>
        <v>1.0392408783026066</v>
      </c>
      <c r="V380" s="17">
        <f t="shared" si="258"/>
        <v>0.27567815694656722</v>
      </c>
      <c r="W380" s="31" t="str">
        <f t="shared" si="248"/>
        <v>1-0.884002810016419i</v>
      </c>
      <c r="X380" s="17">
        <f t="shared" si="259"/>
        <v>1.3347138150618374</v>
      </c>
      <c r="Y380" s="17">
        <f t="shared" si="260"/>
        <v>-0.72390624445166407</v>
      </c>
      <c r="Z380" s="31" t="str">
        <f t="shared" si="249"/>
        <v>0.890885795648658+7.79818582250609i</v>
      </c>
      <c r="AA380" s="17">
        <f t="shared" si="261"/>
        <v>7.8489094543906885</v>
      </c>
      <c r="AB380" s="17">
        <f t="shared" si="262"/>
        <v>1.4570467805565046</v>
      </c>
      <c r="AC380" s="66" t="str">
        <f t="shared" si="263"/>
        <v>-0.00372432708357811+0.00129403381066233i</v>
      </c>
      <c r="AD380" s="64">
        <f t="shared" si="264"/>
        <v>-48.084054816665059</v>
      </c>
      <c r="AE380" s="61">
        <f t="shared" si="265"/>
        <v>160.83999215669314</v>
      </c>
      <c r="AF380" s="31" t="str">
        <f t="shared" si="250"/>
        <v>-1512.12121212121</v>
      </c>
      <c r="AG380" s="31" t="str">
        <f t="shared" si="266"/>
        <v>261926.758523383i</v>
      </c>
      <c r="AH380" s="31">
        <f t="shared" si="267"/>
        <v>261926.758523383</v>
      </c>
      <c r="AI380" s="31">
        <f t="shared" si="268"/>
        <v>1.5707963267948966</v>
      </c>
      <c r="AJ380" s="31" t="str">
        <f t="shared" si="251"/>
        <v>-297.248418253+361.005007689748i</v>
      </c>
      <c r="AK380" s="31">
        <f t="shared" si="269"/>
        <v>467.63365761136731</v>
      </c>
      <c r="AL380" s="31">
        <f t="shared" si="270"/>
        <v>2.2596384707826078</v>
      </c>
      <c r="AM380" s="31" t="str">
        <f t="shared" si="252"/>
        <v>1+1797.8652705045i</v>
      </c>
      <c r="AN380" s="31">
        <f t="shared" si="271"/>
        <v>1797.8655486120808</v>
      </c>
      <c r="AO380" s="31">
        <f t="shared" si="272"/>
        <v>1.5702401116472542</v>
      </c>
      <c r="AP380" s="31" t="str">
        <f t="shared" si="253"/>
        <v>1+69.1486642501731i</v>
      </c>
      <c r="AQ380" s="31">
        <f t="shared" si="273"/>
        <v>69.155894669819489</v>
      </c>
      <c r="AR380" s="31">
        <f t="shared" si="274"/>
        <v>1.5563357394934711</v>
      </c>
      <c r="AS380" s="58" t="str">
        <f t="shared" si="275"/>
        <v>-1.17015145801179+0.993349295361116i</v>
      </c>
      <c r="AT380" s="49">
        <f t="shared" si="276"/>
        <v>3.7217478053434054</v>
      </c>
      <c r="AU380" s="61">
        <f t="shared" si="277"/>
        <v>139.67185299664794</v>
      </c>
      <c r="AV380" s="58" t="str">
        <f t="shared" si="254"/>
        <v>0.00307259919296684-0.00521377323442971i</v>
      </c>
      <c r="AW380" s="64">
        <f t="shared" si="278"/>
        <v>-44.362307011321668</v>
      </c>
      <c r="AX380" s="61">
        <f t="shared" si="279"/>
        <v>-59.488154846658851</v>
      </c>
    </row>
    <row r="381" spans="14:50" x14ac:dyDescent="0.25">
      <c r="N381" s="10">
        <v>63</v>
      </c>
      <c r="O381" s="50">
        <f t="shared" si="244"/>
        <v>42657.951880159271</v>
      </c>
      <c r="P381" s="48" t="str">
        <f t="shared" si="245"/>
        <v>304.285714285714</v>
      </c>
      <c r="Q381" s="17" t="str">
        <f t="shared" si="246"/>
        <v>1+13956.5913014i</v>
      </c>
      <c r="R381" s="17">
        <f t="shared" si="255"/>
        <v>13956.591337225367</v>
      </c>
      <c r="S381" s="17">
        <f t="shared" si="256"/>
        <v>1.570724676061799</v>
      </c>
      <c r="T381" s="17" t="str">
        <f t="shared" si="247"/>
        <v>1+0.289470041806814i</v>
      </c>
      <c r="U381" s="17">
        <f t="shared" si="257"/>
        <v>1.0410537474615029</v>
      </c>
      <c r="V381" s="17">
        <f t="shared" si="258"/>
        <v>0.2817685064835263</v>
      </c>
      <c r="W381" s="31" t="str">
        <f t="shared" si="248"/>
        <v>1-0.904593880646296i</v>
      </c>
      <c r="X381" s="17">
        <f t="shared" si="259"/>
        <v>1.3484398721866411</v>
      </c>
      <c r="Y381" s="17">
        <f t="shared" si="260"/>
        <v>-0.73534736763882114</v>
      </c>
      <c r="Z381" s="31" t="str">
        <f t="shared" si="249"/>
        <v>0.885743401625851+7.97982890467361i</v>
      </c>
      <c r="AA381" s="17">
        <f t="shared" si="261"/>
        <v>8.0288361996859905</v>
      </c>
      <c r="AB381" s="17">
        <f t="shared" si="262"/>
        <v>1.4602510426151538</v>
      </c>
      <c r="AC381" s="66" t="str">
        <f t="shared" si="263"/>
        <v>-0.00359001164858641+0.00128189599439871i</v>
      </c>
      <c r="AD381" s="64">
        <f t="shared" si="264"/>
        <v>-48.376913177376323</v>
      </c>
      <c r="AE381" s="61">
        <f t="shared" si="265"/>
        <v>160.34972909263038</v>
      </c>
      <c r="AF381" s="31" t="str">
        <f t="shared" si="250"/>
        <v>-1512.12121212121</v>
      </c>
      <c r="AG381" s="31" t="str">
        <f t="shared" si="266"/>
        <v>268027.816487791i</v>
      </c>
      <c r="AH381" s="31">
        <f t="shared" si="267"/>
        <v>268027.81648779102</v>
      </c>
      <c r="AI381" s="31">
        <f t="shared" si="268"/>
        <v>1.5707963267948966</v>
      </c>
      <c r="AJ381" s="31" t="str">
        <f t="shared" si="251"/>
        <v>-311.304433163741+369.413894547178i</v>
      </c>
      <c r="AK381" s="31">
        <f t="shared" si="269"/>
        <v>483.09116695703682</v>
      </c>
      <c r="AL381" s="31">
        <f t="shared" si="270"/>
        <v>2.2710360306079478</v>
      </c>
      <c r="AM381" s="31" t="str">
        <f t="shared" si="252"/>
        <v>1+1839.74293237219i</v>
      </c>
      <c r="AN381" s="31">
        <f t="shared" si="271"/>
        <v>1839.7432041492702</v>
      </c>
      <c r="AO381" s="31">
        <f t="shared" si="272"/>
        <v>1.5702527726472382</v>
      </c>
      <c r="AP381" s="31" t="str">
        <f t="shared" si="253"/>
        <v>1+70.7593435527768i</v>
      </c>
      <c r="AQ381" s="31">
        <f t="shared" si="273"/>
        <v>70.766409404603081</v>
      </c>
      <c r="AR381" s="31">
        <f t="shared" si="274"/>
        <v>1.5566648583163321</v>
      </c>
      <c r="AS381" s="58" t="str">
        <f t="shared" si="275"/>
        <v>-1.14813972570029+0.996712337940711i</v>
      </c>
      <c r="AT381" s="49">
        <f t="shared" si="276"/>
        <v>3.6392401727075803</v>
      </c>
      <c r="AU381" s="61">
        <f t="shared" si="277"/>
        <v>139.03840346327982</v>
      </c>
      <c r="AV381" s="58" t="str">
        <f t="shared" si="254"/>
        <v>0.00284415343589488-0.00505000461888218i</v>
      </c>
      <c r="AW381" s="64">
        <f t="shared" si="278"/>
        <v>-44.737673004668743</v>
      </c>
      <c r="AX381" s="61">
        <f t="shared" si="279"/>
        <v>-60.611867444089739</v>
      </c>
    </row>
    <row r="382" spans="14:50" x14ac:dyDescent="0.25">
      <c r="N382" s="10">
        <v>64</v>
      </c>
      <c r="O382" s="50">
        <f t="shared" si="244"/>
        <v>43651.583224016598</v>
      </c>
      <c r="P382" s="48" t="str">
        <f t="shared" si="245"/>
        <v>304.285714285714</v>
      </c>
      <c r="Q382" s="17" t="str">
        <f t="shared" si="246"/>
        <v>1+14281.6820748491i</v>
      </c>
      <c r="R382" s="17">
        <f t="shared" si="255"/>
        <v>14281.682109858981</v>
      </c>
      <c r="S382" s="17">
        <f t="shared" si="256"/>
        <v>1.5707263070315995</v>
      </c>
      <c r="T382" s="17" t="str">
        <f t="shared" si="247"/>
        <v>1+0.296212665256129i</v>
      </c>
      <c r="U382" s="17">
        <f t="shared" si="257"/>
        <v>1.0429486770968834</v>
      </c>
      <c r="V382" s="17">
        <f t="shared" si="258"/>
        <v>0.28797856380093573</v>
      </c>
      <c r="W382" s="31" t="str">
        <f t="shared" si="248"/>
        <v>1-0.925664578925405i</v>
      </c>
      <c r="X382" s="17">
        <f t="shared" si="259"/>
        <v>1.3626646369070958</v>
      </c>
      <c r="Y382" s="17">
        <f t="shared" si="260"/>
        <v>-0.74681484458159286</v>
      </c>
      <c r="Z382" s="31" t="str">
        <f t="shared" si="249"/>
        <v>0.880358654039243+8.16570299775189i</v>
      </c>
      <c r="AA382" s="17">
        <f t="shared" si="261"/>
        <v>8.2130223917408127</v>
      </c>
      <c r="AB382" s="17">
        <f t="shared" si="262"/>
        <v>1.4633994089232012</v>
      </c>
      <c r="AC382" s="66" t="str">
        <f t="shared" si="263"/>
        <v>-0.00346155721820838+0.00126894136355212i</v>
      </c>
      <c r="AD382" s="64">
        <f t="shared" si="264"/>
        <v>-48.666977648798081</v>
      </c>
      <c r="AE382" s="61">
        <f t="shared" si="265"/>
        <v>159.86801958746952</v>
      </c>
      <c r="AF382" s="31" t="str">
        <f t="shared" si="250"/>
        <v>-1512.12121212121</v>
      </c>
      <c r="AG382" s="31" t="str">
        <f t="shared" si="266"/>
        <v>274270.986348268i</v>
      </c>
      <c r="AH382" s="31">
        <f t="shared" si="267"/>
        <v>274270.98634826799</v>
      </c>
      <c r="AI382" s="31">
        <f t="shared" si="268"/>
        <v>1.5707963267948966</v>
      </c>
      <c r="AJ382" s="31" t="str">
        <f t="shared" si="251"/>
        <v>-326.022887648606+378.018649541268i</v>
      </c>
      <c r="AK382" s="31">
        <f t="shared" si="269"/>
        <v>499.18836391861095</v>
      </c>
      <c r="AL382" s="31">
        <f t="shared" si="270"/>
        <v>2.2824750663254316</v>
      </c>
      <c r="AM382" s="31" t="str">
        <f t="shared" si="252"/>
        <v>1+1882.59605029451i</v>
      </c>
      <c r="AN382" s="31">
        <f t="shared" si="271"/>
        <v>1882.5963158851896</v>
      </c>
      <c r="AO382" s="31">
        <f t="shared" si="272"/>
        <v>1.5702651454478453</v>
      </c>
      <c r="AP382" s="31" t="str">
        <f t="shared" si="253"/>
        <v>1+72.4075403959427i</v>
      </c>
      <c r="AQ382" s="31">
        <f t="shared" si="273"/>
        <v>72.414445424860318</v>
      </c>
      <c r="AR382" s="31">
        <f t="shared" si="274"/>
        <v>1.5569864884385778</v>
      </c>
      <c r="AS382" s="58" t="str">
        <f t="shared" si="275"/>
        <v>-1.12596112495284+0.999600146172013i</v>
      </c>
      <c r="AT382" s="49">
        <f t="shared" si="276"/>
        <v>3.5544939503473461</v>
      </c>
      <c r="AU382" s="61">
        <f t="shared" si="277"/>
        <v>138.40213195279298</v>
      </c>
      <c r="AV382" s="58" t="str">
        <f t="shared" si="254"/>
        <v>0.00262914488701212-0.00488895174650822i</v>
      </c>
      <c r="AW382" s="64">
        <f t="shared" si="278"/>
        <v>-45.112483698450731</v>
      </c>
      <c r="AX382" s="61">
        <f t="shared" si="279"/>
        <v>-61.729848459737489</v>
      </c>
    </row>
    <row r="383" spans="14:50" x14ac:dyDescent="0.25">
      <c r="N383" s="10">
        <v>65</v>
      </c>
      <c r="O383" s="50">
        <f t="shared" si="244"/>
        <v>44668.359215096389</v>
      </c>
      <c r="P383" s="48" t="str">
        <f t="shared" si="245"/>
        <v>304.285714285714</v>
      </c>
      <c r="Q383" s="17" t="str">
        <f t="shared" si="246"/>
        <v>1+14614.3451851748i</v>
      </c>
      <c r="R383" s="17">
        <f t="shared" si="255"/>
        <v>14614.345219387758</v>
      </c>
      <c r="S383" s="17">
        <f t="shared" si="256"/>
        <v>1.5707279008759951</v>
      </c>
      <c r="T383" s="17" t="str">
        <f t="shared" si="247"/>
        <v>1+0.303112344581403i</v>
      </c>
      <c r="U383" s="17">
        <f t="shared" si="257"/>
        <v>1.0449292289134395</v>
      </c>
      <c r="V383" s="17">
        <f t="shared" si="258"/>
        <v>0.29430970490485187</v>
      </c>
      <c r="W383" s="31" t="str">
        <f t="shared" si="248"/>
        <v>1-0.947226076816886i</v>
      </c>
      <c r="X383" s="17">
        <f t="shared" si="259"/>
        <v>1.3774023524743628</v>
      </c>
      <c r="Y383" s="17">
        <f t="shared" si="260"/>
        <v>-0.75830269242741299</v>
      </c>
      <c r="Z383" s="31" t="str">
        <f t="shared" si="249"/>
        <v>0.874720131117256+8.35590665464549i</v>
      </c>
      <c r="AA383" s="17">
        <f t="shared" si="261"/>
        <v>8.4015660045571607</v>
      </c>
      <c r="AB383" s="17">
        <f t="shared" si="262"/>
        <v>1.4664933700675868</v>
      </c>
      <c r="AC383" s="66" t="str">
        <f t="shared" si="263"/>
        <v>-0.00333871577876232+0.00125526000067846i</v>
      </c>
      <c r="AD383" s="64">
        <f t="shared" si="264"/>
        <v>-48.954206887205501</v>
      </c>
      <c r="AE383" s="61">
        <f t="shared" si="265"/>
        <v>159.39519981886383</v>
      </c>
      <c r="AF383" s="31" t="str">
        <f t="shared" si="250"/>
        <v>-1512.12121212121</v>
      </c>
      <c r="AG383" s="31" t="str">
        <f t="shared" si="266"/>
        <v>280659.578316114i</v>
      </c>
      <c r="AH383" s="31">
        <f t="shared" si="267"/>
        <v>280659.57831611403</v>
      </c>
      <c r="AI383" s="31">
        <f t="shared" si="268"/>
        <v>1.5707963267948966</v>
      </c>
      <c r="AJ383" s="31" t="str">
        <f t="shared" si="251"/>
        <v>-341.4350015229+386.823835027015i</v>
      </c>
      <c r="AK383" s="31">
        <f t="shared" si="269"/>
        <v>515.95594735398686</v>
      </c>
      <c r="AL383" s="31">
        <f t="shared" si="270"/>
        <v>2.2939498623036738</v>
      </c>
      <c r="AM383" s="31" t="str">
        <f t="shared" si="252"/>
        <v>1+1926.4473455618i</v>
      </c>
      <c r="AN383" s="31">
        <f t="shared" si="271"/>
        <v>1926.4476051068984</v>
      </c>
      <c r="AO383" s="31">
        <f t="shared" si="272"/>
        <v>1.5702772366092834</v>
      </c>
      <c r="AP383" s="31" t="str">
        <f t="shared" si="253"/>
        <v>1+74.0941286754541i</v>
      </c>
      <c r="AQ383" s="31">
        <f t="shared" si="273"/>
        <v>74.100876541203945</v>
      </c>
      <c r="AR383" s="31">
        <f t="shared" si="274"/>
        <v>1.557300800126433</v>
      </c>
      <c r="AS383" s="58" t="str">
        <f t="shared" si="275"/>
        <v>-1.10363750728379+1.00200359668401i</v>
      </c>
      <c r="AT383" s="49">
        <f t="shared" si="276"/>
        <v>3.4674932303233708</v>
      </c>
      <c r="AU383" s="61">
        <f t="shared" si="277"/>
        <v>137.76337607815157</v>
      </c>
      <c r="AV383" s="58" t="str">
        <f t="shared" si="254"/>
        <v>0.00242695692414892-0.00473075723676732i</v>
      </c>
      <c r="AW383" s="64">
        <f t="shared" si="278"/>
        <v>-45.486713656882138</v>
      </c>
      <c r="AX383" s="61">
        <f t="shared" si="279"/>
        <v>-62.841424102984533</v>
      </c>
    </row>
    <row r="384" spans="14:50" x14ac:dyDescent="0.25">
      <c r="N384" s="10">
        <v>66</v>
      </c>
      <c r="O384" s="50">
        <f t="shared" ref="O384:O418" si="280">10^(4+(N384/100))</f>
        <v>45708.818961487581</v>
      </c>
      <c r="P384" s="48" t="str">
        <f t="shared" si="245"/>
        <v>304.285714285714</v>
      </c>
      <c r="Q384" s="17" t="str">
        <f t="shared" si="246"/>
        <v>1+14954.7570147613i</v>
      </c>
      <c r="R384" s="17">
        <f t="shared" si="255"/>
        <v>14954.757048195475</v>
      </c>
      <c r="S384" s="17">
        <f t="shared" si="256"/>
        <v>1.5707294584400633</v>
      </c>
      <c r="T384" s="17" t="str">
        <f t="shared" si="247"/>
        <v>1+0.310172738083938i</v>
      </c>
      <c r="U384" s="17">
        <f t="shared" si="257"/>
        <v>1.0469991057543875</v>
      </c>
      <c r="V384" s="17">
        <f t="shared" si="258"/>
        <v>0.30076325570427309</v>
      </c>
      <c r="W384" s="31" t="str">
        <f t="shared" si="248"/>
        <v>1-0.969289806512307i</v>
      </c>
      <c r="X384" s="17">
        <f t="shared" si="259"/>
        <v>1.3926674868785678</v>
      </c>
      <c r="Y384" s="17">
        <f t="shared" si="260"/>
        <v>-0.76980487475199255</v>
      </c>
      <c r="Z384" s="31" t="str">
        <f t="shared" si="249"/>
        <v>0.868815872796806+8.55054072385082i</v>
      </c>
      <c r="AA384" s="17">
        <f t="shared" si="261"/>
        <v>8.5945673358846282</v>
      </c>
      <c r="AB384" s="17">
        <f t="shared" si="262"/>
        <v>1.4695343993345236</v>
      </c>
      <c r="AC384" s="66" t="str">
        <f t="shared" si="263"/>
        <v>-0.00322124913175408+0.00124093544353815i</v>
      </c>
      <c r="AD384" s="64">
        <f t="shared" si="264"/>
        <v>-49.238561391946753</v>
      </c>
      <c r="AE384" s="61">
        <f t="shared" si="265"/>
        <v>158.931607155937</v>
      </c>
      <c r="AF384" s="31" t="str">
        <f t="shared" si="250"/>
        <v>-1512.12121212121</v>
      </c>
      <c r="AG384" s="31" t="str">
        <f t="shared" si="266"/>
        <v>287196.97970735i</v>
      </c>
      <c r="AH384" s="31">
        <f t="shared" si="267"/>
        <v>287196.97970735002</v>
      </c>
      <c r="AI384" s="31">
        <f t="shared" si="268"/>
        <v>1.5707963267948966</v>
      </c>
      <c r="AJ384" s="31" t="str">
        <f t="shared" si="251"/>
        <v>-357.573465946479+395.834119630311i</v>
      </c>
      <c r="AK384" s="31">
        <f t="shared" si="269"/>
        <v>533.42612779323167</v>
      </c>
      <c r="AL384" s="31">
        <f t="shared" si="270"/>
        <v>2.3054546060924115</v>
      </c>
      <c r="AM384" s="31" t="str">
        <f t="shared" si="252"/>
        <v>1+1971.32006871125i</v>
      </c>
      <c r="AN384" s="31">
        <f t="shared" si="271"/>
        <v>1971.3203223483815</v>
      </c>
      <c r="AO384" s="31">
        <f t="shared" si="272"/>
        <v>1.5702890525424318</v>
      </c>
      <c r="AP384" s="31" t="str">
        <f t="shared" si="253"/>
        <v>1+75.8200026427404i</v>
      </c>
      <c r="AQ384" s="31">
        <f t="shared" si="273"/>
        <v>75.826596921826592</v>
      </c>
      <c r="AR384" s="31">
        <f t="shared" si="274"/>
        <v>1.557607959783561</v>
      </c>
      <c r="AS384" s="58" t="str">
        <f t="shared" si="275"/>
        <v>-1.08119132075508+1.00391479209721i</v>
      </c>
      <c r="AT384" s="49">
        <f t="shared" si="276"/>
        <v>3.3782243554257412</v>
      </c>
      <c r="AU384" s="61">
        <f t="shared" si="277"/>
        <v>137.12247876976812</v>
      </c>
      <c r="AV384" s="58" t="str">
        <f t="shared" si="254"/>
        <v>0.00223699315543669-0.00457554828356902i</v>
      </c>
      <c r="AW384" s="64">
        <f t="shared" si="278"/>
        <v>-45.860337036521003</v>
      </c>
      <c r="AX384" s="61">
        <f t="shared" si="279"/>
        <v>-63.945914074294876</v>
      </c>
    </row>
    <row r="385" spans="14:50" x14ac:dyDescent="0.25">
      <c r="N385" s="10">
        <v>67</v>
      </c>
      <c r="O385" s="50">
        <f t="shared" si="280"/>
        <v>46773.514128719893</v>
      </c>
      <c r="P385" s="48" t="str">
        <f t="shared" si="245"/>
        <v>304.285714285714</v>
      </c>
      <c r="Q385" s="17" t="str">
        <f t="shared" si="246"/>
        <v>1+15303.0980544668i</v>
      </c>
      <c r="R385" s="17">
        <f t="shared" si="255"/>
        <v>15303.098087139922</v>
      </c>
      <c r="S385" s="17">
        <f t="shared" si="256"/>
        <v>1.570730980549645</v>
      </c>
      <c r="T385" s="17" t="str">
        <f t="shared" si="247"/>
        <v>1+0.317397589277828i</v>
      </c>
      <c r="U385" s="17">
        <f t="shared" si="257"/>
        <v>1.0491621560461362</v>
      </c>
      <c r="V385" s="17">
        <f t="shared" si="258"/>
        <v>0.30734048693374444</v>
      </c>
      <c r="W385" s="31" t="str">
        <f t="shared" si="248"/>
        <v>1-0.991867466493215i</v>
      </c>
      <c r="X385" s="17">
        <f t="shared" si="259"/>
        <v>1.4084747321438424</v>
      </c>
      <c r="Y385" s="17">
        <f t="shared" si="260"/>
        <v>-0.78131531729711445</v>
      </c>
      <c r="Z385" s="31" t="str">
        <f t="shared" si="249"/>
        <v>0.862633355354394+8.74970840292777i</v>
      </c>
      <c r="AA385" s="17">
        <f t="shared" si="261"/>
        <v>8.792129061952787</v>
      </c>
      <c r="AB385" s="17">
        <f t="shared" si="262"/>
        <v>1.4725239527534475</v>
      </c>
      <c r="AC385" s="66" t="str">
        <f t="shared" si="263"/>
        <v>-0.00310892856488277+0.00122604510764985i</v>
      </c>
      <c r="AD385" s="64">
        <f t="shared" si="264"/>
        <v>-49.520003519216587</v>
      </c>
      <c r="AE385" s="61">
        <f t="shared" si="265"/>
        <v>158.47757896411571</v>
      </c>
      <c r="AF385" s="31" t="str">
        <f t="shared" si="250"/>
        <v>-1512.12121212121</v>
      </c>
      <c r="AG385" s="31" t="str">
        <f t="shared" si="266"/>
        <v>293886.65673873i</v>
      </c>
      <c r="AH385" s="31">
        <f t="shared" si="267"/>
        <v>293886.65673872997</v>
      </c>
      <c r="AI385" s="31">
        <f t="shared" si="268"/>
        <v>1.5707963267948966</v>
      </c>
      <c r="AJ385" s="31" t="str">
        <f t="shared" si="251"/>
        <v>-374.472512766118+405.054280723319i</v>
      </c>
      <c r="AK385" s="31">
        <f t="shared" si="269"/>
        <v>551.63269767994689</v>
      </c>
      <c r="AL385" s="31">
        <f t="shared" si="270"/>
        <v>2.3169834029606786</v>
      </c>
      <c r="AM385" s="31" t="str">
        <f t="shared" si="252"/>
        <v>1+2017.23801185464i</v>
      </c>
      <c r="AN385" s="31">
        <f t="shared" si="271"/>
        <v>2017.2382597182864</v>
      </c>
      <c r="AO385" s="31">
        <f t="shared" si="272"/>
        <v>1.5703005995122417</v>
      </c>
      <c r="AP385" s="31" t="str">
        <f t="shared" si="253"/>
        <v>1+77.5860773790247i</v>
      </c>
      <c r="AQ385" s="31">
        <f t="shared" si="273"/>
        <v>77.59252156660466</v>
      </c>
      <c r="AR385" s="31">
        <f t="shared" si="274"/>
        <v>1.5579081300381079</v>
      </c>
      <c r="AS385" s="58" t="str">
        <f t="shared" si="275"/>
        <v>-1.05864552229341+1.00532710859059i</v>
      </c>
      <c r="AT385" s="49">
        <f t="shared" si="276"/>
        <v>3.2866759750750472</v>
      </c>
      <c r="AU385" s="61">
        <f t="shared" si="277"/>
        <v>136.47978744770978</v>
      </c>
      <c r="AV385" s="58" t="str">
        <f t="shared" si="254"/>
        <v>0.00205867692126796-0.00442343732829154i</v>
      </c>
      <c r="AW385" s="64">
        <f t="shared" si="278"/>
        <v>-46.233327544141545</v>
      </c>
      <c r="AX385" s="61">
        <f t="shared" si="279"/>
        <v>-65.04263358817451</v>
      </c>
    </row>
    <row r="386" spans="14:50" x14ac:dyDescent="0.25">
      <c r="N386" s="10">
        <v>68</v>
      </c>
      <c r="O386" s="50">
        <f t="shared" si="280"/>
        <v>47863.009232263823</v>
      </c>
      <c r="P386" s="48" t="str">
        <f t="shared" si="245"/>
        <v>304.285714285714</v>
      </c>
      <c r="Q386" s="17" t="str">
        <f t="shared" si="246"/>
        <v>1+15659.552999321i</v>
      </c>
      <c r="R386" s="17">
        <f t="shared" si="255"/>
        <v>15659.553031250392</v>
      </c>
      <c r="S386" s="17">
        <f t="shared" si="256"/>
        <v>1.5707324680117829</v>
      </c>
      <c r="T386" s="17" t="str">
        <f t="shared" si="247"/>
        <v>1+0.324790728874806i</v>
      </c>
      <c r="U386" s="17">
        <f t="shared" si="257"/>
        <v>1.0514223782871599</v>
      </c>
      <c r="V386" s="17">
        <f t="shared" si="258"/>
        <v>0.31404260886666774</v>
      </c>
      <c r="W386" s="31" t="str">
        <f t="shared" si="248"/>
        <v>1-1.01497102773377i</v>
      </c>
      <c r="X386" s="17">
        <f t="shared" si="259"/>
        <v>1.4248390039365659</v>
      </c>
      <c r="Y386" s="17">
        <f t="shared" si="260"/>
        <v>-0.79282792395136903</v>
      </c>
      <c r="Z386" s="31" t="str">
        <f t="shared" si="249"/>
        <v>0.856159464841624+8.95351529321599i</v>
      </c>
      <c r="AA386" s="17">
        <f t="shared" si="261"/>
        <v>8.994356293537102</v>
      </c>
      <c r="AB386" s="17">
        <f t="shared" si="262"/>
        <v>1.4754634691769704</v>
      </c>
      <c r="AC386" s="66" t="str">
        <f t="shared" si="263"/>
        <v>-0.00300153452862433+0.00121066068377092i</v>
      </c>
      <c r="AD386" s="64">
        <f t="shared" si="264"/>
        <v>-49.798497488026392</v>
      </c>
      <c r="AE386" s="61">
        <f t="shared" si="265"/>
        <v>158.03345138199128</v>
      </c>
      <c r="AF386" s="31" t="str">
        <f t="shared" si="250"/>
        <v>-1512.12121212121</v>
      </c>
      <c r="AG386" s="31" t="str">
        <f t="shared" si="266"/>
        <v>300732.156365561i</v>
      </c>
      <c r="AH386" s="31">
        <f t="shared" si="267"/>
        <v>300732.15636556101</v>
      </c>
      <c r="AI386" s="31">
        <f t="shared" si="268"/>
        <v>1.5707963267948966</v>
      </c>
      <c r="AJ386" s="31" t="str">
        <f t="shared" si="251"/>
        <v>-392.167987125805+414.489206957493i</v>
      </c>
      <c r="AK386" s="31">
        <f t="shared" si="269"/>
        <v>570.61110470315691</v>
      </c>
      <c r="AL386" s="31">
        <f t="shared" si="270"/>
        <v>2.3285302909479562</v>
      </c>
      <c r="AM386" s="31" t="str">
        <f t="shared" si="252"/>
        <v>1+2064.22552129321i</v>
      </c>
      <c r="AN386" s="31">
        <f t="shared" si="271"/>
        <v>2064.2257635147917</v>
      </c>
      <c r="AO386" s="31">
        <f t="shared" si="272"/>
        <v>1.570311883641057</v>
      </c>
      <c r="AP386" s="31" t="str">
        <f t="shared" si="253"/>
        <v>1+79.3932892805081i</v>
      </c>
      <c r="AQ386" s="31">
        <f t="shared" si="273"/>
        <v>79.399586792239944</v>
      </c>
      <c r="AR386" s="31">
        <f t="shared" si="274"/>
        <v>1.5582014698278235</v>
      </c>
      <c r="AS386" s="58" t="str">
        <f t="shared" si="275"/>
        <v>-1.03602348556572+1.00623523592049i</v>
      </c>
      <c r="AT386" s="49">
        <f t="shared" si="276"/>
        <v>3.1928390921110128</v>
      </c>
      <c r="AU386" s="61">
        <f t="shared" si="277"/>
        <v>135.83565316439913</v>
      </c>
      <c r="AV386" s="58" t="str">
        <f t="shared" si="254"/>
        <v>0.00189145082563735-0.00427452270597153i</v>
      </c>
      <c r="AW386" s="64">
        <f t="shared" si="278"/>
        <v>-46.60565839591537</v>
      </c>
      <c r="AX386" s="61">
        <f t="shared" si="279"/>
        <v>-66.130895453609526</v>
      </c>
    </row>
    <row r="387" spans="14:50" x14ac:dyDescent="0.25">
      <c r="N387" s="10">
        <v>69</v>
      </c>
      <c r="O387" s="50">
        <f t="shared" si="280"/>
        <v>48977.881936844598</v>
      </c>
      <c r="P387" s="48" t="str">
        <f t="shared" si="245"/>
        <v>304.285714285714</v>
      </c>
      <c r="Q387" s="17" t="str">
        <f t="shared" si="246"/>
        <v>1+16024.3108464542i</v>
      </c>
      <c r="R387" s="17">
        <f t="shared" si="255"/>
        <v>16024.310877656791</v>
      </c>
      <c r="S387" s="17">
        <f t="shared" si="256"/>
        <v>1.5707339216151492</v>
      </c>
      <c r="T387" s="17" t="str">
        <f t="shared" si="247"/>
        <v>1+0.332356076815347i</v>
      </c>
      <c r="U387" s="17">
        <f t="shared" si="257"/>
        <v>1.0537839255730221</v>
      </c>
      <c r="V387" s="17">
        <f t="shared" si="258"/>
        <v>0.32087076582364643</v>
      </c>
      <c r="W387" s="31" t="str">
        <f t="shared" si="248"/>
        <v>1-1.03861274004796i</v>
      </c>
      <c r="X387" s="17">
        <f t="shared" si="259"/>
        <v>1.4417754415268458</v>
      </c>
      <c r="Y387" s="17">
        <f t="shared" si="260"/>
        <v>-0.80433659287178449</v>
      </c>
      <c r="Z387" s="31" t="str">
        <f t="shared" si="249"/>
        <v>0.849380469268746+9.16206945582647i</v>
      </c>
      <c r="AA387" s="17">
        <f t="shared" si="261"/>
        <v>9.2013566333972481</v>
      </c>
      <c r="AB387" s="17">
        <f t="shared" si="262"/>
        <v>1.4783543703942634</v>
      </c>
      <c r="AC387" s="66" t="str">
        <f t="shared" si="263"/>
        <v>-0.00289885631886621+0.00119484851162243i</v>
      </c>
      <c r="AD387" s="64">
        <f t="shared" si="264"/>
        <v>-50.074009378380211</v>
      </c>
      <c r="AE387" s="61">
        <f t="shared" si="265"/>
        <v>157.59955807644775</v>
      </c>
      <c r="AF387" s="31" t="str">
        <f t="shared" si="250"/>
        <v>-1512.12121212121</v>
      </c>
      <c r="AG387" s="31" t="str">
        <f t="shared" si="266"/>
        <v>307737.108162358i</v>
      </c>
      <c r="AH387" s="31">
        <f t="shared" si="267"/>
        <v>307737.108162358</v>
      </c>
      <c r="AI387" s="31">
        <f t="shared" si="268"/>
        <v>1.5707963267948966</v>
      </c>
      <c r="AJ387" s="31" t="str">
        <f t="shared" si="251"/>
        <v>-410.697423499138+424.143900855609i</v>
      </c>
      <c r="AK387" s="31">
        <f t="shared" si="269"/>
        <v>590.39852837032288</v>
      </c>
      <c r="AL387" s="31">
        <f t="shared" si="270"/>
        <v>2.3400892563375253</v>
      </c>
      <c r="AM387" s="31" t="str">
        <f t="shared" si="252"/>
        <v>1+2112.30751042642i</v>
      </c>
      <c r="AN387" s="31">
        <f t="shared" si="271"/>
        <v>2112.3077471343659</v>
      </c>
      <c r="AO387" s="31">
        <f t="shared" si="272"/>
        <v>1.5703229109118604</v>
      </c>
      <c r="AP387" s="31" t="str">
        <f t="shared" si="253"/>
        <v>1+81.2425965548625i</v>
      </c>
      <c r="AQ387" s="31">
        <f t="shared" si="273"/>
        <v>81.248750728710618</v>
      </c>
      <c r="AR387" s="31">
        <f t="shared" si="274"/>
        <v>1.5584881344833004</v>
      </c>
      <c r="AS387" s="58" t="str">
        <f t="shared" si="275"/>
        <v>-1.01334890517945+1.00663520942205i</v>
      </c>
      <c r="AT387" s="49">
        <f t="shared" si="276"/>
        <v>3.0967071000525297</v>
      </c>
      <c r="AU387" s="61">
        <f t="shared" si="277"/>
        <v>135.19042972301017</v>
      </c>
      <c r="AV387" s="58" t="str">
        <f t="shared" si="254"/>
        <v>0.00173477629527093-0.00412888926873421i</v>
      </c>
      <c r="AW387" s="64">
        <f t="shared" si="278"/>
        <v>-46.977302278327677</v>
      </c>
      <c r="AX387" s="61">
        <f t="shared" si="279"/>
        <v>-67.210012200542138</v>
      </c>
    </row>
    <row r="388" spans="14:50" x14ac:dyDescent="0.25">
      <c r="N388" s="10">
        <v>70</v>
      </c>
      <c r="O388" s="50">
        <f t="shared" si="280"/>
        <v>50118.723362727294</v>
      </c>
      <c r="P388" s="48" t="str">
        <f t="shared" si="245"/>
        <v>304.285714285714</v>
      </c>
      <c r="Q388" s="17" t="str">
        <f t="shared" si="246"/>
        <v>1+16397.5649953051i</v>
      </c>
      <c r="R388" s="17">
        <f t="shared" si="255"/>
        <v>16397.56502579743</v>
      </c>
      <c r="S388" s="17">
        <f t="shared" si="256"/>
        <v>1.5707353421304635</v>
      </c>
      <c r="T388" s="17" t="str">
        <f t="shared" si="247"/>
        <v>1+0.340097644347069i</v>
      </c>
      <c r="U388" s="17">
        <f t="shared" si="257"/>
        <v>1.0562511101487304</v>
      </c>
      <c r="V388" s="17">
        <f t="shared" si="258"/>
        <v>0.32782603048180453</v>
      </c>
      <c r="W388" s="31" t="str">
        <f t="shared" si="248"/>
        <v>1-1.06280513858459i</v>
      </c>
      <c r="X388" s="17">
        <f t="shared" si="259"/>
        <v>1.4592994081413895</v>
      </c>
      <c r="Y388" s="17">
        <f t="shared" si="260"/>
        <v>-0.81583523264241886</v>
      </c>
      <c r="Z388" s="31" t="str">
        <f t="shared" si="249"/>
        <v>0.842281989477273+9.37548146893679i</v>
      </c>
      <c r="AA388" s="17">
        <f t="shared" si="261"/>
        <v>9.4132402351249365</v>
      </c>
      <c r="AB388" s="17">
        <f t="shared" si="262"/>
        <v>1.4811980612754228</v>
      </c>
      <c r="AC388" s="66" t="str">
        <f t="shared" si="263"/>
        <v>-0.00280069176599349+0.00117866993112447i</v>
      </c>
      <c r="AD388" s="64">
        <f t="shared" si="264"/>
        <v>-50.346507121760865</v>
      </c>
      <c r="AE388" s="61">
        <f t="shared" si="265"/>
        <v>157.17622898249564</v>
      </c>
      <c r="AF388" s="31" t="str">
        <f t="shared" si="250"/>
        <v>-1512.12121212121</v>
      </c>
      <c r="AG388" s="31" t="str">
        <f t="shared" si="266"/>
        <v>314905.226247286i</v>
      </c>
      <c r="AH388" s="31">
        <f t="shared" si="267"/>
        <v>314905.22624728602</v>
      </c>
      <c r="AI388" s="31">
        <f t="shared" si="268"/>
        <v>1.5707963267948966</v>
      </c>
      <c r="AJ388" s="31" t="str">
        <f t="shared" si="251"/>
        <v>-430.10012530495+434.023481464169i</v>
      </c>
      <c r="AK388" s="31">
        <f t="shared" si="269"/>
        <v>611.03395998063104</v>
      </c>
      <c r="AL388" s="31">
        <f t="shared" si="270"/>
        <v>2.3516542494559034</v>
      </c>
      <c r="AM388" s="31" t="str">
        <f t="shared" si="252"/>
        <v>1+2161.50947296137i</v>
      </c>
      <c r="AN388" s="31">
        <f t="shared" si="271"/>
        <v>2161.5097042811863</v>
      </c>
      <c r="AO388" s="31">
        <f t="shared" si="272"/>
        <v>1.5703336871714464</v>
      </c>
      <c r="AP388" s="31" t="str">
        <f t="shared" si="253"/>
        <v>1+83.1349797292835i</v>
      </c>
      <c r="AQ388" s="31">
        <f t="shared" si="273"/>
        <v>83.14099382728341</v>
      </c>
      <c r="AR388" s="31">
        <f t="shared" si="274"/>
        <v>1.5587682758093682</v>
      </c>
      <c r="AS388" s="58" t="str">
        <f t="shared" si="275"/>
        <v>-0.990645698030792+1.00652443361389i</v>
      </c>
      <c r="AT388" s="49">
        <f t="shared" si="276"/>
        <v>2.9982758105012803</v>
      </c>
      <c r="AU388" s="61">
        <f t="shared" si="277"/>
        <v>134.54447277707342</v>
      </c>
      <c r="AV388" s="58" t="str">
        <f t="shared" si="254"/>
        <v>0.00158813316464893-0.00398660899016039i</v>
      </c>
      <c r="AW388" s="64">
        <f t="shared" si="278"/>
        <v>-47.348231311259582</v>
      </c>
      <c r="AX388" s="61">
        <f t="shared" si="279"/>
        <v>-68.279298240430961</v>
      </c>
    </row>
    <row r="389" spans="14:50" x14ac:dyDescent="0.25">
      <c r="N389" s="10">
        <v>71</v>
      </c>
      <c r="O389" s="50">
        <f t="shared" si="280"/>
        <v>51286.138399136544</v>
      </c>
      <c r="P389" s="48" t="str">
        <f t="shared" si="245"/>
        <v>304.285714285714</v>
      </c>
      <c r="Q389" s="17" t="str">
        <f t="shared" si="246"/>
        <v>1+16779.513350164i</v>
      </c>
      <c r="R389" s="17">
        <f t="shared" si="255"/>
        <v>16779.513379962242</v>
      </c>
      <c r="S389" s="17">
        <f t="shared" si="256"/>
        <v>1.5707367303109017</v>
      </c>
      <c r="T389" s="17" t="str">
        <f t="shared" si="247"/>
        <v>1+0.348019536151549i</v>
      </c>
      <c r="U389" s="17">
        <f t="shared" si="257"/>
        <v>1.0588284079789034</v>
      </c>
      <c r="V389" s="17">
        <f t="shared" si="258"/>
        <v>0.33490939799289643</v>
      </c>
      <c r="W389" s="31" t="str">
        <f t="shared" si="248"/>
        <v>1-1.08756105047359i</v>
      </c>
      <c r="X389" s="17">
        <f t="shared" si="259"/>
        <v>1.4774264917440794</v>
      </c>
      <c r="Y389" s="17">
        <f t="shared" si="260"/>
        <v>-0.82731777836567721</v>
      </c>
      <c r="Z389" s="31" t="str">
        <f t="shared" si="249"/>
        <v>0.83484896863986+9.59386448642111i</v>
      </c>
      <c r="AA389" s="17">
        <f t="shared" si="261"/>
        <v>9.6301198634415357</v>
      </c>
      <c r="AB389" s="17">
        <f t="shared" si="262"/>
        <v>1.4839959299445327</v>
      </c>
      <c r="AC389" s="66" t="str">
        <f t="shared" si="263"/>
        <v>-0.00270684693075758+0.00116218161235622i</v>
      </c>
      <c r="AD389" s="64">
        <f t="shared" si="264"/>
        <v>-50.61596048413076</v>
      </c>
      <c r="AE389" s="61">
        <f t="shared" si="265"/>
        <v>156.76378903436043</v>
      </c>
      <c r="AF389" s="31" t="str">
        <f t="shared" si="250"/>
        <v>-1512.12121212121</v>
      </c>
      <c r="AG389" s="31" t="str">
        <f t="shared" si="266"/>
        <v>322240.311251434i</v>
      </c>
      <c r="AH389" s="31">
        <f t="shared" si="267"/>
        <v>322240.31125143397</v>
      </c>
      <c r="AI389" s="31">
        <f t="shared" si="268"/>
        <v>1.5707963267948966</v>
      </c>
      <c r="AJ389" s="31" t="str">
        <f t="shared" si="251"/>
        <v>-450.417248275135+444.13318706758i</v>
      </c>
      <c r="AK389" s="31">
        <f t="shared" si="269"/>
        <v>632.55828616701456</v>
      </c>
      <c r="AL389" s="31">
        <f t="shared" si="270"/>
        <v>2.3632192006987021</v>
      </c>
      <c r="AM389" s="31" t="str">
        <f t="shared" si="252"/>
        <v>1+2211.85749642984i</v>
      </c>
      <c r="AN389" s="31">
        <f t="shared" si="271"/>
        <v>2211.8577224841747</v>
      </c>
      <c r="AO389" s="31">
        <f t="shared" si="272"/>
        <v>1.5703442181335203</v>
      </c>
      <c r="AP389" s="31" t="str">
        <f t="shared" si="253"/>
        <v>1+85.0714421703785i</v>
      </c>
      <c r="AQ389" s="31">
        <f t="shared" si="273"/>
        <v>85.077319380361615</v>
      </c>
      <c r="AR389" s="31">
        <f t="shared" si="274"/>
        <v>1.5590420421646829</v>
      </c>
      <c r="AS389" s="58" t="str">
        <f t="shared" si="275"/>
        <v>-0.967937902666178+1.00590169712341i</v>
      </c>
      <c r="AT389" s="49">
        <f t="shared" si="276"/>
        <v>2.8975434704400307</v>
      </c>
      <c r="AU389" s="61">
        <f t="shared" si="277"/>
        <v>133.89813891699944</v>
      </c>
      <c r="AV389" s="58" t="str">
        <f t="shared" si="254"/>
        <v>0.00145101928476113-0.00384774155388362i</v>
      </c>
      <c r="AW389" s="64">
        <f t="shared" si="278"/>
        <v>-47.718417013690733</v>
      </c>
      <c r="AX389" s="61">
        <f t="shared" si="279"/>
        <v>-69.338072048640115</v>
      </c>
    </row>
    <row r="390" spans="14:50" x14ac:dyDescent="0.25">
      <c r="N390" s="10">
        <v>72</v>
      </c>
      <c r="O390" s="50">
        <f t="shared" si="280"/>
        <v>52480.746024977314</v>
      </c>
      <c r="P390" s="48" t="str">
        <f t="shared" si="245"/>
        <v>304.285714285714</v>
      </c>
      <c r="Q390" s="17" t="str">
        <f t="shared" si="246"/>
        <v>1+17170.3584251042i</v>
      </c>
      <c r="R390" s="17">
        <f t="shared" si="255"/>
        <v>17170.358454224152</v>
      </c>
      <c r="S390" s="17">
        <f t="shared" si="256"/>
        <v>1.5707380868924956</v>
      </c>
      <c r="T390" s="17" t="str">
        <f t="shared" si="247"/>
        <v>1+0.356125952520678i</v>
      </c>
      <c r="U390" s="17">
        <f t="shared" si="257"/>
        <v>1.0615204633254887</v>
      </c>
      <c r="V390" s="17">
        <f t="shared" si="258"/>
        <v>0.3421217799199946</v>
      </c>
      <c r="W390" s="31" t="str">
        <f t="shared" si="248"/>
        <v>1-1.11289360162712i</v>
      </c>
      <c r="X390" s="17">
        <f t="shared" si="259"/>
        <v>1.4961725062781306</v>
      </c>
      <c r="Y390" s="17">
        <f t="shared" si="260"/>
        <v>-0.83877820758285393</v>
      </c>
      <c r="Z390" s="31" t="str">
        <f t="shared" si="249"/>
        <v>0.827065640322749+9.8173342978459i</v>
      </c>
      <c r="AA390" s="17">
        <f t="shared" si="261"/>
        <v>9.8521109559862321</v>
      </c>
      <c r="AB390" s="17">
        <f t="shared" si="262"/>
        <v>1.4867493479792737</v>
      </c>
      <c r="AC390" s="66" t="str">
        <f t="shared" si="263"/>
        <v>-0.0026171358071979+0.00114543586540366i</v>
      </c>
      <c r="AD390" s="64">
        <f t="shared" si="264"/>
        <v>-50.882341041747232</v>
      </c>
      <c r="AE390" s="61">
        <f t="shared" si="265"/>
        <v>156.36255689444127</v>
      </c>
      <c r="AF390" s="31" t="str">
        <f t="shared" si="250"/>
        <v>-1512.12121212121</v>
      </c>
      <c r="AG390" s="31" t="str">
        <f t="shared" si="266"/>
        <v>329746.252333961i</v>
      </c>
      <c r="AH390" s="31">
        <f t="shared" si="267"/>
        <v>329746.25233396102</v>
      </c>
      <c r="AI390" s="31">
        <f t="shared" si="268"/>
        <v>1.5707963267948966</v>
      </c>
      <c r="AJ390" s="31" t="str">
        <f t="shared" si="251"/>
        <v>-471.691887751473+454.478377965571i</v>
      </c>
      <c r="AK390" s="31">
        <f t="shared" si="269"/>
        <v>655.01437618480145</v>
      </c>
      <c r="AL390" s="31">
        <f t="shared" si="270"/>
        <v>2.3747780366803259</v>
      </c>
      <c r="AM390" s="31" t="str">
        <f t="shared" si="252"/>
        <v>1+2263.3782760203i</v>
      </c>
      <c r="AN390" s="31">
        <f t="shared" si="271"/>
        <v>2263.37849692901</v>
      </c>
      <c r="AO390" s="31">
        <f t="shared" si="272"/>
        <v>1.5703545093817284</v>
      </c>
      <c r="AP390" s="31" t="str">
        <f t="shared" si="253"/>
        <v>1+87.0530106161657i</v>
      </c>
      <c r="AQ390" s="31">
        <f t="shared" si="273"/>
        <v>87.05875405344517</v>
      </c>
      <c r="AR390" s="31">
        <f t="shared" si="274"/>
        <v>1.5593095785395494</v>
      </c>
      <c r="AS390" s="58" t="str">
        <f t="shared" si="275"/>
        <v>-0.945249577553551+1.00476717875259i</v>
      </c>
      <c r="AT390" s="49">
        <f t="shared" si="276"/>
        <v>2.794510769270758</v>
      </c>
      <c r="AU390" s="61">
        <f t="shared" si="277"/>
        <v>133.25178474940273</v>
      </c>
      <c r="AV390" s="58" t="str">
        <f t="shared" si="254"/>
        <v>0.00132295015323042-0.00371233492929811i</v>
      </c>
      <c r="AW390" s="64">
        <f t="shared" si="278"/>
        <v>-48.087830272476481</v>
      </c>
      <c r="AX390" s="61">
        <f t="shared" si="279"/>
        <v>-70.385658356155986</v>
      </c>
    </row>
    <row r="391" spans="14:50" x14ac:dyDescent="0.25">
      <c r="N391" s="10">
        <v>73</v>
      </c>
      <c r="O391" s="50">
        <f t="shared" si="280"/>
        <v>53703.179637025423</v>
      </c>
      <c r="P391" s="48" t="str">
        <f t="shared" si="245"/>
        <v>304.285714285714</v>
      </c>
      <c r="Q391" s="17" t="str">
        <f t="shared" si="246"/>
        <v>1+17570.3074513579i</v>
      </c>
      <c r="R391" s="17">
        <f t="shared" si="255"/>
        <v>17570.307479815001</v>
      </c>
      <c r="S391" s="17">
        <f t="shared" si="256"/>
        <v>1.5707394125945227</v>
      </c>
      <c r="T391" s="17" t="str">
        <f t="shared" si="247"/>
        <v>1+0.364421191583719i</v>
      </c>
      <c r="U391" s="17">
        <f t="shared" si="257"/>
        <v>1.0643320933220504</v>
      </c>
      <c r="V391" s="17">
        <f t="shared" si="258"/>
        <v>0.34946399800468791</v>
      </c>
      <c r="W391" s="31" t="str">
        <f t="shared" si="248"/>
        <v>1-1.13881622369912i</v>
      </c>
      <c r="X391" s="17">
        <f t="shared" si="259"/>
        <v>1.515553493401115</v>
      </c>
      <c r="Y391" s="17">
        <f t="shared" si="260"/>
        <v>-0.85021055592247674</v>
      </c>
      <c r="Z391" s="31" t="str">
        <f t="shared" si="249"/>
        <v>0.818915495043047+10.0460093898632i</v>
      </c>
      <c r="AA391" s="17">
        <f t="shared" si="261"/>
        <v>10.079331686636827</v>
      </c>
      <c r="AB391" s="17">
        <f t="shared" si="262"/>
        <v>1.4894596706350567</v>
      </c>
      <c r="AC391" s="66" t="str">
        <f t="shared" si="263"/>
        <v>-0.0025313800328307+0.00112848093120698i</v>
      </c>
      <c r="AD391" s="64">
        <f t="shared" si="264"/>
        <v>-51.145622150187968</v>
      </c>
      <c r="AE391" s="61">
        <f t="shared" si="265"/>
        <v>155.97284368674897</v>
      </c>
      <c r="AF391" s="31" t="str">
        <f t="shared" si="250"/>
        <v>-1512.12121212121</v>
      </c>
      <c r="AG391" s="31" t="str">
        <f t="shared" si="266"/>
        <v>337427.029244184i</v>
      </c>
      <c r="AH391" s="31">
        <f t="shared" si="267"/>
        <v>337427.02924418403</v>
      </c>
      <c r="AI391" s="31">
        <f t="shared" si="268"/>
        <v>1.5707963267948966</v>
      </c>
      <c r="AJ391" s="31" t="str">
        <f t="shared" si="251"/>
        <v>-493.969170096639+465.064539315294i</v>
      </c>
      <c r="AK391" s="31">
        <f t="shared" si="269"/>
        <v>678.447173134732</v>
      </c>
      <c r="AL391" s="31">
        <f t="shared" si="270"/>
        <v>2.3863246964035665</v>
      </c>
      <c r="AM391" s="31" t="str">
        <f t="shared" si="252"/>
        <v>1+2316.09912873207i</v>
      </c>
      <c r="AN391" s="31">
        <f t="shared" si="271"/>
        <v>2316.0993446122839</v>
      </c>
      <c r="AO391" s="31">
        <f t="shared" si="272"/>
        <v>1.5703645663726178</v>
      </c>
      <c r="AP391" s="31" t="str">
        <f t="shared" si="253"/>
        <v>1+89.0807357204645i</v>
      </c>
      <c r="AQ391" s="31">
        <f t="shared" si="273"/>
        <v>89.086348429482953</v>
      </c>
      <c r="AR391" s="31">
        <f t="shared" si="274"/>
        <v>1.5595710266320146</v>
      </c>
      <c r="AS391" s="58" t="str">
        <f t="shared" si="275"/>
        <v>-0.922604699176227+1.00312244460991i</v>
      </c>
      <c r="AT391" s="49">
        <f t="shared" si="276"/>
        <v>2.6891808355272935</v>
      </c>
      <c r="AU391" s="61">
        <f t="shared" si="277"/>
        <v>132.60576597518016</v>
      </c>
      <c r="AV391" s="58" t="str">
        <f t="shared" si="254"/>
        <v>0.00120345856328246-0.00358042593683217i</v>
      </c>
      <c r="AW391" s="64">
        <f t="shared" si="278"/>
        <v>-48.456441314660673</v>
      </c>
      <c r="AX391" s="61">
        <f t="shared" si="279"/>
        <v>-71.421390338070907</v>
      </c>
    </row>
    <row r="392" spans="14:50" x14ac:dyDescent="0.25">
      <c r="N392" s="10">
        <v>74</v>
      </c>
      <c r="O392" s="50">
        <f t="shared" si="280"/>
        <v>54954.087385762505</v>
      </c>
      <c r="P392" s="48" t="str">
        <f t="shared" si="245"/>
        <v>304.285714285714</v>
      </c>
      <c r="Q392" s="17" t="str">
        <f t="shared" si="246"/>
        <v>1+17979.5724871928i</v>
      </c>
      <c r="R392" s="17">
        <f t="shared" si="255"/>
        <v>17979.572515002139</v>
      </c>
      <c r="S392" s="17">
        <f t="shared" si="256"/>
        <v>1.5707407081198874</v>
      </c>
      <c r="T392" s="17" t="str">
        <f t="shared" si="247"/>
        <v>1+0.372909651586221i</v>
      </c>
      <c r="U392" s="17">
        <f t="shared" si="257"/>
        <v>1.0672682925329304</v>
      </c>
      <c r="V392" s="17">
        <f t="shared" si="258"/>
        <v>0.35693677777897065</v>
      </c>
      <c r="W392" s="31" t="str">
        <f t="shared" si="248"/>
        <v>1-1.16534266120694i</v>
      </c>
      <c r="X392" s="17">
        <f t="shared" si="259"/>
        <v>1.5355857247411728</v>
      </c>
      <c r="Y392" s="17">
        <f t="shared" si="260"/>
        <v>-0.86160893237823122</v>
      </c>
      <c r="Z392" s="31" t="str">
        <f t="shared" si="249"/>
        <v>0.81038124524991+10.2800110090337i</v>
      </c>
      <c r="AA392" s="17">
        <f t="shared" si="261"/>
        <v>10.311903030406505</v>
      </c>
      <c r="AB392" s="17">
        <f t="shared" si="262"/>
        <v>1.4921282370917848</v>
      </c>
      <c r="AC392" s="66" t="str">
        <f t="shared" si="263"/>
        <v>-0.00244940860627009+0.00111136125446988i</v>
      </c>
      <c r="AD392" s="64">
        <f t="shared" si="264"/>
        <v>-51.405778907068481</v>
      </c>
      <c r="AE392" s="61">
        <f t="shared" si="265"/>
        <v>155.59495174137356</v>
      </c>
      <c r="AF392" s="31" t="str">
        <f t="shared" si="250"/>
        <v>-1512.12121212121</v>
      </c>
      <c r="AG392" s="31" t="str">
        <f t="shared" si="266"/>
        <v>345286.714431686i</v>
      </c>
      <c r="AH392" s="31">
        <f t="shared" si="267"/>
        <v>345286.71443168598</v>
      </c>
      <c r="AI392" s="31">
        <f t="shared" si="268"/>
        <v>1.5707963267948966</v>
      </c>
      <c r="AJ392" s="31" t="str">
        <f t="shared" si="251"/>
        <v>-517.296348413254+475.897284039617i</v>
      </c>
      <c r="AK392" s="31">
        <f t="shared" si="269"/>
        <v>702.90378931826115</v>
      </c>
      <c r="AL392" s="31">
        <f t="shared" si="270"/>
        <v>2.3978531473448275</v>
      </c>
      <c r="AM392" s="31" t="str">
        <f t="shared" si="252"/>
        <v>1+2370.04800785909i</v>
      </c>
      <c r="AN392" s="31">
        <f t="shared" si="271"/>
        <v>2370.0482188252713</v>
      </c>
      <c r="AO392" s="31">
        <f t="shared" si="272"/>
        <v>1.5703743944385302</v>
      </c>
      <c r="AP392" s="31" t="str">
        <f t="shared" si="253"/>
        <v>1+91.1556926099651i</v>
      </c>
      <c r="AQ392" s="31">
        <f t="shared" si="273"/>
        <v>91.161177565904921</v>
      </c>
      <c r="AR392" s="31">
        <f t="shared" si="274"/>
        <v>1.5598265249222651</v>
      </c>
      <c r="AS392" s="58" t="str">
        <f t="shared" si="275"/>
        <v>-0.900027060865192+1.0009704363411i</v>
      </c>
      <c r="AT392" s="49">
        <f t="shared" si="276"/>
        <v>2.5815592232908511</v>
      </c>
      <c r="AU392" s="61">
        <f t="shared" si="277"/>
        <v>131.96043647232381</v>
      </c>
      <c r="AV392" s="58" t="str">
        <f t="shared" si="254"/>
        <v>0.00109209426893987-0.0034520408048158i</v>
      </c>
      <c r="AW392" s="64">
        <f t="shared" si="278"/>
        <v>-48.824219683777621</v>
      </c>
      <c r="AX392" s="61">
        <f t="shared" si="279"/>
        <v>-72.444611786302602</v>
      </c>
    </row>
    <row r="393" spans="14:50" x14ac:dyDescent="0.25">
      <c r="N393" s="10">
        <v>75</v>
      </c>
      <c r="O393" s="50">
        <f t="shared" si="280"/>
        <v>56234.132519034953</v>
      </c>
      <c r="P393" s="48" t="str">
        <f t="shared" si="245"/>
        <v>304.285714285714</v>
      </c>
      <c r="Q393" s="17" t="str">
        <f t="shared" si="246"/>
        <v>1+18398.3705303483i</v>
      </c>
      <c r="R393" s="17">
        <f t="shared" si="255"/>
        <v>18398.37055752462</v>
      </c>
      <c r="S393" s="17">
        <f t="shared" si="256"/>
        <v>1.5707419741554949</v>
      </c>
      <c r="T393" s="17" t="str">
        <f t="shared" si="247"/>
        <v>1+0.381595833222037i</v>
      </c>
      <c r="U393" s="17">
        <f t="shared" si="257"/>
        <v>1.0703342374849178</v>
      </c>
      <c r="V393" s="17">
        <f t="shared" si="258"/>
        <v>0.36454074203847786</v>
      </c>
      <c r="W393" s="31" t="str">
        <f t="shared" si="248"/>
        <v>1-1.19248697881887i</v>
      </c>
      <c r="X393" s="17">
        <f t="shared" si="259"/>
        <v>1.5562857046996723</v>
      </c>
      <c r="Y393" s="17">
        <f t="shared" si="260"/>
        <v>-0.87296753412265327</v>
      </c>
      <c r="Z393" s="31" t="str">
        <f t="shared" si="249"/>
        <v>0.801444788655319+10.5194632261132i</v>
      </c>
      <c r="AA393" s="17">
        <f t="shared" si="261"/>
        <v>10.549948829961723</v>
      </c>
      <c r="AB393" s="17">
        <f t="shared" si="262"/>
        <v>1.4947563707214784</v>
      </c>
      <c r="AC393" s="66" t="str">
        <f t="shared" si="263"/>
        <v>-0.00237105761239994+0.00109411773964333i</v>
      </c>
      <c r="AD393" s="64">
        <f t="shared" si="264"/>
        <v>-51.662788109021598</v>
      </c>
      <c r="AE393" s="61">
        <f t="shared" si="265"/>
        <v>155.22917335641148</v>
      </c>
      <c r="AF393" s="31" t="str">
        <f t="shared" si="250"/>
        <v>-1512.12121212121</v>
      </c>
      <c r="AG393" s="31" t="str">
        <f t="shared" si="266"/>
        <v>353329.47520559i</v>
      </c>
      <c r="AH393" s="31">
        <f t="shared" si="267"/>
        <v>353329.47520559002</v>
      </c>
      <c r="AI393" s="31">
        <f t="shared" si="268"/>
        <v>1.5707963267948966</v>
      </c>
      <c r="AJ393" s="31" t="str">
        <f t="shared" si="251"/>
        <v>-541.722902774053+486.982355803183i</v>
      </c>
      <c r="AK393" s="31">
        <f t="shared" si="269"/>
        <v>728.4336059336938</v>
      </c>
      <c r="AL393" s="31">
        <f t="shared" si="270"/>
        <v>2.4093574013517514</v>
      </c>
      <c r="AM393" s="31" t="str">
        <f t="shared" si="252"/>
        <v>1+2425.25351781116i</v>
      </c>
      <c r="AN393" s="31">
        <f t="shared" si="271"/>
        <v>2425.253723975165</v>
      </c>
      <c r="AO393" s="31">
        <f t="shared" si="272"/>
        <v>1.5703839987904284</v>
      </c>
      <c r="AP393" s="31" t="str">
        <f t="shared" si="253"/>
        <v>1+93.2789814542757i</v>
      </c>
      <c r="AQ393" s="31">
        <f t="shared" si="273"/>
        <v>93.284341564632953</v>
      </c>
      <c r="AR393" s="31">
        <f t="shared" si="274"/>
        <v>1.5600762087453692</v>
      </c>
      <c r="AS393" s="58" t="str">
        <f t="shared" si="275"/>
        <v>-0.877540173274191+0.998315450598018i</v>
      </c>
      <c r="AT393" s="49">
        <f t="shared" si="276"/>
        <v>2.4716538884286341</v>
      </c>
      <c r="AU393" s="61">
        <f t="shared" si="277"/>
        <v>131.31614738938612</v>
      </c>
      <c r="AV393" s="58" t="str">
        <f t="shared" si="254"/>
        <v>0.000988423663769217-0.00332719571954588i</v>
      </c>
      <c r="AW393" s="64">
        <f t="shared" si="278"/>
        <v>-49.191134220592964</v>
      </c>
      <c r="AX393" s="61">
        <f t="shared" si="279"/>
        <v>-73.454679254202404</v>
      </c>
    </row>
    <row r="394" spans="14:50" x14ac:dyDescent="0.25">
      <c r="N394" s="10">
        <v>76</v>
      </c>
      <c r="O394" s="50">
        <f t="shared" si="280"/>
        <v>57543.993733715732</v>
      </c>
      <c r="P394" s="48" t="str">
        <f t="shared" si="245"/>
        <v>304.285714285714</v>
      </c>
      <c r="Q394" s="17" t="str">
        <f t="shared" si="246"/>
        <v>1+18826.9236330901i</v>
      </c>
      <c r="R394" s="17">
        <f t="shared" si="255"/>
        <v>18826.923659647811</v>
      </c>
      <c r="S394" s="17">
        <f t="shared" si="256"/>
        <v>1.5707432113726136</v>
      </c>
      <c r="T394" s="17" t="str">
        <f t="shared" si="247"/>
        <v>1+0.390484342019646i</v>
      </c>
      <c r="U394" s="17">
        <f t="shared" si="257"/>
        <v>1.0735352911583838</v>
      </c>
      <c r="V394" s="17">
        <f t="shared" si="258"/>
        <v>0.37227640419620606</v>
      </c>
      <c r="W394" s="31" t="str">
        <f t="shared" si="248"/>
        <v>1-1.2202635688114i</v>
      </c>
      <c r="X394" s="17">
        <f t="shared" si="259"/>
        <v>1.5776701738222518</v>
      </c>
      <c r="Y394" s="17">
        <f t="shared" si="260"/>
        <v>-0.88428066076817569</v>
      </c>
      <c r="Z394" s="31" t="str">
        <f t="shared" si="249"/>
        <v>0.792087169836704+10.7644930018367i</v>
      </c>
      <c r="AA394" s="17">
        <f t="shared" si="261"/>
        <v>10.793595863807909</v>
      </c>
      <c r="AB394" s="17">
        <f t="shared" si="262"/>
        <v>1.4973453793751019</v>
      </c>
      <c r="AC394" s="66" t="str">
        <f t="shared" si="263"/>
        <v>-0.0022961699551759+0.0010767879909489i</v>
      </c>
      <c r="AD394" s="64">
        <f t="shared" si="264"/>
        <v>-51.916628203581794</v>
      </c>
      <c r="AE394" s="61">
        <f t="shared" si="265"/>
        <v>154.87578958360828</v>
      </c>
      <c r="AF394" s="31" t="str">
        <f t="shared" si="250"/>
        <v>-1512.12121212121</v>
      </c>
      <c r="AG394" s="31" t="str">
        <f t="shared" si="266"/>
        <v>361559.575944117i</v>
      </c>
      <c r="AH394" s="31">
        <f t="shared" si="267"/>
        <v>361559.57594411698</v>
      </c>
      <c r="AI394" s="31">
        <f t="shared" si="268"/>
        <v>1.5707963267948966</v>
      </c>
      <c r="AJ394" s="31" t="str">
        <f t="shared" si="251"/>
        <v>-567.300645175764+498.32563205777i</v>
      </c>
      <c r="AK394" s="31">
        <f t="shared" si="269"/>
        <v>755.08837733249084</v>
      </c>
      <c r="AL394" s="31">
        <f t="shared" si="270"/>
        <v>2.4208315302523067</v>
      </c>
      <c r="AM394" s="31" t="str">
        <f t="shared" si="252"/>
        <v>1+2481.74492928041i</v>
      </c>
      <c r="AN394" s="31">
        <f t="shared" si="271"/>
        <v>2481.7451307515498</v>
      </c>
      <c r="AO394" s="31">
        <f t="shared" si="272"/>
        <v>1.5703933845206601</v>
      </c>
      <c r="AP394" s="31" t="str">
        <f t="shared" si="253"/>
        <v>1+95.4517280492468i</v>
      </c>
      <c r="AQ394" s="31">
        <f t="shared" si="273"/>
        <v>95.456966155369543</v>
      </c>
      <c r="AR394" s="31">
        <f t="shared" si="274"/>
        <v>1.5603202103623974</v>
      </c>
      <c r="AS394" s="58" t="str">
        <f t="shared" si="275"/>
        <v>-0.855167167376728+0.995163109989209i</v>
      </c>
      <c r="AT394" s="49">
        <f t="shared" si="276"/>
        <v>2.3594751548679098</v>
      </c>
      <c r="AU394" s="61">
        <f t="shared" si="277"/>
        <v>130.67324625537512</v>
      </c>
      <c r="AV394" s="58" t="str">
        <f t="shared" si="254"/>
        <v>0.000892029470511583-0.00320589736974168i</v>
      </c>
      <c r="AW394" s="64">
        <f t="shared" si="278"/>
        <v>-49.557153048713886</v>
      </c>
      <c r="AX394" s="61">
        <f t="shared" si="279"/>
        <v>-74.450964161016614</v>
      </c>
    </row>
    <row r="395" spans="14:50" x14ac:dyDescent="0.25">
      <c r="N395" s="10">
        <v>77</v>
      </c>
      <c r="O395" s="50">
        <f t="shared" si="280"/>
        <v>58884.365535558936</v>
      </c>
      <c r="P395" s="48" t="str">
        <f t="shared" si="245"/>
        <v>304.285714285714</v>
      </c>
      <c r="Q395" s="17" t="str">
        <f t="shared" si="246"/>
        <v>1+19265.459019946i</v>
      </c>
      <c r="R395" s="17">
        <f t="shared" si="255"/>
        <v>19265.459045899184</v>
      </c>
      <c r="S395" s="17">
        <f t="shared" si="256"/>
        <v>1.5707444204272327</v>
      </c>
      <c r="T395" s="17" t="str">
        <f t="shared" si="247"/>
        <v>1+0.399579890784065i</v>
      </c>
      <c r="U395" s="17">
        <f t="shared" si="257"/>
        <v>1.0768770074242486</v>
      </c>
      <c r="V395" s="17">
        <f t="shared" si="258"/>
        <v>0.38014416153856961</v>
      </c>
      <c r="W395" s="31" t="str">
        <f t="shared" si="248"/>
        <v>1-1.24868715870021i</v>
      </c>
      <c r="X395" s="17">
        <f t="shared" si="259"/>
        <v>1.5997561127568174</v>
      </c>
      <c r="Y395" s="17">
        <f t="shared" si="260"/>
        <v>-0.89554272799351453</v>
      </c>
      <c r="Z395" s="31" t="str">
        <f t="shared" si="249"/>
        <v>0.782288540029955+11.0152302542347i</v>
      </c>
      <c r="AA395" s="17">
        <f t="shared" si="261"/>
        <v>11.042973916190769</v>
      </c>
      <c r="AB395" s="17">
        <f t="shared" si="262"/>
        <v>1.4998965556870449</v>
      </c>
      <c r="AC395" s="66" t="str">
        <f t="shared" si="263"/>
        <v>-0.00222459509809989+0.00105940653735934i</v>
      </c>
      <c r="AD395" s="64">
        <f t="shared" si="264"/>
        <v>-52.167279236688515</v>
      </c>
      <c r="AE395" s="61">
        <f t="shared" si="265"/>
        <v>154.53506904375917</v>
      </c>
      <c r="AF395" s="31" t="str">
        <f t="shared" si="250"/>
        <v>-1512.12121212121</v>
      </c>
      <c r="AG395" s="31" t="str">
        <f t="shared" si="266"/>
        <v>369981.380355616i</v>
      </c>
      <c r="AH395" s="31">
        <f t="shared" si="267"/>
        <v>369981.38035561598</v>
      </c>
      <c r="AI395" s="31">
        <f t="shared" si="268"/>
        <v>1.5707963267948966</v>
      </c>
      <c r="AJ395" s="31" t="str">
        <f t="shared" si="251"/>
        <v>-594.083829439286+509.933127158594i</v>
      </c>
      <c r="AK395" s="31">
        <f t="shared" si="269"/>
        <v>782.92234006636272</v>
      </c>
      <c r="AL395" s="31">
        <f t="shared" si="270"/>
        <v>2.4322696810776998</v>
      </c>
      <c r="AM395" s="31" t="str">
        <f t="shared" si="252"/>
        <v>1+2539.55219476094i</v>
      </c>
      <c r="AN395" s="31">
        <f t="shared" si="271"/>
        <v>2539.552391646037</v>
      </c>
      <c r="AO395" s="31">
        <f t="shared" si="272"/>
        <v>1.570402556605657</v>
      </c>
      <c r="AP395" s="31" t="str">
        <f t="shared" si="253"/>
        <v>1+97.6750844138826i</v>
      </c>
      <c r="AQ395" s="31">
        <f t="shared" si="273"/>
        <v>97.680203292474218</v>
      </c>
      <c r="AR395" s="31">
        <f t="shared" si="274"/>
        <v>1.5605586590299532</v>
      </c>
      <c r="AS395" s="58" t="str">
        <f t="shared" si="275"/>
        <v>-0.832930700825765+0.991520325854159i</v>
      </c>
      <c r="AT395" s="49">
        <f t="shared" si="276"/>
        <v>2.2450356712018902</v>
      </c>
      <c r="AU395" s="61">
        <f t="shared" si="277"/>
        <v>130.03207611168713</v>
      </c>
      <c r="AV395" s="58" t="str">
        <f t="shared" si="254"/>
        <v>0.000802510438979344-0.00308814348618368i</v>
      </c>
      <c r="AW395" s="64">
        <f t="shared" si="278"/>
        <v>-49.922243565486617</v>
      </c>
      <c r="AX395" s="61">
        <f t="shared" si="279"/>
        <v>-75.432854844553702</v>
      </c>
    </row>
    <row r="396" spans="14:50" x14ac:dyDescent="0.25">
      <c r="N396" s="10">
        <v>78</v>
      </c>
      <c r="O396" s="50">
        <f t="shared" si="280"/>
        <v>60255.95860743591</v>
      </c>
      <c r="P396" s="48" t="str">
        <f t="shared" si="245"/>
        <v>304.285714285714</v>
      </c>
      <c r="Q396" s="17" t="str">
        <f t="shared" si="246"/>
        <v>1+19714.2092081829i</v>
      </c>
      <c r="R396" s="17">
        <f t="shared" si="255"/>
        <v>19714.209233545316</v>
      </c>
      <c r="S396" s="17">
        <f t="shared" si="256"/>
        <v>1.5707456019604089</v>
      </c>
      <c r="T396" s="17" t="str">
        <f t="shared" si="247"/>
        <v>1+0.408887302095644i</v>
      </c>
      <c r="U396" s="17">
        <f t="shared" si="257"/>
        <v>1.0803651354125856</v>
      </c>
      <c r="V396" s="17">
        <f t="shared" si="258"/>
        <v>0.38814428840839049</v>
      </c>
      <c r="W396" s="31" t="str">
        <f t="shared" si="248"/>
        <v>1-1.27777281904889i</v>
      </c>
      <c r="X396" s="17">
        <f t="shared" si="259"/>
        <v>1.6225607468135506</v>
      </c>
      <c r="Y396" s="17">
        <f t="shared" si="260"/>
        <v>-0.906748280460561</v>
      </c>
      <c r="Z396" s="31" t="str">
        <f t="shared" si="249"/>
        <v>0.772028115027525+11.2718079275174i</v>
      </c>
      <c r="AA396" s="17">
        <f t="shared" si="261"/>
        <v>11.298215848762894</v>
      </c>
      <c r="AB396" s="17">
        <f t="shared" si="262"/>
        <v>1.5024111773958131</v>
      </c>
      <c r="AC396" s="66" t="str">
        <f t="shared" si="263"/>
        <v>-0.00215618881237812+0.00104200504340924i</v>
      </c>
      <c r="AD396" s="64">
        <f t="shared" si="264"/>
        <v>-52.414722796577081</v>
      </c>
      <c r="AE396" s="61">
        <f t="shared" si="265"/>
        <v>154.2072667776462</v>
      </c>
      <c r="AF396" s="31" t="str">
        <f t="shared" si="250"/>
        <v>-1512.12121212121</v>
      </c>
      <c r="AG396" s="31" t="str">
        <f t="shared" si="266"/>
        <v>378599.353792263i</v>
      </c>
      <c r="AH396" s="31">
        <f t="shared" si="267"/>
        <v>378599.35379226302</v>
      </c>
      <c r="AI396" s="31">
        <f t="shared" si="268"/>
        <v>1.5707963267948966</v>
      </c>
      <c r="AJ396" s="31" t="str">
        <f t="shared" si="251"/>
        <v>-622.129266289331+521.810995553201i</v>
      </c>
      <c r="AK396" s="31">
        <f t="shared" si="269"/>
        <v>811.99232696739443</v>
      </c>
      <c r="AL396" s="31">
        <f t="shared" si="270"/>
        <v>2.4436660908061585</v>
      </c>
      <c r="AM396" s="31" t="str">
        <f t="shared" si="252"/>
        <v>1+2598.70596443009i</v>
      </c>
      <c r="AN396" s="31">
        <f t="shared" si="271"/>
        <v>2598.7061568335353</v>
      </c>
      <c r="AO396" s="31">
        <f t="shared" si="272"/>
        <v>1.5704115199085737</v>
      </c>
      <c r="AP396" s="31" t="str">
        <f t="shared" si="253"/>
        <v>1+99.9502294011574i</v>
      </c>
      <c r="AQ396" s="31">
        <f t="shared" si="273"/>
        <v>99.95523176574595</v>
      </c>
      <c r="AR396" s="31">
        <f t="shared" si="274"/>
        <v>1.560791681068153</v>
      </c>
      <c r="AS396" s="58" t="str">
        <f t="shared" si="275"/>
        <v>-0.81085286846607+0.987395253296967i</v>
      </c>
      <c r="AT396" s="49">
        <f t="shared" si="276"/>
        <v>2.1283503580109637</v>
      </c>
      <c r="AU396" s="61">
        <f t="shared" si="277"/>
        <v>129.39297467139465</v>
      </c>
      <c r="AV396" s="58" t="str">
        <f t="shared" si="254"/>
        <v>0.000719481049697464-0.00297392337695867i</v>
      </c>
      <c r="AW396" s="64">
        <f t="shared" si="278"/>
        <v>-50.286372438566133</v>
      </c>
      <c r="AX396" s="61">
        <f t="shared" si="279"/>
        <v>-76.39975855095912</v>
      </c>
    </row>
    <row r="397" spans="14:50" x14ac:dyDescent="0.25">
      <c r="N397" s="10">
        <v>79</v>
      </c>
      <c r="O397" s="50">
        <f t="shared" si="280"/>
        <v>61659.500186148245</v>
      </c>
      <c r="P397" s="48" t="str">
        <f t="shared" si="245"/>
        <v>304.285714285714</v>
      </c>
      <c r="Q397" s="17" t="str">
        <f t="shared" si="246"/>
        <v>1+20173.4121310902i</v>
      </c>
      <c r="R397" s="17">
        <f t="shared" si="255"/>
        <v>20173.4121558753</v>
      </c>
      <c r="S397" s="17">
        <f t="shared" si="256"/>
        <v>1.5707467565986064</v>
      </c>
      <c r="T397" s="17" t="str">
        <f t="shared" si="247"/>
        <v>1+0.418411510867056i</v>
      </c>
      <c r="U397" s="17">
        <f t="shared" si="257"/>
        <v>1.0840056237981666</v>
      </c>
      <c r="V397" s="17">
        <f t="shared" si="258"/>
        <v>0.39627692934225373</v>
      </c>
      <c r="W397" s="31" t="str">
        <f t="shared" si="248"/>
        <v>1-1.30753597145955i</v>
      </c>
      <c r="X397" s="17">
        <f t="shared" si="259"/>
        <v>1.6461015511385284</v>
      </c>
      <c r="Y397" s="17">
        <f t="shared" si="260"/>
        <v>-0.91789200395487769</v>
      </c>
      <c r="Z397" s="31" t="str">
        <f t="shared" si="249"/>
        <v>0.761284131092346+11.5343620625631i</v>
      </c>
      <c r="AA397" s="17">
        <f t="shared" si="261"/>
        <v>11.559457674067062</v>
      </c>
      <c r="AB397" s="17">
        <f t="shared" si="262"/>
        <v>1.504890507679578</v>
      </c>
      <c r="AC397" s="66" t="str">
        <f t="shared" si="263"/>
        <v>-0.00209081293274441+0.00102461250666427i</v>
      </c>
      <c r="AD397" s="64">
        <f t="shared" si="264"/>
        <v>-52.658941954876333</v>
      </c>
      <c r="AE397" s="61">
        <f t="shared" si="265"/>
        <v>153.89262313799262</v>
      </c>
      <c r="AF397" s="31" t="str">
        <f t="shared" si="250"/>
        <v>-1512.12121212121</v>
      </c>
      <c r="AG397" s="31" t="str">
        <f t="shared" si="266"/>
        <v>387418.065617644i</v>
      </c>
      <c r="AH397" s="31">
        <f t="shared" si="267"/>
        <v>387418.065617644</v>
      </c>
      <c r="AI397" s="31">
        <f t="shared" si="268"/>
        <v>1.5707963267948966</v>
      </c>
      <c r="AJ397" s="31" t="str">
        <f t="shared" si="251"/>
        <v>-651.496443857567+533.965535044633i</v>
      </c>
      <c r="AK397" s="31">
        <f t="shared" si="269"/>
        <v>842.35788651532027</v>
      </c>
      <c r="AL397" s="31">
        <f t="shared" si="270"/>
        <v>2.455015100540102</v>
      </c>
      <c r="AM397" s="31" t="str">
        <f t="shared" si="252"/>
        <v>1+2659.2376023995i</v>
      </c>
      <c r="AN397" s="31">
        <f t="shared" si="271"/>
        <v>2659.2377904233085</v>
      </c>
      <c r="AO397" s="31">
        <f t="shared" si="272"/>
        <v>1.5704202791818662</v>
      </c>
      <c r="AP397" s="31" t="str">
        <f t="shared" si="253"/>
        <v>1+102.278369323058i</v>
      </c>
      <c r="AQ397" s="31">
        <f t="shared" si="273"/>
        <v>102.28325782543226</v>
      </c>
      <c r="AR397" s="31">
        <f t="shared" si="274"/>
        <v>1.5610193999270845</v>
      </c>
      <c r="AS397" s="58" t="str">
        <f t="shared" si="275"/>
        <v>-0.788955117727204+0.982797238999025i</v>
      </c>
      <c r="AT397" s="49">
        <f t="shared" si="276"/>
        <v>2.0094363463561966</v>
      </c>
      <c r="AU397" s="61">
        <f t="shared" si="277"/>
        <v>128.75627351091032</v>
      </c>
      <c r="AV397" s="58" t="str">
        <f t="shared" si="254"/>
        <v>0.000642571220905412-0.00286321845838474i</v>
      </c>
      <c r="AW397" s="64">
        <f t="shared" si="278"/>
        <v>-50.649505608520123</v>
      </c>
      <c r="AX397" s="61">
        <f t="shared" si="279"/>
        <v>-77.351103351097095</v>
      </c>
    </row>
    <row r="398" spans="14:50" x14ac:dyDescent="0.25">
      <c r="N398" s="10">
        <v>80</v>
      </c>
      <c r="O398" s="50">
        <f t="shared" si="280"/>
        <v>63095.734448019342</v>
      </c>
      <c r="P398" s="48" t="str">
        <f t="shared" si="245"/>
        <v>304.285714285714</v>
      </c>
      <c r="Q398" s="17" t="str">
        <f t="shared" si="246"/>
        <v>1+20643.3112641362i</v>
      </c>
      <c r="R398" s="17">
        <f t="shared" si="255"/>
        <v>20643.311288357116</v>
      </c>
      <c r="S398" s="17">
        <f t="shared" si="256"/>
        <v>1.5707478849540299</v>
      </c>
      <c r="T398" s="17" t="str">
        <f t="shared" si="247"/>
        <v>1+0.42815756695986i</v>
      </c>
      <c r="U398" s="17">
        <f t="shared" si="257"/>
        <v>1.0878046249878639</v>
      </c>
      <c r="V398" s="17">
        <f t="shared" si="258"/>
        <v>0.40454209219259357</v>
      </c>
      <c r="W398" s="31" t="str">
        <f t="shared" si="248"/>
        <v>1-1.33799239674956i</v>
      </c>
      <c r="X398" s="17">
        <f t="shared" si="259"/>
        <v>1.6703962565091051</v>
      </c>
      <c r="Y398" s="17">
        <f t="shared" si="260"/>
        <v>-0.92896873669137869</v>
      </c>
      <c r="Z398" s="31" t="str">
        <f t="shared" si="249"/>
        <v>0.75003379879402+11.8030318690498i</v>
      </c>
      <c r="AA398" s="17">
        <f t="shared" si="261"/>
        <v>11.826838630891123</v>
      </c>
      <c r="AB398" s="17">
        <f t="shared" si="262"/>
        <v>1.5073357955053472</v>
      </c>
      <c r="AC398" s="66" t="str">
        <f t="shared" si="263"/>
        <v>-0.00202833512090531+0.00100725544263474i</v>
      </c>
      <c r="AD398" s="64">
        <f t="shared" si="264"/>
        <v>-52.899921205768706</v>
      </c>
      <c r="AE398" s="61">
        <f t="shared" si="265"/>
        <v>153.5913627275946</v>
      </c>
      <c r="AF398" s="31" t="str">
        <f t="shared" si="250"/>
        <v>-1512.12121212121</v>
      </c>
      <c r="AG398" s="31" t="str">
        <f t="shared" si="266"/>
        <v>396442.1916295i</v>
      </c>
      <c r="AH398" s="31">
        <f t="shared" si="267"/>
        <v>396442.19162950001</v>
      </c>
      <c r="AI398" s="31">
        <f t="shared" si="268"/>
        <v>1.5707963267948966</v>
      </c>
      <c r="AJ398" s="31" t="str">
        <f t="shared" si="251"/>
        <v>-682.247653864948+546.403190130616i</v>
      </c>
      <c r="AK398" s="31">
        <f t="shared" si="269"/>
        <v>874.08140775853371</v>
      </c>
      <c r="AL398" s="31">
        <f t="shared" si="270"/>
        <v>2.4663111690358299</v>
      </c>
      <c r="AM398" s="31" t="str">
        <f t="shared" si="252"/>
        <v>1+2721.17920334488i</v>
      </c>
      <c r="AN398" s="31">
        <f t="shared" si="271"/>
        <v>2721.1793870887445</v>
      </c>
      <c r="AO398" s="31">
        <f t="shared" si="272"/>
        <v>1.5704288390698122</v>
      </c>
      <c r="AP398" s="31" t="str">
        <f t="shared" si="253"/>
        <v>1+104.660738590188i</v>
      </c>
      <c r="AQ398" s="31">
        <f t="shared" si="273"/>
        <v>104.66551582180095</v>
      </c>
      <c r="AR398" s="31">
        <f t="shared" si="274"/>
        <v>1.5612419362517778</v>
      </c>
      <c r="AS398" s="58" t="str">
        <f t="shared" si="275"/>
        <v>-0.767258169553308+0.977736762405705i</v>
      </c>
      <c r="AT398" s="49">
        <f t="shared" si="276"/>
        <v>1.8883129079739505</v>
      </c>
      <c r="AU398" s="61">
        <f t="shared" si="277"/>
        <v>128.12229729866024</v>
      </c>
      <c r="AV398" s="58" t="str">
        <f t="shared" si="254"/>
        <v>0.00057142601670928-0.00275600278137628i</v>
      </c>
      <c r="AW398" s="64">
        <f t="shared" si="278"/>
        <v>-51.011608297794766</v>
      </c>
      <c r="AX398" s="61">
        <f t="shared" si="279"/>
        <v>-78.286339973745157</v>
      </c>
    </row>
    <row r="399" spans="14:50" x14ac:dyDescent="0.25">
      <c r="N399" s="10">
        <v>81</v>
      </c>
      <c r="O399" s="50">
        <f t="shared" si="280"/>
        <v>64565.422903465682</v>
      </c>
      <c r="P399" s="48" t="str">
        <f t="shared" si="245"/>
        <v>304.285714285714</v>
      </c>
      <c r="Q399" s="17" t="str">
        <f t="shared" si="246"/>
        <v>1+21124.1557540609i</v>
      </c>
      <c r="R399" s="17">
        <f t="shared" si="255"/>
        <v>21124.155777730481</v>
      </c>
      <c r="S399" s="17">
        <f t="shared" si="256"/>
        <v>1.5707489876249485</v>
      </c>
      <c r="T399" s="17" t="str">
        <f t="shared" si="247"/>
        <v>1+0.438130637862003i</v>
      </c>
      <c r="U399" s="17">
        <f t="shared" si="257"/>
        <v>1.0917684991944792</v>
      </c>
      <c r="V399" s="17">
        <f t="shared" si="258"/>
        <v>0.41293964126777044</v>
      </c>
      <c r="W399" s="31" t="str">
        <f t="shared" si="248"/>
        <v>1-1.36915824331876i</v>
      </c>
      <c r="X399" s="17">
        <f t="shared" si="259"/>
        <v>1.6954628557558296</v>
      </c>
      <c r="Y399" s="17">
        <f t="shared" si="260"/>
        <v>-0.93997347973566769</v>
      </c>
      <c r="Z399" s="31" t="str">
        <f t="shared" si="249"/>
        <v>0.738253254669382+12.0779597992651i</v>
      </c>
      <c r="AA399" s="17">
        <f t="shared" si="261"/>
        <v>12.10050126154672</v>
      </c>
      <c r="AB399" s="17">
        <f t="shared" si="262"/>
        <v>1.5097482759905669</v>
      </c>
      <c r="AC399" s="66" t="str">
        <f t="shared" si="263"/>
        <v>-0.00196862863654283+0.000989958057878982i</v>
      </c>
      <c r="AD399" s="64">
        <f t="shared" si="264"/>
        <v>-53.137646404086667</v>
      </c>
      <c r="AE399" s="61">
        <f t="shared" si="265"/>
        <v>153.30369338844193</v>
      </c>
      <c r="AF399" s="31" t="str">
        <f t="shared" si="250"/>
        <v>-1512.12121212121</v>
      </c>
      <c r="AG399" s="31" t="str">
        <f t="shared" si="266"/>
        <v>405676.516538892i</v>
      </c>
      <c r="AH399" s="31">
        <f t="shared" si="267"/>
        <v>405676.516538892</v>
      </c>
      <c r="AI399" s="31">
        <f t="shared" si="268"/>
        <v>1.5707963267948966</v>
      </c>
      <c r="AJ399" s="31" t="str">
        <f t="shared" si="251"/>
        <v>-714.448123750791+559.130555420509i</v>
      </c>
      <c r="AK399" s="31">
        <f t="shared" si="269"/>
        <v>907.22825106798359</v>
      </c>
      <c r="AL399" s="31">
        <f t="shared" si="270"/>
        <v>2.4775488855121104</v>
      </c>
      <c r="AM399" s="31" t="str">
        <f t="shared" si="252"/>
        <v>1+2784.56360952295i</v>
      </c>
      <c r="AN399" s="31">
        <f t="shared" si="271"/>
        <v>2784.5637890842941</v>
      </c>
      <c r="AO399" s="31">
        <f t="shared" si="272"/>
        <v>1.5704372041109722</v>
      </c>
      <c r="AP399" s="31" t="str">
        <f t="shared" si="253"/>
        <v>1+107.098600366267i</v>
      </c>
      <c r="AQ399" s="31">
        <f t="shared" si="273"/>
        <v>107.10326885960748</v>
      </c>
      <c r="AR399" s="31">
        <f t="shared" si="274"/>
        <v>1.5614594079457229</v>
      </c>
      <c r="AS399" s="58" t="str">
        <f t="shared" si="275"/>
        <v>-0.745781945445953+0.97222537094623i</v>
      </c>
      <c r="AT399" s="49">
        <f t="shared" si="276"/>
        <v>1.7650013777627551</v>
      </c>
      <c r="AU399" s="61">
        <f t="shared" si="277"/>
        <v>127.49136306498519</v>
      </c>
      <c r="AV399" s="58" t="str">
        <f t="shared" si="254"/>
        <v>0.000505705354378923-0.00265224355273311i</v>
      </c>
      <c r="AW399" s="64">
        <f t="shared" si="278"/>
        <v>-51.372645026323909</v>
      </c>
      <c r="AX399" s="61">
        <f t="shared" si="279"/>
        <v>-79.204943546572878</v>
      </c>
    </row>
    <row r="400" spans="14:50" x14ac:dyDescent="0.25">
      <c r="N400" s="10">
        <v>82</v>
      </c>
      <c r="O400" s="50">
        <f t="shared" si="280"/>
        <v>66069.344800759733</v>
      </c>
      <c r="P400" s="48" t="str">
        <f t="shared" si="245"/>
        <v>304.285714285714</v>
      </c>
      <c r="Q400" s="17" t="str">
        <f t="shared" si="246"/>
        <v>1+21616.2005509777i</v>
      </c>
      <c r="R400" s="17">
        <f t="shared" si="255"/>
        <v>21616.200574108501</v>
      </c>
      <c r="S400" s="17">
        <f t="shared" si="256"/>
        <v>1.5707500651960125</v>
      </c>
      <c r="T400" s="17" t="str">
        <f t="shared" si="247"/>
        <v>1+0.448336011427685i</v>
      </c>
      <c r="U400" s="17">
        <f t="shared" si="257"/>
        <v>1.0959038183813785</v>
      </c>
      <c r="V400" s="17">
        <f t="shared" si="258"/>
        <v>0.42146929052634752</v>
      </c>
      <c r="W400" s="31" t="str">
        <f t="shared" si="248"/>
        <v>1-1.40105003571152i</v>
      </c>
      <c r="X400" s="17">
        <f t="shared" si="259"/>
        <v>1.7213196108123709</v>
      </c>
      <c r="Y400" s="17">
        <f t="shared" si="260"/>
        <v>-0.9509014065006659</v>
      </c>
      <c r="Z400" s="31" t="str">
        <f t="shared" si="249"/>
        <v>0.725917510604901+12.3592916236367i</v>
      </c>
      <c r="AA400" s="17">
        <f t="shared" si="261"/>
        <v>12.380591491132366</v>
      </c>
      <c r="AB400" s="17">
        <f t="shared" si="262"/>
        <v>1.5121291707760907</v>
      </c>
      <c r="AC400" s="66" t="str">
        <f t="shared" si="263"/>
        <v>-0.00191157211578912+0.000972742412001699i</v>
      </c>
      <c r="AD400" s="64">
        <f t="shared" si="264"/>
        <v>-53.372104703238875</v>
      </c>
      <c r="AE400" s="61">
        <f t="shared" si="265"/>
        <v>153.02980524627355</v>
      </c>
      <c r="AF400" s="31" t="str">
        <f t="shared" si="250"/>
        <v>-1512.12121212121</v>
      </c>
      <c r="AG400" s="31" t="str">
        <f t="shared" si="266"/>
        <v>415125.936507116i</v>
      </c>
      <c r="AH400" s="31">
        <f t="shared" si="267"/>
        <v>415125.93650711601</v>
      </c>
      <c r="AI400" s="31">
        <f t="shared" si="268"/>
        <v>1.5707963267948966</v>
      </c>
      <c r="AJ400" s="31" t="str">
        <f t="shared" si="251"/>
        <v>-748.166155028906+572.154379131853i</v>
      </c>
      <c r="AK400" s="31">
        <f t="shared" si="269"/>
        <v>941.86688501639833</v>
      </c>
      <c r="AL400" s="31">
        <f t="shared" si="270"/>
        <v>2.4887229816721046</v>
      </c>
      <c r="AM400" s="31" t="str">
        <f t="shared" si="252"/>
        <v>1+2849.42442818484i</v>
      </c>
      <c r="AN400" s="31">
        <f t="shared" si="271"/>
        <v>2849.4246036588688</v>
      </c>
      <c r="AO400" s="31">
        <f t="shared" si="272"/>
        <v>1.570445378740597</v>
      </c>
      <c r="AP400" s="31" t="str">
        <f t="shared" si="253"/>
        <v>1+109.593247237879i</v>
      </c>
      <c r="AQ400" s="31">
        <f t="shared" si="273"/>
        <v>109.59780946781225</v>
      </c>
      <c r="AR400" s="31">
        <f t="shared" si="274"/>
        <v>1.5616719302329631</v>
      </c>
      <c r="AS400" s="58" t="str">
        <f t="shared" si="275"/>
        <v>-0.72454550111001+0.966275609998543i</v>
      </c>
      <c r="AT400" s="49">
        <f t="shared" si="276"/>
        <v>1.6395250692083616</v>
      </c>
      <c r="AU400" s="61">
        <f t="shared" si="277"/>
        <v>126.86377951703207</v>
      </c>
      <c r="AV400" s="58" t="str">
        <f t="shared" si="254"/>
        <v>0.000445083709013954-0.00255190165059507i</v>
      </c>
      <c r="AW400" s="64">
        <f t="shared" si="278"/>
        <v>-51.7325796340305</v>
      </c>
      <c r="AX400" s="61">
        <f t="shared" si="279"/>
        <v>-80.106415236694417</v>
      </c>
    </row>
    <row r="401" spans="14:50" x14ac:dyDescent="0.25">
      <c r="N401" s="10">
        <v>83</v>
      </c>
      <c r="O401" s="50">
        <f t="shared" si="280"/>
        <v>67608.297539198305</v>
      </c>
      <c r="P401" s="48" t="str">
        <f t="shared" si="245"/>
        <v>304.285714285714</v>
      </c>
      <c r="Q401" s="17" t="str">
        <f t="shared" si="246"/>
        <v>1+22119.7065435509i</v>
      </c>
      <c r="R401" s="17">
        <f t="shared" si="255"/>
        <v>22119.706566155179</v>
      </c>
      <c r="S401" s="17">
        <f t="shared" si="256"/>
        <v>1.5707511182385647</v>
      </c>
      <c r="T401" s="17" t="str">
        <f t="shared" si="247"/>
        <v>1+0.458779098681054i</v>
      </c>
      <c r="U401" s="17">
        <f t="shared" si="257"/>
        <v>1.1002173700622075</v>
      </c>
      <c r="V401" s="17">
        <f t="shared" si="258"/>
        <v>0.43013059686467403</v>
      </c>
      <c r="W401" s="31" t="str">
        <f t="shared" si="248"/>
        <v>1-1.4336846833783i</v>
      </c>
      <c r="X401" s="17">
        <f t="shared" si="259"/>
        <v>1.7479850603919749</v>
      </c>
      <c r="Y401" s="17">
        <f t="shared" si="260"/>
        <v>-0.96174787128752337</v>
      </c>
      <c r="Z401" s="31" t="str">
        <f t="shared" si="249"/>
        <v>0.713000400833533+12.6471765080216i</v>
      </c>
      <c r="AA401" s="17">
        <f t="shared" si="261"/>
        <v>12.667258708838396</v>
      </c>
      <c r="AB401" s="17">
        <f t="shared" si="262"/>
        <v>1.5144796884095075</v>
      </c>
      <c r="AC401" s="66" t="str">
        <f t="shared" si="263"/>
        <v>-0.00185704935707246+0.000955628569215268i</v>
      </c>
      <c r="AD401" s="64">
        <f t="shared" si="264"/>
        <v>-53.603284493851511</v>
      </c>
      <c r="AE401" s="61">
        <f t="shared" si="265"/>
        <v>152.76986981464557</v>
      </c>
      <c r="AF401" s="31" t="str">
        <f t="shared" si="250"/>
        <v>-1512.12121212121</v>
      </c>
      <c r="AG401" s="31" t="str">
        <f t="shared" si="266"/>
        <v>424795.461741717i</v>
      </c>
      <c r="AH401" s="31">
        <f t="shared" si="267"/>
        <v>424795.46174171701</v>
      </c>
      <c r="AI401" s="31">
        <f t="shared" si="268"/>
        <v>1.5707963267948966</v>
      </c>
      <c r="AJ401" s="31" t="str">
        <f t="shared" si="251"/>
        <v>-783.473268164296+585.481566668371i</v>
      </c>
      <c r="AK401" s="31">
        <f t="shared" si="269"/>
        <v>978.0690296888522</v>
      </c>
      <c r="AL401" s="31">
        <f t="shared" si="270"/>
        <v>2.4998283428816475</v>
      </c>
      <c r="AM401" s="31" t="str">
        <f t="shared" si="252"/>
        <v>1+2915.79604939514i</v>
      </c>
      <c r="AN401" s="31">
        <f t="shared" si="271"/>
        <v>2915.7962208748927</v>
      </c>
      <c r="AO401" s="31">
        <f t="shared" si="272"/>
        <v>1.5704533672929792</v>
      </c>
      <c r="AP401" s="31" t="str">
        <f t="shared" si="253"/>
        <v>1+112.146001899813i</v>
      </c>
      <c r="AQ401" s="31">
        <f t="shared" si="273"/>
        <v>112.15046028489077</v>
      </c>
      <c r="AR401" s="31">
        <f t="shared" si="274"/>
        <v>1.5618796157187937</v>
      </c>
      <c r="AS401" s="58" t="str">
        <f t="shared" si="275"/>
        <v>-0.703566967101047+0.959900948351169i</v>
      </c>
      <c r="AT401" s="49">
        <f t="shared" si="276"/>
        <v>1.5119091834355045</v>
      </c>
      <c r="AU401" s="61">
        <f t="shared" si="277"/>
        <v>126.23984640189721</v>
      </c>
      <c r="AV401" s="58" t="str">
        <f t="shared" si="254"/>
        <v>0.000389249814051214-0.00245493213310668i</v>
      </c>
      <c r="AW401" s="64">
        <f t="shared" si="278"/>
        <v>-52.091375310416012</v>
      </c>
      <c r="AX401" s="61">
        <f t="shared" si="279"/>
        <v>-80.990283783457187</v>
      </c>
    </row>
    <row r="402" spans="14:50" x14ac:dyDescent="0.25">
      <c r="N402" s="10">
        <v>84</v>
      </c>
      <c r="O402" s="50">
        <f t="shared" si="280"/>
        <v>69183.097091893651</v>
      </c>
      <c r="P402" s="48" t="str">
        <f t="shared" si="245"/>
        <v>304.285714285714</v>
      </c>
      <c r="Q402" s="17" t="str">
        <f t="shared" si="246"/>
        <v>1+22634.9406973223i</v>
      </c>
      <c r="R402" s="17">
        <f t="shared" si="255"/>
        <v>22634.940719412043</v>
      </c>
      <c r="S402" s="17">
        <f t="shared" si="256"/>
        <v>1.570752147310942</v>
      </c>
      <c r="T402" s="17" t="str">
        <f t="shared" si="247"/>
        <v>1+0.469465436685202i</v>
      </c>
      <c r="U402" s="17">
        <f t="shared" si="257"/>
        <v>1.1047161609400069</v>
      </c>
      <c r="V402" s="17">
        <f t="shared" si="258"/>
        <v>0.4389229535396641</v>
      </c>
      <c r="W402" s="31" t="str">
        <f t="shared" si="248"/>
        <v>1-1.46707948964126i</v>
      </c>
      <c r="X402" s="17">
        <f t="shared" si="259"/>
        <v>1.7754780282859206</v>
      </c>
      <c r="Y402" s="17">
        <f t="shared" si="260"/>
        <v>-0.97250841684902301</v>
      </c>
      <c r="Z402" s="31" t="str">
        <f t="shared" si="249"/>
        <v>0.699474526433629+12.9417670927963i</v>
      </c>
      <c r="AA402" s="17">
        <f t="shared" si="261"/>
        <v>12.960655851357014</v>
      </c>
      <c r="AB402" s="17">
        <f t="shared" si="262"/>
        <v>1.5168010247378947</v>
      </c>
      <c r="AC402" s="66" t="str">
        <f t="shared" si="263"/>
        <v>-0.00180494911421859+0.000938634740095286i</v>
      </c>
      <c r="AD402" s="64">
        <f t="shared" si="264"/>
        <v>-53.831175343999206</v>
      </c>
      <c r="AE402" s="61">
        <f t="shared" si="265"/>
        <v>152.52403916221303</v>
      </c>
      <c r="AF402" s="31" t="str">
        <f t="shared" si="250"/>
        <v>-1512.12121212121</v>
      </c>
      <c r="AG402" s="31" t="str">
        <f t="shared" si="266"/>
        <v>434690.219152965i</v>
      </c>
      <c r="AH402" s="31">
        <f t="shared" si="267"/>
        <v>434690.219152965</v>
      </c>
      <c r="AI402" s="31">
        <f t="shared" si="268"/>
        <v>1.5707963267948966</v>
      </c>
      <c r="AJ402" s="31" t="str">
        <f t="shared" si="251"/>
        <v>-820.444354277617+599.1191842813i</v>
      </c>
      <c r="AK402" s="31">
        <f t="shared" si="269"/>
        <v>1015.9098067446275</v>
      </c>
      <c r="AL402" s="31">
        <f t="shared" si="270"/>
        <v>2.5108600184557668</v>
      </c>
      <c r="AM402" s="31" t="str">
        <f t="shared" si="252"/>
        <v>1+2983.71366426595i</v>
      </c>
      <c r="AN402" s="31">
        <f t="shared" si="271"/>
        <v>2983.7138318423467</v>
      </c>
      <c r="AO402" s="31">
        <f t="shared" si="272"/>
        <v>1.5704611740037511</v>
      </c>
      <c r="AP402" s="31" t="str">
        <f t="shared" si="253"/>
        <v>1+114.758217856383i</v>
      </c>
      <c r="AQ402" s="31">
        <f t="shared" si="273"/>
        <v>114.76257476012405</v>
      </c>
      <c r="AR402" s="31">
        <f t="shared" si="274"/>
        <v>1.5620825744491023</v>
      </c>
      <c r="AS402" s="58" t="str">
        <f t="shared" si="275"/>
        <v>-0.68286349677957+0.953115699942197i</v>
      </c>
      <c r="AT402" s="49">
        <f t="shared" si="276"/>
        <v>1.382180712615414</v>
      </c>
      <c r="AU402" s="61">
        <f t="shared" si="277"/>
        <v>125.61985392078368</v>
      </c>
      <c r="AV402" s="58" t="str">
        <f t="shared" si="254"/>
        <v>0.000337906356348513-0.00236128473917875i</v>
      </c>
      <c r="AW402" s="64">
        <f t="shared" si="278"/>
        <v>-52.448994631383783</v>
      </c>
      <c r="AX402" s="61">
        <f t="shared" si="279"/>
        <v>-81.856106917003302</v>
      </c>
    </row>
    <row r="403" spans="14:50" x14ac:dyDescent="0.25">
      <c r="N403" s="10">
        <v>85</v>
      </c>
      <c r="O403" s="50">
        <f t="shared" si="280"/>
        <v>70794.578438413781</v>
      </c>
      <c r="P403" s="48" t="str">
        <f t="shared" ref="P403:P466" si="281">COMPLEX(Adc,0)</f>
        <v>304.285714285714</v>
      </c>
      <c r="Q403" s="17" t="str">
        <f t="shared" ref="Q403:Q466" si="282">IMSUM(COMPLEX(1,0),IMDIV(COMPLEX(0,2*PI()*O403),COMPLEX(wp_lf,0)))</f>
        <v>1+23162.1761962603i</v>
      </c>
      <c r="R403" s="17">
        <f t="shared" si="255"/>
        <v>23162.17621784722</v>
      </c>
      <c r="S403" s="17">
        <f t="shared" si="256"/>
        <v>1.5707531529587724</v>
      </c>
      <c r="T403" s="17" t="str">
        <f t="shared" ref="T403:T466" si="283">IMSUM(COMPLEX(1,0),IMDIV(COMPLEX(0,2*PI()*O403),COMPLEX(wz_esr,0)))</f>
        <v>1+0.480400691477991i</v>
      </c>
      <c r="U403" s="17">
        <f t="shared" si="257"/>
        <v>1.1094074203702318</v>
      </c>
      <c r="V403" s="17">
        <f t="shared" si="258"/>
        <v>0.44784558377136363</v>
      </c>
      <c r="W403" s="31" t="str">
        <f t="shared" ref="W403:W466" si="284">IMSUB(COMPLEX(1,0),IMDIV(COMPLEX(0,2*PI()*O403),COMPLEX(wz_rhp,0)))</f>
        <v>1-1.50125216086872i</v>
      </c>
      <c r="X403" s="17">
        <f t="shared" si="259"/>
        <v>1.8038176322768886</v>
      </c>
      <c r="Y403" s="17">
        <f t="shared" si="260"/>
        <v>-0.98317878096287636</v>
      </c>
      <c r="Z403" s="31" t="str">
        <f t="shared" ref="Z403:Z466" si="285">IMSUM(COMPLEX(1,0),IMDIV(COMPLEX(0,2*PI()*O403),COMPLEX(Q*(wsl/2),0)),IMDIV(IMPOWER(COMPLEX(0,2*PI()*O403),2),IMPOWER(COMPLEX(wsl/2,0),2)))</f>
        <v>0.685311197212138+13.2432195737881i</v>
      </c>
      <c r="AA403" s="17">
        <f t="shared" si="261"/>
        <v>13.260939488459655</v>
      </c>
      <c r="AB403" s="17">
        <f t="shared" si="262"/>
        <v>1.5190943633091345</v>
      </c>
      <c r="AC403" s="66" t="str">
        <f t="shared" si="263"/>
        <v>-0.00175516489667937+0.00092177741412713i</v>
      </c>
      <c r="AD403" s="64">
        <f t="shared" si="264"/>
        <v>-54.055767941872183</v>
      </c>
      <c r="AE403" s="61">
        <f t="shared" si="265"/>
        <v>152.29244514655056</v>
      </c>
      <c r="AF403" s="31" t="str">
        <f t="shared" ref="AF403:AF466" si="286">COMPLEX(Adc_ea_iso,0)</f>
        <v>-1512.12121212121</v>
      </c>
      <c r="AG403" s="31" t="str">
        <f t="shared" si="266"/>
        <v>444815.455072214i</v>
      </c>
      <c r="AH403" s="31">
        <f t="shared" si="267"/>
        <v>444815.45507221401</v>
      </c>
      <c r="AI403" s="31">
        <f t="shared" si="268"/>
        <v>1.5707963267948966</v>
      </c>
      <c r="AJ403" s="31" t="str">
        <f t="shared" ref="AJ403:AJ466" si="287">IMSUM(IMPRODUCT(COMPLEX(wpA_ea_iso,0),IMPOWER(COMPLEX(0,2*PI()*O403),2)),COMPLEX(0,wpB_ea_iso*2*PI()*O403),COMPLEX(1,0))</f>
        <v>-859.157833999329+613.074462816016i</v>
      </c>
      <c r="AK403" s="31">
        <f t="shared" si="269"/>
        <v>1055.467896565104</v>
      </c>
      <c r="AL403" s="31">
        <f t="shared" si="270"/>
        <v>2.5218132310146659</v>
      </c>
      <c r="AM403" s="31" t="str">
        <f t="shared" ref="AM403:AM466" si="288">IMSUM(COMPLEX(1,0),IMDIV(COMPLEX(0,2*PI()*O403),COMPLEX(wz1_ea_iso,0)))</f>
        <v>1+3053.21328361567i</v>
      </c>
      <c r="AN403" s="31">
        <f t="shared" si="271"/>
        <v>3053.2134473775632</v>
      </c>
      <c r="AO403" s="31">
        <f t="shared" si="272"/>
        <v>1.5704688030121301</v>
      </c>
      <c r="AP403" s="31" t="str">
        <f t="shared" ref="AP403:AP466" si="289">IMSUM(COMPLEX(1,0),IMDIV(COMPLEX(0,2*PI()*O403),COMPLEX(wz2_ea_iso,0)))</f>
        <v>1+117.431280139064i</v>
      </c>
      <c r="AQ403" s="31">
        <f t="shared" si="273"/>
        <v>117.43553787120544</v>
      </c>
      <c r="AR403" s="31">
        <f t="shared" si="274"/>
        <v>1.5622809139683729</v>
      </c>
      <c r="AS403" s="58" t="str">
        <f t="shared" si="275"/>
        <v>-0.662451221781879+0.945934942670031i</v>
      </c>
      <c r="AT403" s="49">
        <f t="shared" si="276"/>
        <v>1.2503683384772293</v>
      </c>
      <c r="AU403" s="61">
        <f t="shared" si="277"/>
        <v>125.00408219639591</v>
      </c>
      <c r="AV403" s="58" t="str">
        <f t="shared" ref="AV403:AV466" si="290">IMPRODUCT(AC403,AS403)</f>
        <v>0.000290769664847038-0.00227090438011631i</v>
      </c>
      <c r="AW403" s="64">
        <f t="shared" si="278"/>
        <v>-52.805399603394946</v>
      </c>
      <c r="AX403" s="61">
        <f t="shared" si="279"/>
        <v>-82.703472657053524</v>
      </c>
    </row>
    <row r="404" spans="14:50" x14ac:dyDescent="0.25">
      <c r="N404" s="10">
        <v>86</v>
      </c>
      <c r="O404" s="50">
        <f t="shared" si="280"/>
        <v>72443.596007499116</v>
      </c>
      <c r="P404" s="48" t="str">
        <f t="shared" si="281"/>
        <v>304.285714285714</v>
      </c>
      <c r="Q404" s="17" t="str">
        <f t="shared" si="282"/>
        <v>1+23701.6925876053i</v>
      </c>
      <c r="R404" s="17">
        <f t="shared" ref="R404:R467" si="291">IMABS(Q404)</f>
        <v>23701.69260870084</v>
      </c>
      <c r="S404" s="17">
        <f t="shared" ref="S404:S467" si="292">IMARGUMENT(Q404)</f>
        <v>1.5707541357152635</v>
      </c>
      <c r="T404" s="17" t="str">
        <f t="shared" si="283"/>
        <v>1+0.491590661076258i</v>
      </c>
      <c r="U404" s="17">
        <f t="shared" ref="U404:U467" si="293">IMABS(T404)</f>
        <v>1.1142986036325238</v>
      </c>
      <c r="V404" s="17">
        <f t="shared" ref="V404:V467" si="294">IMARGUMENT(T404)</f>
        <v>0.45689753457239241</v>
      </c>
      <c r="W404" s="31" t="str">
        <f t="shared" si="284"/>
        <v>1-1.53622081586331i</v>
      </c>
      <c r="X404" s="17">
        <f t="shared" ref="X404:X467" si="295">IMABS(W404)</f>
        <v>1.8330232936577029</v>
      </c>
      <c r="Y404" s="17">
        <f t="shared" ref="Y404:Y467" si="296">IMARGUMENT(W404)</f>
        <v>-0.99375490201116001</v>
      </c>
      <c r="Z404" s="31" t="str">
        <f t="shared" si="285"/>
        <v>0.670480370848869+13.5516937850927i</v>
      </c>
      <c r="AA404" s="17">
        <f t="shared" ref="AA404:AA467" si="297">IMABS(Z404)</f>
        <v>13.568269910810802</v>
      </c>
      <c r="AB404" s="17">
        <f t="shared" ref="AB404:AB467" si="298">IMARGUMENT(Z404)</f>
        <v>1.5213608757810069</v>
      </c>
      <c r="AC404" s="66" t="str">
        <f t="shared" ref="AC404:AC467" si="299">(IMDIV(IMPRODUCT(P404,T404,W404),IMPRODUCT(Q404,Z404)))</f>
        <v>-0.00170759477675018+0.000905071483606948i</v>
      </c>
      <c r="AD404" s="64">
        <f t="shared" ref="AD404:AD467" si="300">20*LOG(IMABS(AC404))</f>
        <v>-54.277054041688508</v>
      </c>
      <c r="AE404" s="61">
        <f t="shared" ref="AE404:AE467" si="301">(180/PI())*IMARGUMENT(AC404)</f>
        <v>152.07519871747226</v>
      </c>
      <c r="AF404" s="31" t="str">
        <f t="shared" si="286"/>
        <v>-1512.12121212121</v>
      </c>
      <c r="AG404" s="31" t="str">
        <f t="shared" ref="AG404:AG467" si="302">COMPLEX(0,1*2*PI()*O404)</f>
        <v>455176.538033572i</v>
      </c>
      <c r="AH404" s="31">
        <f t="shared" ref="AH404:AH467" si="303">IMABS(AG404)</f>
        <v>455176.53803357203</v>
      </c>
      <c r="AI404" s="31">
        <f t="shared" ref="AI404:AI467" si="304">IMARGUMENT(AG404)</f>
        <v>1.5707963267948966</v>
      </c>
      <c r="AJ404" s="31" t="str">
        <f t="shared" si="287"/>
        <v>-899.695823810327+627.354801545918i</v>
      </c>
      <c r="AK404" s="31">
        <f t="shared" ref="AK404:AK467" si="305">IMABS(AJ404)</f>
        <v>1096.8257028372652</v>
      </c>
      <c r="AL404" s="31">
        <f t="shared" ref="AL404:AL467" si="306">IMARGUMENT(AJ404)</f>
        <v>2.532683384879546</v>
      </c>
      <c r="AM404" s="31" t="str">
        <f t="shared" si="288"/>
        <v>1+3124.33175706243i</v>
      </c>
      <c r="AN404" s="31">
        <f t="shared" ref="AN404:AN467" si="307">IMABS(AM404)</f>
        <v>3124.3319170966474</v>
      </c>
      <c r="AO404" s="31">
        <f t="shared" ref="AO404:AO467" si="308">IMARGUMENT(AM404)</f>
        <v>1.5704762583631138</v>
      </c>
      <c r="AP404" s="31" t="str">
        <f t="shared" si="289"/>
        <v>1+120.166606040863i</v>
      </c>
      <c r="AQ404" s="31">
        <f t="shared" ref="AQ404:AQ467" si="309">IMABS(AP404)</f>
        <v>120.17076685858326</v>
      </c>
      <c r="AR404" s="31">
        <f t="shared" ref="AR404:AR467" si="310">IMARGUMENT(AP404)</f>
        <v>1.5624747393763891</v>
      </c>
      <c r="AS404" s="58" t="str">
        <f t="shared" ref="AS404:AS467" si="311">IMDIV(IMPRODUCT(AF404,AM404,AP404),IMPRODUCT(AG404,AJ404))</f>
        <v>-0.642345215124211+0.938374435074296i</v>
      </c>
      <c r="AT404" s="49">
        <f t="shared" ref="AT404:AT467" si="312">20*LOG(IMABS(AS404))</f>
        <v>1.1165023266964522</v>
      </c>
      <c r="AU404" s="61">
        <f t="shared" ref="AU404:AU467" si="313">(180/PI())*IMARGUMENT(AS404)</f>
        <v>124.39280079526839</v>
      </c>
      <c r="AV404" s="58" t="str">
        <f t="shared" si="290"/>
        <v>0.000247569392085049-0.00218373162080906i</v>
      </c>
      <c r="AW404" s="64">
        <f t="shared" ref="AW404:AW467" si="314">20*LOG(IMABS(AV404))</f>
        <v>-53.160551714992074</v>
      </c>
      <c r="AX404" s="61">
        <f t="shared" ref="AX404:AX467" si="315">(180/PI())*IMARGUMENT(AV404)</f>
        <v>-83.532000487259324</v>
      </c>
    </row>
    <row r="405" spans="14:50" x14ac:dyDescent="0.25">
      <c r="N405" s="10">
        <v>87</v>
      </c>
      <c r="O405" s="50">
        <f t="shared" si="280"/>
        <v>74131.024130091857</v>
      </c>
      <c r="P405" s="48" t="str">
        <f t="shared" si="281"/>
        <v>304.285714285714</v>
      </c>
      <c r="Q405" s="17" t="str">
        <f t="shared" si="282"/>
        <v>1+24253.7759300893i</v>
      </c>
      <c r="R405" s="17">
        <f t="shared" si="291"/>
        <v>24253.775950704647</v>
      </c>
      <c r="S405" s="17">
        <f t="shared" si="292"/>
        <v>1.5707550961014856</v>
      </c>
      <c r="T405" s="17" t="str">
        <f t="shared" si="283"/>
        <v>1+0.503041278549998i</v>
      </c>
      <c r="U405" s="17">
        <f t="shared" si="293"/>
        <v>1.1193973949966189</v>
      </c>
      <c r="V405" s="17">
        <f t="shared" si="294"/>
        <v>0.46607767085364471</v>
      </c>
      <c r="W405" s="31" t="str">
        <f t="shared" si="284"/>
        <v>1-1.57200399546875i</v>
      </c>
      <c r="X405" s="17">
        <f t="shared" si="295"/>
        <v>1.8631147473437359</v>
      </c>
      <c r="Y405" s="17">
        <f t="shared" si="296"/>
        <v>-1.0042329235706151</v>
      </c>
      <c r="Z405" s="31" t="str">
        <f t="shared" si="285"/>
        <v>0.654950589172705+13.86735328382i</v>
      </c>
      <c r="AA405" s="17">
        <f t="shared" si="297"/>
        <v>13.882811220085468</v>
      </c>
      <c r="AB405" s="17">
        <f t="shared" si="298"/>
        <v>1.5236017223373115</v>
      </c>
      <c r="AC405" s="66" t="str">
        <f t="shared" si="299"/>
        <v>-0.00166214120362894+0.000888530359428955i</v>
      </c>
      <c r="AD405" s="64">
        <f t="shared" si="300"/>
        <v>-54.495026413609004</v>
      </c>
      <c r="AE405" s="61">
        <f t="shared" si="301"/>
        <v>151.87238929244918</v>
      </c>
      <c r="AF405" s="31" t="str">
        <f t="shared" si="286"/>
        <v>-1512.12121212121</v>
      </c>
      <c r="AG405" s="31" t="str">
        <f t="shared" si="302"/>
        <v>465778.961620369i</v>
      </c>
      <c r="AH405" s="31">
        <f t="shared" si="303"/>
        <v>465778.96162036899</v>
      </c>
      <c r="AI405" s="31">
        <f t="shared" si="304"/>
        <v>1.5707963267948966</v>
      </c>
      <c r="AJ405" s="31" t="str">
        <f t="shared" si="287"/>
        <v>-942.144310222017+641.967772095621i</v>
      </c>
      <c r="AK405" s="31">
        <f t="shared" si="305"/>
        <v>1140.0695249383414</v>
      </c>
      <c r="AL405" s="31">
        <f t="shared" si="306"/>
        <v>2.543466073488069</v>
      </c>
      <c r="AM405" s="31" t="str">
        <f t="shared" si="288"/>
        <v>1+3197.10679256221i</v>
      </c>
      <c r="AN405" s="31">
        <f t="shared" si="307"/>
        <v>3197.1069489536044</v>
      </c>
      <c r="AO405" s="31">
        <f t="shared" si="308"/>
        <v>1.5704835440096248</v>
      </c>
      <c r="AP405" s="31" t="str">
        <f t="shared" si="289"/>
        <v>1+122.965645867777i</v>
      </c>
      <c r="AQ405" s="31">
        <f t="shared" si="309"/>
        <v>122.96971197689103</v>
      </c>
      <c r="AR405" s="31">
        <f t="shared" si="310"/>
        <v>1.5626641533836609</v>
      </c>
      <c r="AS405" s="58" t="str">
        <f t="shared" si="311"/>
        <v>-0.622559461964683+0.930450531675499i</v>
      </c>
      <c r="AT405" s="49">
        <f t="shared" si="312"/>
        <v>0.98061441793226944</v>
      </c>
      <c r="AU405" s="61">
        <f t="shared" si="313"/>
        <v>123.78626830618964</v>
      </c>
      <c r="AV405" s="58" t="str">
        <f t="shared" si="290"/>
        <v>0.00020804818810007-0.00209970314914168i</v>
      </c>
      <c r="AW405" s="64">
        <f t="shared" si="314"/>
        <v>-53.514411995676724</v>
      </c>
      <c r="AX405" s="61">
        <f t="shared" si="315"/>
        <v>-84.341342401361175</v>
      </c>
    </row>
    <row r="406" spans="14:50" x14ac:dyDescent="0.25">
      <c r="N406" s="10">
        <v>88</v>
      </c>
      <c r="O406" s="50">
        <f t="shared" si="280"/>
        <v>75857.757502918481</v>
      </c>
      <c r="P406" s="48" t="str">
        <f t="shared" si="281"/>
        <v>304.285714285714</v>
      </c>
      <c r="Q406" s="17" t="str">
        <f t="shared" si="282"/>
        <v>1+24818.7189456079i</v>
      </c>
      <c r="R406" s="17">
        <f t="shared" si="291"/>
        <v>24818.718965753982</v>
      </c>
      <c r="S406" s="17">
        <f t="shared" si="292"/>
        <v>1.5707560346266485</v>
      </c>
      <c r="T406" s="17" t="str">
        <f t="shared" si="283"/>
        <v>1+0.514758615168163i</v>
      </c>
      <c r="U406" s="17">
        <f t="shared" si="293"/>
        <v>1.1247117105684661</v>
      </c>
      <c r="V406" s="17">
        <f t="shared" si="294"/>
        <v>0.47538466985763345</v>
      </c>
      <c r="W406" s="31" t="str">
        <f t="shared" si="284"/>
        <v>1-1.60862067240051i</v>
      </c>
      <c r="X406" s="17">
        <f t="shared" si="295"/>
        <v>1.8941120525655999</v>
      </c>
      <c r="Y406" s="17">
        <f t="shared" si="296"/>
        <v>-1.0146091980265928</v>
      </c>
      <c r="Z406" s="31" t="str">
        <f t="shared" si="285"/>
        <v>0.638688911434597+14.1903654368145i</v>
      </c>
      <c r="AA406" s="17">
        <f t="shared" si="297"/>
        <v>14.204731421464082</v>
      </c>
      <c r="AB406" s="17">
        <f t="shared" si="298"/>
        <v>1.5258180521103579</v>
      </c>
      <c r="AC406" s="66" t="str">
        <f t="shared" si="299"/>
        <v>-0.00161871082416237+0.000872166079260676i</v>
      </c>
      <c r="AD406" s="64">
        <f t="shared" si="300"/>
        <v>-54.709678798351995</v>
      </c>
      <c r="AE406" s="61">
        <f t="shared" si="301"/>
        <v>151.68408420637766</v>
      </c>
      <c r="AF406" s="31" t="str">
        <f t="shared" si="286"/>
        <v>-1512.12121212121</v>
      </c>
      <c r="AG406" s="31" t="str">
        <f t="shared" si="302"/>
        <v>476628.347377929i</v>
      </c>
      <c r="AH406" s="31">
        <f t="shared" si="303"/>
        <v>476628.34737792902</v>
      </c>
      <c r="AI406" s="31">
        <f t="shared" si="304"/>
        <v>1.5707963267948966</v>
      </c>
      <c r="AJ406" s="31" t="str">
        <f t="shared" si="287"/>
        <v>-986.593332165246+656.921122455537i</v>
      </c>
      <c r="AK406" s="31">
        <f t="shared" si="305"/>
        <v>1185.2897385032768</v>
      </c>
      <c r="AL406" s="31">
        <f t="shared" si="306"/>
        <v>2.5541570858182663</v>
      </c>
      <c r="AM406" s="31" t="str">
        <f t="shared" si="288"/>
        <v>1+3271.5769764021i</v>
      </c>
      <c r="AN406" s="31">
        <f t="shared" si="307"/>
        <v>3271.5771292335917</v>
      </c>
      <c r="AO406" s="31">
        <f t="shared" si="308"/>
        <v>1.5704906638146061</v>
      </c>
      <c r="AP406" s="31" t="str">
        <f t="shared" si="289"/>
        <v>1+125.829883707773i</v>
      </c>
      <c r="AQ406" s="31">
        <f t="shared" si="309"/>
        <v>125.83385726390047</v>
      </c>
      <c r="AR406" s="31">
        <f t="shared" si="310"/>
        <v>1.5628492563656051</v>
      </c>
      <c r="AS406" s="58" t="str">
        <f t="shared" si="311"/>
        <v>-0.603106837960801+0.922180097742851i</v>
      </c>
      <c r="AT406" s="49">
        <f t="shared" si="312"/>
        <v>0.84273771629046412</v>
      </c>
      <c r="AU406" s="61">
        <f t="shared" si="313"/>
        <v>123.18473197536414</v>
      </c>
      <c r="AV406" s="58" t="str">
        <f t="shared" si="290"/>
        <v>0.00017196136651288-0.00201875223228304i</v>
      </c>
      <c r="AW406" s="64">
        <f t="shared" si="314"/>
        <v>-53.86694108206153</v>
      </c>
      <c r="AX406" s="61">
        <f t="shared" si="315"/>
        <v>-85.131183818258194</v>
      </c>
    </row>
    <row r="407" spans="14:50" x14ac:dyDescent="0.25">
      <c r="N407" s="10">
        <v>89</v>
      </c>
      <c r="O407" s="50">
        <f t="shared" si="280"/>
        <v>77624.711662869129</v>
      </c>
      <c r="P407" s="48" t="str">
        <f t="shared" si="281"/>
        <v>304.285714285714</v>
      </c>
      <c r="Q407" s="17" t="str">
        <f t="shared" si="282"/>
        <v>1+25396.8211744261i</v>
      </c>
      <c r="R407" s="17">
        <f t="shared" si="291"/>
        <v>25396.8211941136</v>
      </c>
      <c r="S407" s="17">
        <f t="shared" si="292"/>
        <v>1.5707569517883706</v>
      </c>
      <c r="T407" s="17" t="str">
        <f t="shared" si="283"/>
        <v>1+0.526748883617726i</v>
      </c>
      <c r="U407" s="17">
        <f t="shared" si="293"/>
        <v>1.1302497009035306</v>
      </c>
      <c r="V407" s="17">
        <f t="shared" si="294"/>
        <v>0.4848170159725097</v>
      </c>
      <c r="W407" s="31" t="str">
        <f t="shared" si="284"/>
        <v>1-1.6460902613054i</v>
      </c>
      <c r="X407" s="17">
        <f t="shared" si="295"/>
        <v>1.926035604126902</v>
      </c>
      <c r="Y407" s="17">
        <f t="shared" si="296"/>
        <v>-1.0248802892307565</v>
      </c>
      <c r="Z407" s="31" t="str">
        <f t="shared" si="285"/>
        <v>0.621660844435821+14.5209015093953i</v>
      </c>
      <c r="AA407" s="17">
        <f t="shared" si="297"/>
        <v>14.534202518578835</v>
      </c>
      <c r="AB407" s="17">
        <f t="shared" si="298"/>
        <v>1.5280110036091883</v>
      </c>
      <c r="AC407" s="66" t="str">
        <f t="shared" si="299"/>
        <v>-0.00157721431011943+0.000855989408579014i</v>
      </c>
      <c r="AD407" s="64">
        <f t="shared" si="300"/>
        <v>-54.921005867134333</v>
      </c>
      <c r="AE407" s="61">
        <f t="shared" si="301"/>
        <v>151.51032823761844</v>
      </c>
      <c r="AF407" s="31" t="str">
        <f t="shared" si="286"/>
        <v>-1512.12121212121</v>
      </c>
      <c r="AG407" s="31" t="str">
        <f t="shared" si="302"/>
        <v>487730.447794191i</v>
      </c>
      <c r="AH407" s="31">
        <f t="shared" si="303"/>
        <v>487730.44779419102</v>
      </c>
      <c r="AI407" s="31">
        <f t="shared" si="304"/>
        <v>1.5707963267948966</v>
      </c>
      <c r="AJ407" s="31" t="str">
        <f t="shared" si="287"/>
        <v>-1033.13717197494+672.222781089957i</v>
      </c>
      <c r="AK407" s="31">
        <f t="shared" si="305"/>
        <v>1232.5809845737087</v>
      </c>
      <c r="AL407" s="31">
        <f t="shared" si="306"/>
        <v>2.5647524118185547</v>
      </c>
      <c r="AM407" s="31" t="str">
        <f t="shared" si="288"/>
        <v>1+3347.78179365932i</v>
      </c>
      <c r="AN407" s="31">
        <f t="shared" si="307"/>
        <v>3347.7819430119421</v>
      </c>
      <c r="AO407" s="31">
        <f t="shared" si="308"/>
        <v>1.5704976215530697</v>
      </c>
      <c r="AP407" s="31" t="str">
        <f t="shared" si="289"/>
        <v>1+128.760838217666i</v>
      </c>
      <c r="AQ407" s="31">
        <f t="shared" si="309"/>
        <v>128.76472132737271</v>
      </c>
      <c r="AR407" s="31">
        <f t="shared" si="310"/>
        <v>1.5630301464155059</v>
      </c>
      <c r="AS407" s="58" t="str">
        <f t="shared" si="311"/>
        <v>-0.583999095077959+0.913580424229307i</v>
      </c>
      <c r="AT407" s="49">
        <f t="shared" si="312"/>
        <v>0.70290657597387818</v>
      </c>
      <c r="AU407" s="61">
        <f t="shared" si="313"/>
        <v>122.58842739844643</v>
      </c>
      <c r="AV407" s="58" t="str">
        <f t="shared" si="290"/>
        <v>0.000139076562828345-0.0019408091585459i</v>
      </c>
      <c r="AW407" s="64">
        <f t="shared" si="314"/>
        <v>-54.218099291160478</v>
      </c>
      <c r="AX407" s="61">
        <f t="shared" si="315"/>
        <v>-85.901244363935149</v>
      </c>
    </row>
    <row r="408" spans="14:50" x14ac:dyDescent="0.25">
      <c r="N408" s="10">
        <v>90</v>
      </c>
      <c r="O408" s="50">
        <f t="shared" si="280"/>
        <v>79432.823472428237</v>
      </c>
      <c r="P408" s="48" t="str">
        <f t="shared" si="281"/>
        <v>304.285714285714</v>
      </c>
      <c r="Q408" s="17" t="str">
        <f t="shared" si="282"/>
        <v>1+25988.3891339978i</v>
      </c>
      <c r="R408" s="17">
        <f t="shared" si="291"/>
        <v>25988.38915323716</v>
      </c>
      <c r="S408" s="17">
        <f t="shared" si="292"/>
        <v>1.5707578480729432</v>
      </c>
      <c r="T408" s="17" t="str">
        <f t="shared" si="283"/>
        <v>1+0.539018441297731i</v>
      </c>
      <c r="U408" s="17">
        <f t="shared" si="293"/>
        <v>1.1360197533753695</v>
      </c>
      <c r="V408" s="17">
        <f t="shared" si="294"/>
        <v>0.49437299598108297</v>
      </c>
      <c r="W408" s="31" t="str">
        <f t="shared" si="284"/>
        <v>1-1.68443262905541i</v>
      </c>
      <c r="X408" s="17">
        <f t="shared" si="295"/>
        <v>1.9589061442107227</v>
      </c>
      <c r="Y408" s="17">
        <f t="shared" si="296"/>
        <v>-1.0350429742294931</v>
      </c>
      <c r="Z408" s="31" t="str">
        <f t="shared" si="285"/>
        <v>0.603830269363277+14.8591367561633i</v>
      </c>
      <c r="AA408" s="17">
        <f t="shared" si="297"/>
        <v>14.871400610990294</v>
      </c>
      <c r="AB408" s="17">
        <f t="shared" si="298"/>
        <v>1.5301817051529703</v>
      </c>
      <c r="AC408" s="66" t="str">
        <f t="shared" si="299"/>
        <v>-0.00153756619182738+0.000840009935012674i</v>
      </c>
      <c r="AD408" s="64">
        <f t="shared" si="300"/>
        <v>-55.129003187485296</v>
      </c>
      <c r="AE408" s="61">
        <f t="shared" si="301"/>
        <v>151.3511432119081</v>
      </c>
      <c r="AF408" s="31" t="str">
        <f t="shared" si="286"/>
        <v>-1512.12121212121</v>
      </c>
      <c r="AG408" s="31" t="str">
        <f t="shared" si="302"/>
        <v>499091.149349751i</v>
      </c>
      <c r="AH408" s="31">
        <f t="shared" si="303"/>
        <v>499091.14934975101</v>
      </c>
      <c r="AI408" s="31">
        <f t="shared" si="304"/>
        <v>1.5707963267948966</v>
      </c>
      <c r="AJ408" s="31" t="str">
        <f t="shared" si="287"/>
        <v>-1081.87455537559+687.880861140833i</v>
      </c>
      <c r="AK408" s="31">
        <f t="shared" si="305"/>
        <v>1282.0423677449137</v>
      </c>
      <c r="AL408" s="31">
        <f t="shared" si="306"/>
        <v>2.5752482468499198</v>
      </c>
      <c r="AM408" s="31" t="str">
        <f t="shared" si="288"/>
        <v>1+3425.76164913668i</v>
      </c>
      <c r="AN408" s="31">
        <f t="shared" si="307"/>
        <v>3425.761795089621</v>
      </c>
      <c r="AO408" s="31">
        <f t="shared" si="308"/>
        <v>1.5705044209140981</v>
      </c>
      <c r="AP408" s="31" t="str">
        <f t="shared" si="289"/>
        <v>1+131.760063428334i</v>
      </c>
      <c r="AQ408" s="31">
        <f t="shared" si="309"/>
        <v>131.76385815024773</v>
      </c>
      <c r="AR408" s="31">
        <f t="shared" si="310"/>
        <v>1.5632069193962836</v>
      </c>
      <c r="AS408" s="58" t="str">
        <f t="shared" si="311"/>
        <v>-0.565246854629129+0.904669143574169i</v>
      </c>
      <c r="AT408" s="49">
        <f t="shared" si="312"/>
        <v>0.56115648686568531</v>
      </c>
      <c r="AU408" s="61">
        <f t="shared" si="313"/>
        <v>121.99757826910452</v>
      </c>
      <c r="AV408" s="58" t="str">
        <f t="shared" si="290"/>
        <v>0.000109173385212805-0.00186580166357221i</v>
      </c>
      <c r="AW408" s="64">
        <f t="shared" si="314"/>
        <v>-54.567846700619597</v>
      </c>
      <c r="AX408" s="61">
        <f t="shared" si="315"/>
        <v>-86.651278518987411</v>
      </c>
    </row>
    <row r="409" spans="14:50" x14ac:dyDescent="0.25">
      <c r="N409" s="10">
        <v>91</v>
      </c>
      <c r="O409" s="50">
        <f t="shared" si="280"/>
        <v>81283.051616410012</v>
      </c>
      <c r="P409" s="48" t="str">
        <f t="shared" si="281"/>
        <v>304.285714285714</v>
      </c>
      <c r="Q409" s="17" t="str">
        <f t="shared" si="282"/>
        <v>1+26593.7364814852i</v>
      </c>
      <c r="R409" s="17">
        <f t="shared" si="291"/>
        <v>26593.736500286617</v>
      </c>
      <c r="S409" s="17">
        <f t="shared" si="292"/>
        <v>1.570758723955588</v>
      </c>
      <c r="T409" s="17" t="str">
        <f t="shared" si="283"/>
        <v>1+0.551573793690063i</v>
      </c>
      <c r="U409" s="17">
        <f t="shared" si="293"/>
        <v>1.1420304942888557</v>
      </c>
      <c r="V409" s="17">
        <f t="shared" si="294"/>
        <v>0.50405069479996512</v>
      </c>
      <c r="W409" s="31" t="str">
        <f t="shared" si="284"/>
        <v>1-1.72366810528145i</v>
      </c>
      <c r="X409" s="17">
        <f t="shared" si="295"/>
        <v>1.9927447747176614</v>
      </c>
      <c r="Y409" s="17">
        <f t="shared" si="296"/>
        <v>-1.0450942440961375</v>
      </c>
      <c r="Z409" s="31" t="str">
        <f t="shared" si="285"/>
        <v>0.585159365176652+15.2052505139232i</v>
      </c>
      <c r="AA409" s="17">
        <f t="shared" si="297"/>
        <v>15.216505994275284</v>
      </c>
      <c r="AB409" s="17">
        <f t="shared" si="298"/>
        <v>1.5323312753090279</v>
      </c>
      <c r="AC409" s="66" t="str">
        <f t="shared" si="299"/>
        <v>-0.00149968469800272+0.000824236156410762i</v>
      </c>
      <c r="AD409" s="64">
        <f t="shared" si="300"/>
        <v>-55.333667195391598</v>
      </c>
      <c r="AE409" s="61">
        <f t="shared" si="301"/>
        <v>151.20652768543491</v>
      </c>
      <c r="AF409" s="31" t="str">
        <f t="shared" si="286"/>
        <v>-1512.12121212121</v>
      </c>
      <c r="AG409" s="31" t="str">
        <f t="shared" si="302"/>
        <v>510716.475638947i</v>
      </c>
      <c r="AH409" s="31">
        <f t="shared" si="303"/>
        <v>510716.47563894698</v>
      </c>
      <c r="AI409" s="31">
        <f t="shared" si="304"/>
        <v>1.5707963267948966</v>
      </c>
      <c r="AJ409" s="31" t="str">
        <f t="shared" si="287"/>
        <v>-1132.9088608917+703.903664729465i</v>
      </c>
      <c r="AK409" s="31">
        <f t="shared" si="305"/>
        <v>1333.7776637455361</v>
      </c>
      <c r="AL409" s="31">
        <f t="shared" si="306"/>
        <v>2.5856409951542245</v>
      </c>
      <c r="AM409" s="31" t="str">
        <f t="shared" si="288"/>
        <v>1+3505.55788878572i</v>
      </c>
      <c r="AN409" s="31">
        <f t="shared" si="307"/>
        <v>3505.5580314163672</v>
      </c>
      <c r="AO409" s="31">
        <f t="shared" si="308"/>
        <v>1.5705110655027998</v>
      </c>
      <c r="AP409" s="31" t="str">
        <f t="shared" si="289"/>
        <v>1+134.829149568682i</v>
      </c>
      <c r="AQ409" s="31">
        <f t="shared" si="309"/>
        <v>134.83285791458258</v>
      </c>
      <c r="AR409" s="31">
        <f t="shared" si="310"/>
        <v>1.5633796689910955</v>
      </c>
      <c r="AS409" s="58" t="str">
        <f t="shared" si="311"/>
        <v>-0.546859607257891+0.8954641470271i</v>
      </c>
      <c r="AT409" s="49">
        <f t="shared" si="312"/>
        <v>0.41752395976460882</v>
      </c>
      <c r="AU409" s="61">
        <f t="shared" si="313"/>
        <v>121.41239618331058</v>
      </c>
      <c r="AV409" s="58" t="str">
        <f t="shared" si="290"/>
        <v>0.0000820430582111779-0.00179365533968914i</v>
      </c>
      <c r="AW409" s="64">
        <f t="shared" si="314"/>
        <v>-54.916143235626997</v>
      </c>
      <c r="AX409" s="61">
        <f t="shared" si="315"/>
        <v>-87.381076131254517</v>
      </c>
    </row>
    <row r="410" spans="14:50" x14ac:dyDescent="0.25">
      <c r="N410" s="10">
        <v>92</v>
      </c>
      <c r="O410" s="50">
        <f t="shared" si="280"/>
        <v>83176.377110267174</v>
      </c>
      <c r="P410" s="48" t="str">
        <f t="shared" si="281"/>
        <v>304.285714285714</v>
      </c>
      <c r="Q410" s="17" t="str">
        <f t="shared" si="282"/>
        <v>1+27213.1841800649i</v>
      </c>
      <c r="R410" s="17">
        <f t="shared" si="291"/>
        <v>27213.184198438346</v>
      </c>
      <c r="S410" s="17">
        <f t="shared" si="292"/>
        <v>1.5707595799007099</v>
      </c>
      <c r="T410" s="17" t="str">
        <f t="shared" si="283"/>
        <v>1+0.564421597808752i</v>
      </c>
      <c r="U410" s="17">
        <f t="shared" si="293"/>
        <v>1.1482907907289794</v>
      </c>
      <c r="V410" s="17">
        <f t="shared" si="294"/>
        <v>0.5138479917642973</v>
      </c>
      <c r="W410" s="31" t="str">
        <f t="shared" si="284"/>
        <v>1-1.76381749315235i</v>
      </c>
      <c r="X410" s="17">
        <f t="shared" si="295"/>
        <v>2.027572970117288</v>
      </c>
      <c r="Y410" s="17">
        <f t="shared" si="296"/>
        <v>-1.0550313039053685</v>
      </c>
      <c r="Z410" s="31" t="str">
        <f t="shared" si="285"/>
        <v>0.565608528384914+15.559426296771i</v>
      </c>
      <c r="AA410" s="17">
        <f t="shared" si="297"/>
        <v>15.569703262812386</v>
      </c>
      <c r="AB410" s="17">
        <f t="shared" si="298"/>
        <v>1.534460823335043</v>
      </c>
      <c r="AC410" s="66" t="str">
        <f t="shared" si="299"/>
        <v>-0.00146349160160645+0.000808675563032221i</v>
      </c>
      <c r="AD410" s="64">
        <f t="shared" si="300"/>
        <v>-55.53499517414113</v>
      </c>
      <c r="AE410" s="61">
        <f t="shared" si="301"/>
        <v>151.07645670808526</v>
      </c>
      <c r="AF410" s="31" t="str">
        <f t="shared" si="286"/>
        <v>-1512.12121212121</v>
      </c>
      <c r="AG410" s="31" t="str">
        <f t="shared" si="302"/>
        <v>522612.590563659i</v>
      </c>
      <c r="AH410" s="31">
        <f t="shared" si="303"/>
        <v>522612.59056365897</v>
      </c>
      <c r="AI410" s="31">
        <f t="shared" si="304"/>
        <v>1.5707963267948966</v>
      </c>
      <c r="AJ410" s="31" t="str">
        <f t="shared" si="287"/>
        <v>-1186.34833912758+720.299687358403i</v>
      </c>
      <c r="AK410" s="31">
        <f t="shared" si="305"/>
        <v>1387.8955369044822</v>
      </c>
      <c r="AL410" s="31">
        <f t="shared" si="306"/>
        <v>2.5959272723700137</v>
      </c>
      <c r="AM410" s="31" t="str">
        <f t="shared" si="288"/>
        <v>1+3587.21282162895i</v>
      </c>
      <c r="AN410" s="31">
        <f t="shared" si="307"/>
        <v>3587.2129610129277</v>
      </c>
      <c r="AO410" s="31">
        <f t="shared" si="308"/>
        <v>1.5705175588422213</v>
      </c>
      <c r="AP410" s="31" t="str">
        <f t="shared" si="289"/>
        <v>1+137.969723908806i</v>
      </c>
      <c r="AQ410" s="31">
        <f t="shared" si="309"/>
        <v>137.9733478446912</v>
      </c>
      <c r="AR410" s="31">
        <f t="shared" si="310"/>
        <v>1.5635484867527976</v>
      </c>
      <c r="AS410" s="58" t="str">
        <f t="shared" si="311"/>
        <v>-0.528845719517152+0.885983504094406i</v>
      </c>
      <c r="AT410" s="49">
        <f t="shared" si="312"/>
        <v>0.27204641195819523</v>
      </c>
      <c r="AU410" s="61">
        <f t="shared" si="313"/>
        <v>120.83308049814049</v>
      </c>
      <c r="AV410" s="58" t="str">
        <f t="shared" si="290"/>
        <v>0.0000574880600480684-0.00172429402739173i</v>
      </c>
      <c r="AW410" s="64">
        <f t="shared" si="314"/>
        <v>-55.262948762182937</v>
      </c>
      <c r="AX410" s="61">
        <f t="shared" si="315"/>
        <v>-88.090462793774222</v>
      </c>
    </row>
    <row r="411" spans="14:50" x14ac:dyDescent="0.25">
      <c r="N411" s="10">
        <v>93</v>
      </c>
      <c r="O411" s="50">
        <f t="shared" si="280"/>
        <v>85113.803820237721</v>
      </c>
      <c r="P411" s="48" t="str">
        <f t="shared" si="281"/>
        <v>304.285714285714</v>
      </c>
      <c r="Q411" s="17" t="str">
        <f t="shared" si="282"/>
        <v>1+27847.0606691059i</v>
      </c>
      <c r="R411" s="17">
        <f t="shared" si="291"/>
        <v>27847.060687061115</v>
      </c>
      <c r="S411" s="17">
        <f t="shared" si="292"/>
        <v>1.570760416362142</v>
      </c>
      <c r="T411" s="17" t="str">
        <f t="shared" si="283"/>
        <v>1+0.577568665729602i</v>
      </c>
      <c r="U411" s="17">
        <f t="shared" si="293"/>
        <v>1.1548097521378458</v>
      </c>
      <c r="V411" s="17">
        <f t="shared" si="294"/>
        <v>0.52376255751321033</v>
      </c>
      <c r="W411" s="31" t="str">
        <f t="shared" si="284"/>
        <v>1-1.80490208040501i</v>
      </c>
      <c r="X411" s="17">
        <f t="shared" si="295"/>
        <v>2.0634125907947576</v>
      </c>
      <c r="Y411" s="17">
        <f t="shared" si="296"/>
        <v>-1.0648515718928688</v>
      </c>
      <c r="Z411" s="31" t="str">
        <f t="shared" si="285"/>
        <v>0.545136289042002+15.9218518933946i</v>
      </c>
      <c r="AA411" s="17">
        <f t="shared" si="297"/>
        <v>15.931181415350956</v>
      </c>
      <c r="AB411" s="17">
        <f t="shared" si="298"/>
        <v>1.5365714496249705</v>
      </c>
      <c r="AC411" s="66" t="str">
        <f t="shared" si="299"/>
        <v>-0.00142891207155267+0.000793334714228173i</v>
      </c>
      <c r="AD411" s="64">
        <f t="shared" si="300"/>
        <v>-55.732985240128237</v>
      </c>
      <c r="AE411" s="61">
        <f t="shared" si="301"/>
        <v>150.96088166757988</v>
      </c>
      <c r="AF411" s="31" t="str">
        <f t="shared" si="286"/>
        <v>-1512.12121212121</v>
      </c>
      <c r="AG411" s="31" t="str">
        <f t="shared" si="302"/>
        <v>534785.801601483i</v>
      </c>
      <c r="AH411" s="31">
        <f t="shared" si="303"/>
        <v>534785.80160148302</v>
      </c>
      <c r="AI411" s="31">
        <f t="shared" si="304"/>
        <v>1.5707963267948966</v>
      </c>
      <c r="AJ411" s="31" t="str">
        <f t="shared" si="287"/>
        <v>-1242.30634238131+737.077622415872i</v>
      </c>
      <c r="AK411" s="31">
        <f t="shared" si="305"/>
        <v>1444.5097679791104</v>
      </c>
      <c r="AL411" s="31">
        <f t="shared" si="306"/>
        <v>2.606103907123686</v>
      </c>
      <c r="AM411" s="31" t="str">
        <f t="shared" si="288"/>
        <v>1+3670.76974219257i</v>
      </c>
      <c r="AN411" s="31">
        <f t="shared" si="307"/>
        <v>3670.7698784037811</v>
      </c>
      <c r="AO411" s="31">
        <f t="shared" si="308"/>
        <v>1.5705239043752151</v>
      </c>
      <c r="AP411" s="31" t="str">
        <f t="shared" si="289"/>
        <v>1+141.183451622791i</v>
      </c>
      <c r="AQ411" s="31">
        <f t="shared" si="309"/>
        <v>141.18699306991766</v>
      </c>
      <c r="AR411" s="31">
        <f t="shared" si="310"/>
        <v>1.5637134621522901</v>
      </c>
      <c r="AS411" s="58" t="str">
        <f t="shared" si="311"/>
        <v>-0.511212446644924+0.876245384650751i</v>
      </c>
      <c r="AT411" s="49">
        <f t="shared" si="312"/>
        <v>0.12476205378429543</v>
      </c>
      <c r="AU411" s="61">
        <f t="shared" si="313"/>
        <v>120.2598182434826</v>
      </c>
      <c r="AV411" s="58" t="str">
        <f t="shared" si="290"/>
        <v>0.0000353217543132483-0.00165764018803871i</v>
      </c>
      <c r="AW411" s="64">
        <f t="shared" si="314"/>
        <v>-55.608223186343928</v>
      </c>
      <c r="AX411" s="61">
        <f t="shared" si="315"/>
        <v>-88.779300088937518</v>
      </c>
    </row>
    <row r="412" spans="14:50" x14ac:dyDescent="0.25">
      <c r="N412" s="10">
        <v>94</v>
      </c>
      <c r="O412" s="50">
        <f t="shared" si="280"/>
        <v>87096.358995608127</v>
      </c>
      <c r="P412" s="48" t="str">
        <f t="shared" si="281"/>
        <v>304.285714285714</v>
      </c>
      <c r="Q412" s="17" t="str">
        <f t="shared" si="282"/>
        <v>1+28495.7020383131i</v>
      </c>
      <c r="R412" s="17">
        <f t="shared" si="291"/>
        <v>28495.702055859601</v>
      </c>
      <c r="S412" s="17">
        <f t="shared" si="292"/>
        <v>1.5707612337833876</v>
      </c>
      <c r="T412" s="17" t="str">
        <f t="shared" si="283"/>
        <v>1+0.591021968202047i</v>
      </c>
      <c r="U412" s="17">
        <f t="shared" si="293"/>
        <v>1.1615967316144711</v>
      </c>
      <c r="V412" s="17">
        <f t="shared" si="294"/>
        <v>0.53379185153034714</v>
      </c>
      <c r="W412" s="31" t="str">
        <f t="shared" si="284"/>
        <v>1-1.8469436506314i</v>
      </c>
      <c r="X412" s="17">
        <f t="shared" si="295"/>
        <v>2.1002858968739573</v>
      </c>
      <c r="Y412" s="17">
        <f t="shared" si="296"/>
        <v>-1.0745526778471137</v>
      </c>
      <c r="Z412" s="31" t="str">
        <f t="shared" si="285"/>
        <v>0.523699222783506+16.2927194666428i</v>
      </c>
      <c r="AA412" s="17">
        <f t="shared" si="297"/>
        <v>16.301133963459883</v>
      </c>
      <c r="AB412" s="17">
        <f t="shared" si="298"/>
        <v>1.538664246158286</v>
      </c>
      <c r="AC412" s="66" t="str">
        <f t="shared" si="299"/>
        <v>-0.00139587453009736+0.000778219309966277i</v>
      </c>
      <c r="AD412" s="64">
        <f t="shared" si="300"/>
        <v>-55.927636335788911</v>
      </c>
      <c r="AE412" s="61">
        <f t="shared" si="301"/>
        <v>150.85973021494408</v>
      </c>
      <c r="AF412" s="31" t="str">
        <f t="shared" si="286"/>
        <v>-1512.12121212121</v>
      </c>
      <c r="AG412" s="31" t="str">
        <f t="shared" si="302"/>
        <v>547242.563150044i</v>
      </c>
      <c r="AH412" s="31">
        <f t="shared" si="303"/>
        <v>547242.56315004395</v>
      </c>
      <c r="AI412" s="31">
        <f t="shared" si="304"/>
        <v>1.5707963267948966</v>
      </c>
      <c r="AJ412" s="31" t="str">
        <f t="shared" si="287"/>
        <v>-1300.90156508021+754.246365785121i</v>
      </c>
      <c r="AK412" s="31">
        <f t="shared" si="305"/>
        <v>1503.7394928404997</v>
      </c>
      <c r="AL412" s="31">
        <f t="shared" si="306"/>
        <v>2.6161679417301245</v>
      </c>
      <c r="AM412" s="31" t="str">
        <f t="shared" si="288"/>
        <v>1+3756.27295346189i</v>
      </c>
      <c r="AN412" s="31">
        <f t="shared" si="307"/>
        <v>3756.2730865725553</v>
      </c>
      <c r="AO412" s="31">
        <f t="shared" si="308"/>
        <v>1.5705301054662646</v>
      </c>
      <c r="AP412" s="31" t="str">
        <f t="shared" si="289"/>
        <v>1+144.472036671612i</v>
      </c>
      <c r="AQ412" s="31">
        <f t="shared" si="309"/>
        <v>144.47549750751369</v>
      </c>
      <c r="AR412" s="31">
        <f t="shared" si="310"/>
        <v>1.5638746826257717</v>
      </c>
      <c r="AS412" s="58" t="str">
        <f t="shared" si="311"/>
        <v>-0.493965951096029+0.866267984197755i</v>
      </c>
      <c r="AT412" s="49">
        <f t="shared" si="312"/>
        <v>-2.429022321428511E-2</v>
      </c>
      <c r="AU412" s="61">
        <f t="shared" si="313"/>
        <v>119.69278408470718</v>
      </c>
      <c r="AV412" s="58" t="str">
        <f t="shared" si="290"/>
        <v>0.0000153680169620103-0.00159361525698922i</v>
      </c>
      <c r="AW412" s="64">
        <f t="shared" si="314"/>
        <v>-55.951926559003184</v>
      </c>
      <c r="AX412" s="61">
        <f t="shared" si="315"/>
        <v>-89.447485700348736</v>
      </c>
    </row>
    <row r="413" spans="14:50" x14ac:dyDescent="0.25">
      <c r="N413" s="10">
        <v>95</v>
      </c>
      <c r="O413" s="50">
        <f t="shared" si="280"/>
        <v>89125.093813374609</v>
      </c>
      <c r="P413" s="48" t="str">
        <f t="shared" si="281"/>
        <v>304.285714285714</v>
      </c>
      <c r="Q413" s="17" t="str">
        <f t="shared" si="282"/>
        <v>1+29159.4522059262i</v>
      </c>
      <c r="R413" s="17">
        <f t="shared" si="291"/>
        <v>29159.452223073295</v>
      </c>
      <c r="S413" s="17">
        <f t="shared" si="292"/>
        <v>1.570762032597854</v>
      </c>
      <c r="T413" s="17" t="str">
        <f t="shared" si="283"/>
        <v>1+0.604788638345134i</v>
      </c>
      <c r="U413" s="17">
        <f t="shared" si="293"/>
        <v>1.1686613269340957</v>
      </c>
      <c r="V413" s="17">
        <f t="shared" si="294"/>
        <v>0.54393312039220476</v>
      </c>
      <c r="W413" s="31" t="str">
        <f t="shared" si="284"/>
        <v>1-1.88996449482855i</v>
      </c>
      <c r="X413" s="17">
        <f t="shared" si="295"/>
        <v>2.1382155624989112</v>
      </c>
      <c r="Y413" s="17">
        <f t="shared" si="296"/>
        <v>-1.0841324607833394</v>
      </c>
      <c r="Z413" s="31" t="str">
        <f t="shared" si="285"/>
        <v>0.501251858717779+16.6722256554118i</v>
      </c>
      <c r="AA413" s="17">
        <f t="shared" si="297"/>
        <v>16.679759042949016</v>
      </c>
      <c r="AB413" s="17">
        <f t="shared" si="298"/>
        <v>1.540740296952186</v>
      </c>
      <c r="AC413" s="66" t="str">
        <f t="shared" si="299"/>
        <v>-0.00136431051573608+0.000763334257526069i</v>
      </c>
      <c r="AD413" s="64">
        <f t="shared" si="300"/>
        <v>-56.118948229719798</v>
      </c>
      <c r="AE413" s="61">
        <f t="shared" si="301"/>
        <v>150.772906271496</v>
      </c>
      <c r="AF413" s="31" t="str">
        <f t="shared" si="286"/>
        <v>-1512.12121212121</v>
      </c>
      <c r="AG413" s="31" t="str">
        <f t="shared" si="302"/>
        <v>559989.479949198i</v>
      </c>
      <c r="AH413" s="31">
        <f t="shared" si="303"/>
        <v>559989.47994919796</v>
      </c>
      <c r="AI413" s="31">
        <f t="shared" si="304"/>
        <v>1.5707963267948966</v>
      </c>
      <c r="AJ413" s="31" t="str">
        <f t="shared" si="287"/>
        <v>-1362.25829554764+771.815020561141i</v>
      </c>
      <c r="AK413" s="31">
        <f t="shared" si="305"/>
        <v>1565.7094525333098</v>
      </c>
      <c r="AL413" s="31">
        <f t="shared" si="306"/>
        <v>2.6261166320419314</v>
      </c>
      <c r="AM413" s="31" t="str">
        <f t="shared" si="288"/>
        <v>1+3843.76779037129i</v>
      </c>
      <c r="AN413" s="31">
        <f t="shared" si="307"/>
        <v>3843.7679204519864</v>
      </c>
      <c r="AO413" s="31">
        <f t="shared" si="308"/>
        <v>1.5705361654032683</v>
      </c>
      <c r="AP413" s="31" t="str">
        <f t="shared" si="289"/>
        <v>1+147.837222706588i</v>
      </c>
      <c r="AQ413" s="31">
        <f t="shared" si="309"/>
        <v>147.84060476606993</v>
      </c>
      <c r="AR413" s="31">
        <f t="shared" si="310"/>
        <v>1.5640322336209287</v>
      </c>
      <c r="AS413" s="58" t="str">
        <f t="shared" si="311"/>
        <v>-0.477111326355494+0.856069452687164i</v>
      </c>
      <c r="AT413" s="49">
        <f t="shared" si="312"/>
        <v>-0.17507095598227704</v>
      </c>
      <c r="AU413" s="61">
        <f t="shared" si="313"/>
        <v>119.13214033405303</v>
      </c>
      <c r="AV413" s="58" t="str">
        <f t="shared" si="290"/>
        <v>-2.53914033411528E-06-0.00153213997656238i</v>
      </c>
      <c r="AW413" s="64">
        <f t="shared" si="314"/>
        <v>-56.294019185702062</v>
      </c>
      <c r="AX413" s="61">
        <f t="shared" si="315"/>
        <v>-90.094953394450954</v>
      </c>
    </row>
    <row r="414" spans="14:50" x14ac:dyDescent="0.25">
      <c r="N414" s="10">
        <v>96</v>
      </c>
      <c r="O414" s="50">
        <f t="shared" si="280"/>
        <v>91201.083935591028</v>
      </c>
      <c r="P414" s="48" t="str">
        <f t="shared" si="281"/>
        <v>304.285714285714</v>
      </c>
      <c r="Q414" s="17" t="str">
        <f t="shared" si="282"/>
        <v>1+29838.6631010698i</v>
      </c>
      <c r="R414" s="17">
        <f t="shared" si="291"/>
        <v>29838.663117826582</v>
      </c>
      <c r="S414" s="17">
        <f t="shared" si="292"/>
        <v>1.5707628132290832</v>
      </c>
      <c r="T414" s="17" t="str">
        <f t="shared" si="283"/>
        <v>1+0.618875975429595i</v>
      </c>
      <c r="U414" s="17">
        <f t="shared" si="293"/>
        <v>1.1760133812860858</v>
      </c>
      <c r="V414" s="17">
        <f t="shared" si="294"/>
        <v>0.55418339677483197</v>
      </c>
      <c r="W414" s="31" t="str">
        <f t="shared" si="284"/>
        <v>1-1.93398742321749i</v>
      </c>
      <c r="X414" s="17">
        <f t="shared" si="295"/>
        <v>2.177224690555255</v>
      </c>
      <c r="Y414" s="17">
        <f t="shared" si="296"/>
        <v>-1.0935889659520492</v>
      </c>
      <c r="Z414" s="31" t="str">
        <f t="shared" si="285"/>
        <v>0.477746582976062+17.0605716789063i</v>
      </c>
      <c r="AA414" s="17">
        <f t="shared" si="297"/>
        <v>17.06725952836732</v>
      </c>
      <c r="AB414" s="17">
        <f t="shared" si="298"/>
        <v>1.5428006785164188</v>
      </c>
      <c r="AC414" s="66" t="str">
        <f t="shared" si="299"/>
        <v>-0.0013341545514383+0.000748683733673757i</v>
      </c>
      <c r="AD414" s="64">
        <f t="shared" si="300"/>
        <v>-56.306921523938122</v>
      </c>
      <c r="AE414" s="61">
        <f t="shared" si="301"/>
        <v>150.70029011726047</v>
      </c>
      <c r="AF414" s="31" t="str">
        <f t="shared" si="286"/>
        <v>-1512.12121212121</v>
      </c>
      <c r="AG414" s="31" t="str">
        <f t="shared" si="302"/>
        <v>573033.310582958i</v>
      </c>
      <c r="AH414" s="31">
        <f t="shared" si="303"/>
        <v>573033.31058295805</v>
      </c>
      <c r="AI414" s="31">
        <f t="shared" si="304"/>
        <v>1.5707963267948966</v>
      </c>
      <c r="AJ414" s="31" t="str">
        <f t="shared" si="287"/>
        <v>-1426.50667963514+789.792901877242i</v>
      </c>
      <c r="AK414" s="31">
        <f t="shared" si="305"/>
        <v>1630.5502552510752</v>
      </c>
      <c r="AL414" s="31">
        <f t="shared" si="306"/>
        <v>2.6359474464909898</v>
      </c>
      <c r="AM414" s="31" t="str">
        <f t="shared" si="288"/>
        <v>1+3933.30064384142i</v>
      </c>
      <c r="AN414" s="31">
        <f t="shared" si="307"/>
        <v>3933.3007709611188</v>
      </c>
      <c r="AO414" s="31">
        <f t="shared" si="308"/>
        <v>1.5705420873992837</v>
      </c>
      <c r="AP414" s="31" t="str">
        <f t="shared" si="289"/>
        <v>1+151.280793993901i</v>
      </c>
      <c r="AQ414" s="31">
        <f t="shared" si="309"/>
        <v>151.28409907001171</v>
      </c>
      <c r="AR414" s="31">
        <f t="shared" si="310"/>
        <v>1.5641861986420802</v>
      </c>
      <c r="AS414" s="58" t="str">
        <f t="shared" si="311"/>
        <v>-0.460652625535021+0.845667827261614i</v>
      </c>
      <c r="AT414" s="49">
        <f t="shared" si="312"/>
        <v>-0.32754021697928465</v>
      </c>
      <c r="AU414" s="61">
        <f t="shared" si="313"/>
        <v>118.57803700822832</v>
      </c>
      <c r="AV414" s="58" t="str">
        <f t="shared" si="290"/>
        <v>-0.0000185559493724479-0.0014731347083582i</v>
      </c>
      <c r="AW414" s="64">
        <f t="shared" si="314"/>
        <v>-56.634461740917395</v>
      </c>
      <c r="AX414" s="61">
        <f t="shared" si="315"/>
        <v>-90.721672874511214</v>
      </c>
    </row>
    <row r="415" spans="14:50" x14ac:dyDescent="0.25">
      <c r="N415" s="10">
        <v>97</v>
      </c>
      <c r="O415" s="50">
        <f t="shared" si="280"/>
        <v>93325.430079699145</v>
      </c>
      <c r="P415" s="48" t="str">
        <f t="shared" si="281"/>
        <v>304.285714285714</v>
      </c>
      <c r="Q415" s="17" t="str">
        <f t="shared" si="282"/>
        <v>1+30533.6948503511i</v>
      </c>
      <c r="R415" s="17">
        <f t="shared" si="291"/>
        <v>30533.694866726455</v>
      </c>
      <c r="S415" s="17">
        <f t="shared" si="292"/>
        <v>1.5707635760909762</v>
      </c>
      <c r="T415" s="17" t="str">
        <f t="shared" si="283"/>
        <v>1+0.633291448748021i</v>
      </c>
      <c r="U415" s="17">
        <f t="shared" si="293"/>
        <v>1.1836629837320112</v>
      </c>
      <c r="V415" s="17">
        <f t="shared" si="294"/>
        <v>0.5645394992664543</v>
      </c>
      <c r="W415" s="31" t="str">
        <f t="shared" si="284"/>
        <v>1-1.97903577733757i</v>
      </c>
      <c r="X415" s="17">
        <f t="shared" si="295"/>
        <v>2.217336827814421</v>
      </c>
      <c r="Y415" s="17">
        <f t="shared" si="296"/>
        <v>-1.1029204412361477</v>
      </c>
      <c r="Z415" s="31" t="str">
        <f t="shared" si="285"/>
        <v>0.453133537717103+17.4579634433283i</v>
      </c>
      <c r="AA415" s="17">
        <f t="shared" si="297"/>
        <v>17.463843150681104</v>
      </c>
      <c r="AB415" s="17">
        <f t="shared" si="298"/>
        <v>1.5448464603104399</v>
      </c>
      <c r="AC415" s="66" t="str">
        <f t="shared" si="299"/>
        <v>-0.00130534401804864+0.000734271242606778i</v>
      </c>
      <c r="AD415" s="64">
        <f t="shared" si="300"/>
        <v>-56.491557668127058</v>
      </c>
      <c r="AE415" s="61">
        <f t="shared" si="301"/>
        <v>150.64173856045707</v>
      </c>
      <c r="AF415" s="31" t="str">
        <f t="shared" si="286"/>
        <v>-1512.12121212121</v>
      </c>
      <c r="AG415" s="31" t="str">
        <f t="shared" si="302"/>
        <v>586380.971062982i</v>
      </c>
      <c r="AH415" s="31">
        <f t="shared" si="303"/>
        <v>586380.97106298199</v>
      </c>
      <c r="AI415" s="31">
        <f t="shared" si="304"/>
        <v>1.5707963267948966</v>
      </c>
      <c r="AJ415" s="31" t="str">
        <f t="shared" si="287"/>
        <v>-1493.78299677931+808.189541844062i</v>
      </c>
      <c r="AK415" s="31">
        <f t="shared" si="305"/>
        <v>1698.3986507922957</v>
      </c>
      <c r="AL415" s="31">
        <f t="shared" si="306"/>
        <v>2.6456580643698708</v>
      </c>
      <c r="AM415" s="31" t="str">
        <f t="shared" si="288"/>
        <v>1+4024.9189853763i</v>
      </c>
      <c r="AN415" s="31">
        <f t="shared" si="307"/>
        <v>4024.9191096024006</v>
      </c>
      <c r="AO415" s="31">
        <f t="shared" si="308"/>
        <v>1.5705478745942294</v>
      </c>
      <c r="AP415" s="31" t="str">
        <f t="shared" si="289"/>
        <v>1+154.804576360627i</v>
      </c>
      <c r="AQ415" s="31">
        <f t="shared" si="309"/>
        <v>154.80780620560839</v>
      </c>
      <c r="AR415" s="31">
        <f t="shared" si="310"/>
        <v>1.5643366592943031</v>
      </c>
      <c r="AS415" s="58" t="str">
        <f t="shared" si="311"/>
        <v>-0.444592894237611+0.835080969200745i</v>
      </c>
      <c r="AT415" s="49">
        <f t="shared" si="312"/>
        <v>-0.48165771808644897</v>
      </c>
      <c r="AU415" s="61">
        <f t="shared" si="313"/>
        <v>118.03061192950493</v>
      </c>
      <c r="AV415" s="58" t="str">
        <f t="shared" si="290"/>
        <v>-0.0000328292659723063-0.00141651972463845i</v>
      </c>
      <c r="AW415" s="64">
        <f t="shared" si="314"/>
        <v>-56.973215386213496</v>
      </c>
      <c r="AX415" s="61">
        <f t="shared" si="315"/>
        <v>-91.327649510038015</v>
      </c>
    </row>
    <row r="416" spans="14:50" x14ac:dyDescent="0.25">
      <c r="N416" s="10">
        <v>98</v>
      </c>
      <c r="O416" s="50">
        <f t="shared" si="280"/>
        <v>95499.258602143804</v>
      </c>
      <c r="P416" s="48" t="str">
        <f t="shared" si="281"/>
        <v>304.285714285714</v>
      </c>
      <c r="Q416" s="17" t="str">
        <f t="shared" si="282"/>
        <v>1+31244.9159688032i</v>
      </c>
      <c r="R416" s="17">
        <f t="shared" si="291"/>
        <v>31244.915984805801</v>
      </c>
      <c r="S416" s="17">
        <f t="shared" si="292"/>
        <v>1.5707643215880125</v>
      </c>
      <c r="T416" s="17" t="str">
        <f t="shared" si="283"/>
        <v>1+0.648042701575177i</v>
      </c>
      <c r="U416" s="17">
        <f t="shared" si="293"/>
        <v>1.191620469388158</v>
      </c>
      <c r="V416" s="17">
        <f t="shared" si="294"/>
        <v>0.57499803302987051</v>
      </c>
      <c r="W416" s="31" t="str">
        <f t="shared" si="284"/>
        <v>1-2.02513344242243i</v>
      </c>
      <c r="X416" s="17">
        <f t="shared" si="295"/>
        <v>2.2585759804836592</v>
      </c>
      <c r="Y416" s="17">
        <f t="shared" si="296"/>
        <v>-1.1121253329917367</v>
      </c>
      <c r="Z416" s="31" t="str">
        <f t="shared" si="285"/>
        <v>0.427360515371977+17.8646116510515i</v>
      </c>
      <c r="AA416" s="17">
        <f t="shared" si="297"/>
        <v>17.869722618244079</v>
      </c>
      <c r="AB416" s="17">
        <f t="shared" si="298"/>
        <v>1.5468787052026218</v>
      </c>
      <c r="AC416" s="66" t="str">
        <f t="shared" si="299"/>
        <v>-0.00127781903268613+0.000720099669940385i</v>
      </c>
      <c r="AD416" s="64">
        <f t="shared" si="300"/>
        <v>-56.672858980612808</v>
      </c>
      <c r="AE416" s="61">
        <f t="shared" si="301"/>
        <v>150.59708518743292</v>
      </c>
      <c r="AF416" s="31" t="str">
        <f t="shared" si="286"/>
        <v>-1512.12121212121</v>
      </c>
      <c r="AG416" s="31" t="str">
        <f t="shared" si="302"/>
        <v>600039.538495534i</v>
      </c>
      <c r="AH416" s="31">
        <f t="shared" si="303"/>
        <v>600039.53849553398</v>
      </c>
      <c r="AI416" s="31">
        <f t="shared" si="304"/>
        <v>1.5707963267948966</v>
      </c>
      <c r="AJ416" s="31" t="str">
        <f t="shared" si="287"/>
        <v>-1564.22994906869+827.014694603624i</v>
      </c>
      <c r="AK416" s="31">
        <f t="shared" si="305"/>
        <v>1769.3978180877702</v>
      </c>
      <c r="AL416" s="31">
        <f t="shared" si="306"/>
        <v>2.6552463734034482</v>
      </c>
      <c r="AM416" s="31" t="str">
        <f t="shared" si="288"/>
        <v>1+4118.67139223334i</v>
      </c>
      <c r="AN416" s="31">
        <f t="shared" si="307"/>
        <v>4118.6715136317098</v>
      </c>
      <c r="AO416" s="31">
        <f t="shared" si="308"/>
        <v>1.5705535300565514</v>
      </c>
      <c r="AP416" s="31" t="str">
        <f t="shared" si="289"/>
        <v>1+158.410438162821i</v>
      </c>
      <c r="AQ416" s="31">
        <f t="shared" si="309"/>
        <v>158.41359448903663</v>
      </c>
      <c r="AR416" s="31">
        <f t="shared" si="310"/>
        <v>1.5644836953265615</v>
      </c>
      <c r="AS416" s="58" t="str">
        <f t="shared" si="311"/>
        <v>-0.428934207168038+0.824326505297493i</v>
      </c>
      <c r="AT416" s="49">
        <f t="shared" si="312"/>
        <v>-0.63738291098240563</v>
      </c>
      <c r="AU416" s="61">
        <f t="shared" si="313"/>
        <v>117.4899908674208</v>
      </c>
      <c r="AV416" s="58" t="str">
        <f t="shared" si="290"/>
        <v>-0.0000454969506983814-0.00136221547862463i</v>
      </c>
      <c r="AW416" s="64">
        <f t="shared" si="314"/>
        <v>-57.31024189159519</v>
      </c>
      <c r="AX416" s="61">
        <f t="shared" si="315"/>
        <v>-91.912923945146233</v>
      </c>
    </row>
    <row r="417" spans="14:50" x14ac:dyDescent="0.25">
      <c r="N417" s="10">
        <v>99</v>
      </c>
      <c r="O417" s="50">
        <f t="shared" si="280"/>
        <v>97723.722095581266</v>
      </c>
      <c r="P417" s="48" t="str">
        <f t="shared" si="281"/>
        <v>304.285714285714</v>
      </c>
      <c r="Q417" s="17" t="str">
        <f t="shared" si="282"/>
        <v>1+31972.7035552773i</v>
      </c>
      <c r="R417" s="17">
        <f t="shared" si="291"/>
        <v>31972.703570915637</v>
      </c>
      <c r="S417" s="17">
        <f t="shared" si="292"/>
        <v>1.5707650501154646</v>
      </c>
      <c r="T417" s="17" t="str">
        <f t="shared" si="283"/>
        <v>1+0.663137555220565i</v>
      </c>
      <c r="U417" s="17">
        <f t="shared" si="293"/>
        <v>1.1998964193395645</v>
      </c>
      <c r="V417" s="17">
        <f t="shared" si="294"/>
        <v>0.58555539135400303</v>
      </c>
      <c r="W417" s="31" t="str">
        <f t="shared" si="284"/>
        <v>1-2.07230486006427i</v>
      </c>
      <c r="X417" s="17">
        <f t="shared" si="295"/>
        <v>2.3009666301461205</v>
      </c>
      <c r="Y417" s="17">
        <f t="shared" si="296"/>
        <v>-1.1212022813880205</v>
      </c>
      <c r="Z417" s="31" t="str">
        <f t="shared" si="285"/>
        <v>0.400372847904844+18.280731912338i</v>
      </c>
      <c r="AA417" s="17">
        <f t="shared" si="297"/>
        <v>18.285115741173538</v>
      </c>
      <c r="AB417" s="17">
        <f t="shared" si="298"/>
        <v>1.5488984699312678</v>
      </c>
      <c r="AC417" s="66" t="str">
        <f t="shared" si="299"/>
        <v>-0.0012515223319753+0.000706171332991992i</v>
      </c>
      <c r="AD417" s="64">
        <f t="shared" si="300"/>
        <v>-56.850828675716585</v>
      </c>
      <c r="AE417" s="61">
        <f t="shared" si="301"/>
        <v>150.56614069213879</v>
      </c>
      <c r="AF417" s="31" t="str">
        <f t="shared" si="286"/>
        <v>-1512.12121212121</v>
      </c>
      <c r="AG417" s="31" t="str">
        <f t="shared" si="302"/>
        <v>614016.254833857i</v>
      </c>
      <c r="AH417" s="31">
        <f t="shared" si="303"/>
        <v>614016.25483385695</v>
      </c>
      <c r="AI417" s="31">
        <f t="shared" si="304"/>
        <v>1.5707963267948966</v>
      </c>
      <c r="AJ417" s="31" t="str">
        <f t="shared" si="287"/>
        <v>-1637.99696393408+846.278341501096i</v>
      </c>
      <c r="AK417" s="31">
        <f t="shared" si="305"/>
        <v>1843.6976664168965</v>
      </c>
      <c r="AL417" s="31">
        <f t="shared" si="306"/>
        <v>2.6647104666635242</v>
      </c>
      <c r="AM417" s="31" t="str">
        <f t="shared" si="288"/>
        <v>1+4214.60757317958i</v>
      </c>
      <c r="AN417" s="31">
        <f t="shared" si="307"/>
        <v>4214.6076918145855</v>
      </c>
      <c r="AO417" s="31">
        <f t="shared" si="308"/>
        <v>1.5705590567848491</v>
      </c>
      <c r="AP417" s="31" t="str">
        <f t="shared" si="289"/>
        <v>1+162.100291276138i</v>
      </c>
      <c r="AQ417" s="31">
        <f t="shared" si="309"/>
        <v>162.1033757569804</v>
      </c>
      <c r="AR417" s="31">
        <f t="shared" si="310"/>
        <v>1.564627384673861</v>
      </c>
      <c r="AS417" s="58" t="str">
        <f t="shared" si="311"/>
        <v>-0.413677707965948+0.81342177382728i</v>
      </c>
      <c r="AT417" s="49">
        <f t="shared" si="312"/>
        <v>-0.79467508363889228</v>
      </c>
      <c r="AU417" s="61">
        <f t="shared" si="313"/>
        <v>116.95628771806753</v>
      </c>
      <c r="AV417" s="58" t="str">
        <f t="shared" si="290"/>
        <v>-0.0000566882485485804-0.00131014285372319i</v>
      </c>
      <c r="AW417" s="64">
        <f t="shared" si="314"/>
        <v>-57.645503759355464</v>
      </c>
      <c r="AX417" s="61">
        <f t="shared" si="315"/>
        <v>-92.477571589793726</v>
      </c>
    </row>
    <row r="418" spans="14:50" x14ac:dyDescent="0.25">
      <c r="N418" s="10">
        <v>100</v>
      </c>
      <c r="O418" s="50">
        <f t="shared" si="280"/>
        <v>100000</v>
      </c>
      <c r="P418" s="48" t="str">
        <f t="shared" si="281"/>
        <v>304.285714285714</v>
      </c>
      <c r="Q418" s="17" t="str">
        <f t="shared" si="282"/>
        <v>1+32717.4434923852i</v>
      </c>
      <c r="R418" s="17">
        <f t="shared" si="291"/>
        <v>32717.443507667565</v>
      </c>
      <c r="S418" s="17">
        <f t="shared" si="292"/>
        <v>1.5707657620596074</v>
      </c>
      <c r="T418" s="17" t="str">
        <f t="shared" si="283"/>
        <v>1+0.678584013175396i</v>
      </c>
      <c r="U418" s="17">
        <f t="shared" si="293"/>
        <v>1.2085016602956018</v>
      </c>
      <c r="V418" s="17">
        <f t="shared" si="294"/>
        <v>0.59620775812876436</v>
      </c>
      <c r="W418" s="31" t="str">
        <f t="shared" si="284"/>
        <v>1-2.12057504117311i</v>
      </c>
      <c r="X418" s="17">
        <f t="shared" si="295"/>
        <v>2.3445337500761934</v>
      </c>
      <c r="Y418" s="17">
        <f t="shared" si="296"/>
        <v>-1.1301501153015558</v>
      </c>
      <c r="Z418" s="31" t="str">
        <f t="shared" si="285"/>
        <v>0.372113290854704+18.7065448596587i</v>
      </c>
      <c r="AA418" s="17">
        <f t="shared" si="297"/>
        <v>18.710245559255867</v>
      </c>
      <c r="AB418" s="17">
        <f t="shared" si="298"/>
        <v>1.5509068055672142</v>
      </c>
      <c r="AC418" s="66" t="str">
        <f t="shared" si="299"/>
        <v>-0.0012263991599449+0.00069248802760321i</v>
      </c>
      <c r="AD418" s="64">
        <f t="shared" si="300"/>
        <v>-57.025470897032626</v>
      </c>
      <c r="AE418" s="61">
        <f t="shared" si="301"/>
        <v>150.54869328394841</v>
      </c>
      <c r="AF418" s="31" t="str">
        <f t="shared" si="286"/>
        <v>-1512.12121212121</v>
      </c>
      <c r="AG418" s="31" t="str">
        <f t="shared" si="302"/>
        <v>628318.530717959i</v>
      </c>
      <c r="AH418" s="31">
        <f t="shared" si="303"/>
        <v>628318.53071795905</v>
      </c>
      <c r="AI418" s="31">
        <f t="shared" si="304"/>
        <v>1.5707963267948966</v>
      </c>
      <c r="AJ418" s="31" t="str">
        <f t="shared" si="287"/>
        <v>-1715.24051110412+865.990696377049i</v>
      </c>
      <c r="AK418" s="31">
        <f t="shared" si="305"/>
        <v>1921.455150958338</v>
      </c>
      <c r="AL418" s="31">
        <f t="shared" si="306"/>
        <v>2.6740486388806519</v>
      </c>
      <c r="AM418" s="31" t="str">
        <f t="shared" si="288"/>
        <v>1+4312.77839484806i</v>
      </c>
      <c r="AN418" s="31">
        <f t="shared" si="307"/>
        <v>4312.778510782603</v>
      </c>
      <c r="AO418" s="31">
        <f t="shared" si="308"/>
        <v>1.570564457709466</v>
      </c>
      <c r="AP418" s="31" t="str">
        <f t="shared" si="289"/>
        <v>1+165.876092109541i</v>
      </c>
      <c r="AQ418" s="31">
        <f t="shared" si="309"/>
        <v>165.87910638031821</v>
      </c>
      <c r="AR418" s="31">
        <f t="shared" si="310"/>
        <v>1.5647678034984478</v>
      </c>
      <c r="AS418" s="58" t="str">
        <f t="shared" si="311"/>
        <v>-0.398823651745262+0.802383775214849i</v>
      </c>
      <c r="AT418" s="49">
        <f t="shared" si="312"/>
        <v>-0.9534934526326776</v>
      </c>
      <c r="AU418" s="61">
        <f t="shared" si="313"/>
        <v>116.42960471785877</v>
      </c>
      <c r="AV418" s="58" t="str">
        <f t="shared" si="290"/>
        <v>-0.0000665241664128015-0.00126022339183549i</v>
      </c>
      <c r="AW418" s="64">
        <f t="shared" si="314"/>
        <v>-57.978964349665333</v>
      </c>
      <c r="AX418" s="61">
        <f t="shared" si="315"/>
        <v>-93.021701998192796</v>
      </c>
    </row>
    <row r="419" spans="14:50" x14ac:dyDescent="0.25">
      <c r="N419" s="10">
        <v>1</v>
      </c>
      <c r="O419" s="50">
        <f>10^(5+(N419/100))</f>
        <v>102329.29922807543</v>
      </c>
      <c r="P419" s="48" t="str">
        <f t="shared" si="281"/>
        <v>304.285714285714</v>
      </c>
      <c r="Q419" s="17" t="str">
        <f t="shared" si="282"/>
        <v>1+33479.5306510994i</v>
      </c>
      <c r="R419" s="17">
        <f t="shared" si="291"/>
        <v>33479.530666033897</v>
      </c>
      <c r="S419" s="17">
        <f t="shared" si="292"/>
        <v>1.5707664577979228</v>
      </c>
      <c r="T419" s="17" t="str">
        <f t="shared" si="283"/>
        <v>1+0.694390265356133i</v>
      </c>
      <c r="U419" s="17">
        <f t="shared" si="293"/>
        <v>1.217447264000113</v>
      </c>
      <c r="V419" s="17">
        <f t="shared" si="294"/>
        <v>0.606951111271407</v>
      </c>
      <c r="W419" s="31" t="str">
        <f t="shared" si="284"/>
        <v>1-2.16996957923792i</v>
      </c>
      <c r="X419" s="17">
        <f t="shared" si="295"/>
        <v>2.3893028219164671</v>
      </c>
      <c r="Y419" s="17">
        <f t="shared" si="296"/>
        <v>-1.1389678468193511</v>
      </c>
      <c r="Z419" s="31" t="str">
        <f t="shared" si="285"/>
        <v>0.342521901912229+19.1422762646743i</v>
      </c>
      <c r="AA419" s="17">
        <f t="shared" si="297"/>
        <v>19.145340473504323</v>
      </c>
      <c r="AB419" s="17">
        <f t="shared" si="298"/>
        <v>1.552904757977809</v>
      </c>
      <c r="AC419" s="66" t="str">
        <f t="shared" si="299"/>
        <v>-0.0012023971604333+0.000679051071724801i</v>
      </c>
      <c r="AD419" s="64">
        <f t="shared" si="300"/>
        <v>-57.196790756091701</v>
      </c>
      <c r="AE419" s="61">
        <f t="shared" si="301"/>
        <v>150.54450917232703</v>
      </c>
      <c r="AF419" s="31" t="str">
        <f t="shared" si="286"/>
        <v>-1512.12121212121</v>
      </c>
      <c r="AG419" s="31" t="str">
        <f t="shared" si="302"/>
        <v>642953.949403827i</v>
      </c>
      <c r="AH419" s="31">
        <f t="shared" si="303"/>
        <v>642953.94940382696</v>
      </c>
      <c r="AI419" s="31">
        <f t="shared" si="304"/>
        <v>1.5707963267948966</v>
      </c>
      <c r="AJ419" s="31" t="str">
        <f t="shared" si="287"/>
        <v>-1796.12443449859+886.162210982965i</v>
      </c>
      <c r="AK419" s="31">
        <f t="shared" si="305"/>
        <v>2002.834603350236</v>
      </c>
      <c r="AL419" s="31">
        <f t="shared" si="306"/>
        <v>2.6832593822083828</v>
      </c>
      <c r="AM419" s="31" t="str">
        <f t="shared" si="288"/>
        <v>1+4413.23590870786i</v>
      </c>
      <c r="AN419" s="31">
        <f t="shared" si="307"/>
        <v>4413.2360220034116</v>
      </c>
      <c r="AO419" s="31">
        <f t="shared" si="308"/>
        <v>1.570569735694042</v>
      </c>
      <c r="AP419" s="31" t="str">
        <f t="shared" si="289"/>
        <v>1+169.73984264261i</v>
      </c>
      <c r="AQ419" s="31">
        <f t="shared" si="309"/>
        <v>169.74278830141208</v>
      </c>
      <c r="AR419" s="31">
        <f t="shared" si="310"/>
        <v>1.564905026230079</v>
      </c>
      <c r="AS419" s="58" t="str">
        <f t="shared" si="311"/>
        <v>-0.384371449835718+0.791229127448155i</v>
      </c>
      <c r="AT419" s="49">
        <f t="shared" si="312"/>
        <v>-1.1137972510271739</v>
      </c>
      <c r="AU419" s="61">
        <f t="shared" si="313"/>
        <v>115.91003268861782</v>
      </c>
      <c r="AV419" s="58" t="str">
        <f t="shared" si="290"/>
        <v>-0.0000751178471394508-0.00121237950104714i</v>
      </c>
      <c r="AW419" s="64">
        <f t="shared" si="314"/>
        <v>-58.310588007118866</v>
      </c>
      <c r="AX419" s="61">
        <f t="shared" si="315"/>
        <v>-93.545458139055157</v>
      </c>
    </row>
    <row r="420" spans="14:50" x14ac:dyDescent="0.25">
      <c r="N420" s="10">
        <v>2</v>
      </c>
      <c r="O420" s="50">
        <f t="shared" ref="O420:O483" si="316">10^(5+(N420/100))</f>
        <v>104712.85480508996</v>
      </c>
      <c r="P420" s="48" t="str">
        <f t="shared" si="281"/>
        <v>304.285714285714</v>
      </c>
      <c r="Q420" s="17" t="str">
        <f t="shared" si="282"/>
        <v>1+34259.3691001187i</v>
      </c>
      <c r="R420" s="17">
        <f t="shared" si="291"/>
        <v>34259.369114713256</v>
      </c>
      <c r="S420" s="17">
        <f t="shared" si="292"/>
        <v>1.5707671376993009</v>
      </c>
      <c r="T420" s="17" t="str">
        <f t="shared" si="283"/>
        <v>1+0.710564692446905i</v>
      </c>
      <c r="U420" s="17">
        <f t="shared" si="293"/>
        <v>1.2267445464122368</v>
      </c>
      <c r="V420" s="17">
        <f t="shared" si="294"/>
        <v>0.61778122712592376</v>
      </c>
      <c r="W420" s="31" t="str">
        <f t="shared" si="284"/>
        <v>1-2.22051466389658i</v>
      </c>
      <c r="X420" s="17">
        <f t="shared" si="295"/>
        <v>2.4352998527039218</v>
      </c>
      <c r="Y420" s="17">
        <f t="shared" si="296"/>
        <v>-1.147654665404134</v>
      </c>
      <c r="Z420" s="31" t="str">
        <f t="shared" si="285"/>
        <v>0.311535913774085+19.5881571579434i</v>
      </c>
      <c r="AA420" s="17">
        <f t="shared" si="297"/>
        <v>19.590634381506391</v>
      </c>
      <c r="AB420" s="17">
        <f t="shared" si="298"/>
        <v>1.5548933682920962</v>
      </c>
      <c r="AC420" s="66" t="str">
        <f t="shared" si="299"/>
        <v>-0.0011794662738423+0.000665861345975451i</v>
      </c>
      <c r="AD420" s="64">
        <f t="shared" si="300"/>
        <v>-57.364794375791</v>
      </c>
      <c r="AE420" s="61">
        <f t="shared" si="301"/>
        <v>150.55333312654051</v>
      </c>
      <c r="AF420" s="31" t="str">
        <f t="shared" si="286"/>
        <v>-1512.12121212121</v>
      </c>
      <c r="AG420" s="31" t="str">
        <f t="shared" si="302"/>
        <v>657930.270784171i</v>
      </c>
      <c r="AH420" s="31">
        <f t="shared" si="303"/>
        <v>657930.27078417095</v>
      </c>
      <c r="AI420" s="31">
        <f t="shared" si="304"/>
        <v>1.5707963267948966</v>
      </c>
      <c r="AJ420" s="31" t="str">
        <f t="shared" si="287"/>
        <v>-1880.82029976331+906.803580522887i</v>
      </c>
      <c r="AK420" s="31">
        <f t="shared" si="305"/>
        <v>2088.0080779659056</v>
      </c>
      <c r="AL420" s="31">
        <f t="shared" si="306"/>
        <v>2.6923413814953463</v>
      </c>
      <c r="AM420" s="31" t="str">
        <f t="shared" si="288"/>
        <v>1+4516.03337866254i</v>
      </c>
      <c r="AN420" s="31">
        <f t="shared" si="307"/>
        <v>4516.0334893791687</v>
      </c>
      <c r="AO420" s="31">
        <f t="shared" si="308"/>
        <v>1.5705748935370336</v>
      </c>
      <c r="AP420" s="31" t="str">
        <f t="shared" si="289"/>
        <v>1+173.693591487021i</v>
      </c>
      <c r="AQ420" s="31">
        <f t="shared" si="309"/>
        <v>173.69647009556684</v>
      </c>
      <c r="AR420" s="31">
        <f t="shared" si="310"/>
        <v>1.5650391256053804</v>
      </c>
      <c r="AS420" s="58" t="str">
        <f t="shared" si="311"/>
        <v>-0.370319716240458+0.77997402623819i</v>
      </c>
      <c r="AT420" s="49">
        <f t="shared" si="312"/>
        <v>-1.2755458116242679</v>
      </c>
      <c r="AU420" s="61">
        <f t="shared" si="313"/>
        <v>115.39765131080878</v>
      </c>
      <c r="AV420" s="58" t="str">
        <f t="shared" si="290"/>
        <v>-0.0000825749390923821-0.00116653464311805i</v>
      </c>
      <c r="AW420" s="64">
        <f t="shared" si="314"/>
        <v>-58.640340187415291</v>
      </c>
      <c r="AX420" s="61">
        <f t="shared" si="315"/>
        <v>-94.049015562650737</v>
      </c>
    </row>
    <row r="421" spans="14:50" x14ac:dyDescent="0.25">
      <c r="N421" s="10">
        <v>3</v>
      </c>
      <c r="O421" s="50">
        <f t="shared" si="316"/>
        <v>107151.93052376082</v>
      </c>
      <c r="P421" s="48" t="str">
        <f t="shared" si="281"/>
        <v>304.285714285714</v>
      </c>
      <c r="Q421" s="17" t="str">
        <f t="shared" si="282"/>
        <v>1+35057.3723201113i</v>
      </c>
      <c r="R421" s="17">
        <f t="shared" si="291"/>
        <v>35057.372334373635</v>
      </c>
      <c r="S421" s="17">
        <f t="shared" si="292"/>
        <v>1.5707678021242339</v>
      </c>
      <c r="T421" s="17" t="str">
        <f t="shared" si="283"/>
        <v>1+0.727115870343048i</v>
      </c>
      <c r="U421" s="17">
        <f t="shared" si="293"/>
        <v>1.2364050666770694</v>
      </c>
      <c r="V421" s="17">
        <f t="shared" si="294"/>
        <v>0.6286936858496911</v>
      </c>
      <c r="W421" s="31" t="str">
        <f t="shared" si="284"/>
        <v>1-2.27223709482203i</v>
      </c>
      <c r="X421" s="17">
        <f t="shared" si="295"/>
        <v>2.4825513922344604</v>
      </c>
      <c r="Y421" s="17">
        <f t="shared" si="296"/>
        <v>-1.1562099317735441</v>
      </c>
      <c r="Z421" s="31" t="str">
        <f t="shared" si="285"/>
        <v>0.279089601005066+20.0444239514176i</v>
      </c>
      <c r="AA421" s="17">
        <f t="shared" si="297"/>
        <v>20.046366816696555</v>
      </c>
      <c r="AB421" s="17">
        <f t="shared" si="298"/>
        <v>1.5568736733670356</v>
      </c>
      <c r="AC421" s="66" t="str">
        <f t="shared" si="299"/>
        <v>-0.0011575586380844+0.000652919331372522i</v>
      </c>
      <c r="AD421" s="64">
        <f t="shared" si="300"/>
        <v>-57.529488937897412</v>
      </c>
      <c r="AE421" s="61">
        <f t="shared" si="301"/>
        <v>150.57488910825887</v>
      </c>
      <c r="AF421" s="31" t="str">
        <f t="shared" si="286"/>
        <v>-1512.12121212121</v>
      </c>
      <c r="AG421" s="31" t="str">
        <f t="shared" si="302"/>
        <v>673255.435502822i</v>
      </c>
      <c r="AH421" s="31">
        <f t="shared" si="303"/>
        <v>673255.43550282205</v>
      </c>
      <c r="AI421" s="31">
        <f t="shared" si="304"/>
        <v>1.5707963267948966</v>
      </c>
      <c r="AJ421" s="31" t="str">
        <f t="shared" si="287"/>
        <v>-1969.50775818386+927.925749324168i</v>
      </c>
      <c r="AK421" s="31">
        <f t="shared" si="305"/>
        <v>2177.155714643588</v>
      </c>
      <c r="AL421" s="31">
        <f t="shared" si="306"/>
        <v>2.7012935091203207</v>
      </c>
      <c r="AM421" s="31" t="str">
        <f t="shared" si="288"/>
        <v>1+4621.22530929136i</v>
      </c>
      <c r="AN421" s="31">
        <f t="shared" si="307"/>
        <v>4621.2254174877717</v>
      </c>
      <c r="AO421" s="31">
        <f t="shared" si="308"/>
        <v>1.5705799339731961</v>
      </c>
      <c r="AP421" s="31" t="str">
        <f t="shared" si="289"/>
        <v>1+177.739434972745i</v>
      </c>
      <c r="AQ421" s="31">
        <f t="shared" si="309"/>
        <v>177.74224805720965</v>
      </c>
      <c r="AR421" s="31">
        <f t="shared" si="310"/>
        <v>1.565170172706313</v>
      </c>
      <c r="AS421" s="58" t="str">
        <f t="shared" si="311"/>
        <v>-0.356666315345853+0.76863420987722i</v>
      </c>
      <c r="AT421" s="49">
        <f t="shared" si="312"/>
        <v>-1.4386986454365633</v>
      </c>
      <c r="AU421" s="61">
        <f t="shared" si="313"/>
        <v>114.89252942175517</v>
      </c>
      <c r="AV421" s="58" t="str">
        <f t="shared" si="290"/>
        <v>-0.0000889939601407545-0.00112261350130927i</v>
      </c>
      <c r="AW421" s="64">
        <f t="shared" si="314"/>
        <v>-58.968187583333965</v>
      </c>
      <c r="AX421" s="61">
        <f t="shared" si="315"/>
        <v>-94.532581469985942</v>
      </c>
    </row>
    <row r="422" spans="14:50" x14ac:dyDescent="0.25">
      <c r="N422" s="10">
        <v>4</v>
      </c>
      <c r="O422" s="50">
        <f t="shared" si="316"/>
        <v>109647.81961431868</v>
      </c>
      <c r="P422" s="48" t="str">
        <f t="shared" si="281"/>
        <v>304.285714285714</v>
      </c>
      <c r="Q422" s="17" t="str">
        <f t="shared" si="282"/>
        <v>1+35873.9634229472i</v>
      </c>
      <c r="R422" s="17">
        <f t="shared" si="291"/>
        <v>35873.963436884886</v>
      </c>
      <c r="S422" s="17">
        <f t="shared" si="292"/>
        <v>1.5707684514250093</v>
      </c>
      <c r="T422" s="17" t="str">
        <f t="shared" si="283"/>
        <v>1+0.744052574698162i</v>
      </c>
      <c r="U422" s="17">
        <f t="shared" si="293"/>
        <v>1.246440625908416</v>
      </c>
      <c r="V422" s="17">
        <f t="shared" si="294"/>
        <v>0.63968387779370872</v>
      </c>
      <c r="W422" s="31" t="str">
        <f t="shared" si="284"/>
        <v>1-2.32516429593176i</v>
      </c>
      <c r="X422" s="17">
        <f t="shared" si="295"/>
        <v>2.5310845507560269</v>
      </c>
      <c r="Y422" s="17">
        <f t="shared" si="296"/>
        <v>-1.1646331715430056</v>
      </c>
      <c r="Z422" s="31" t="str">
        <f t="shared" si="285"/>
        <v>0.245114140625641+20.5113185637901i</v>
      </c>
      <c r="AA422" s="17">
        <f t="shared" si="297"/>
        <v>20.512783091701987</v>
      </c>
      <c r="AB422" s="17">
        <f t="shared" si="298"/>
        <v>1.5588467062546116</v>
      </c>
      <c r="AC422" s="66" t="str">
        <f t="shared" si="299"/>
        <v>-0.00113662849357225+0.000640225144420177i</v>
      </c>
      <c r="AD422" s="64">
        <f t="shared" si="300"/>
        <v>-57.69088273386734</v>
      </c>
      <c r="AE422" s="61">
        <f t="shared" si="301"/>
        <v>150.6088809745801</v>
      </c>
      <c r="AF422" s="31" t="str">
        <f t="shared" si="286"/>
        <v>-1512.12121212121</v>
      </c>
      <c r="AG422" s="31" t="str">
        <f t="shared" si="302"/>
        <v>688937.569164965i</v>
      </c>
      <c r="AH422" s="31">
        <f t="shared" si="303"/>
        <v>688937.56916496495</v>
      </c>
      <c r="AI422" s="31">
        <f t="shared" si="304"/>
        <v>1.5707963267948966</v>
      </c>
      <c r="AJ422" s="31" t="str">
        <f t="shared" si="287"/>
        <v>-2062.3749277501+949.539916640289i</v>
      </c>
      <c r="AK422" s="31">
        <f t="shared" si="305"/>
        <v>2270.4661186429271</v>
      </c>
      <c r="AL422" s="31">
        <f t="shared" si="306"/>
        <v>2.7101148194446814</v>
      </c>
      <c r="AM422" s="31" t="str">
        <f t="shared" si="288"/>
        <v>1+4728.86747474831i</v>
      </c>
      <c r="AN422" s="31">
        <f t="shared" si="307"/>
        <v>4728.8675804818704</v>
      </c>
      <c r="AO422" s="31">
        <f t="shared" si="308"/>
        <v>1.5705848596750347</v>
      </c>
      <c r="AP422" s="31" t="str">
        <f t="shared" si="289"/>
        <v>1+181.879518259551i</v>
      </c>
      <c r="AQ422" s="31">
        <f t="shared" si="309"/>
        <v>181.88226731137465</v>
      </c>
      <c r="AR422" s="31">
        <f t="shared" si="310"/>
        <v>1.5652982369977695</v>
      </c>
      <c r="AS422" s="58" t="str">
        <f t="shared" si="311"/>
        <v>-0.343408410445803+0.757224928706521i</v>
      </c>
      <c r="AT422" s="49">
        <f t="shared" si="312"/>
        <v>-1.6032155152755792</v>
      </c>
      <c r="AU422" s="61">
        <f t="shared" si="313"/>
        <v>114.39472533572747</v>
      </c>
      <c r="AV422" s="58" t="str">
        <f t="shared" si="290"/>
        <v>-0.0000944666550946367-0.00108054212918381i</v>
      </c>
      <c r="AW422" s="64">
        <f t="shared" si="314"/>
        <v>-59.294098249142955</v>
      </c>
      <c r="AX422" s="61">
        <f t="shared" si="315"/>
        <v>-94.996393689692439</v>
      </c>
    </row>
    <row r="423" spans="14:50" x14ac:dyDescent="0.25">
      <c r="N423" s="10">
        <v>5</v>
      </c>
      <c r="O423" s="50">
        <f t="shared" si="316"/>
        <v>112201.84543019651</v>
      </c>
      <c r="P423" s="48" t="str">
        <f t="shared" si="281"/>
        <v>304.285714285714</v>
      </c>
      <c r="Q423" s="17" t="str">
        <f t="shared" si="282"/>
        <v>1+36709.575376038i</v>
      </c>
      <c r="R423" s="17">
        <f t="shared" si="291"/>
        <v>36709.575389658428</v>
      </c>
      <c r="S423" s="17">
        <f t="shared" si="292"/>
        <v>1.5707690859458945</v>
      </c>
      <c r="T423" s="17" t="str">
        <f t="shared" si="283"/>
        <v>1+0.761383785577082i</v>
      </c>
      <c r="U423" s="17">
        <f t="shared" si="293"/>
        <v>1.2568632658088501</v>
      </c>
      <c r="V423" s="17">
        <f t="shared" si="294"/>
        <v>0.65074701087436126</v>
      </c>
      <c r="W423" s="31" t="str">
        <f t="shared" si="284"/>
        <v>1-2.37932432992838i</v>
      </c>
      <c r="X423" s="17">
        <f t="shared" si="295"/>
        <v>2.5809270169822964</v>
      </c>
      <c r="Y423" s="17">
        <f t="shared" si="296"/>
        <v>-1.1729240686798719</v>
      </c>
      <c r="Z423" s="31" t="str">
        <f t="shared" si="285"/>
        <v>0.209537466129172+20.9890885487646i</v>
      </c>
      <c r="AA423" s="17">
        <f t="shared" si="297"/>
        <v>20.990134445915135</v>
      </c>
      <c r="AB423" s="17">
        <f t="shared" si="298"/>
        <v>1.5608134966697007</v>
      </c>
      <c r="AC423" s="66" t="str">
        <f t="shared" si="299"/>
        <v>-0.00111663209210215+0.000627778569728773i</v>
      </c>
      <c r="AD423" s="64">
        <f t="shared" si="300"/>
        <v>-57.848985218176345</v>
      </c>
      <c r="AE423" s="61">
        <f t="shared" si="301"/>
        <v>150.65499324863325</v>
      </c>
      <c r="AF423" s="31" t="str">
        <f t="shared" si="286"/>
        <v>-1512.12121212121</v>
      </c>
      <c r="AG423" s="31" t="str">
        <f t="shared" si="302"/>
        <v>704984.986645446i</v>
      </c>
      <c r="AH423" s="31">
        <f t="shared" si="303"/>
        <v>704984.98664544604</v>
      </c>
      <c r="AI423" s="31">
        <f t="shared" si="304"/>
        <v>1.5707963267948966</v>
      </c>
      <c r="AJ423" s="31" t="str">
        <f t="shared" si="287"/>
        <v>-2159.61879217959+971.657542588859i</v>
      </c>
      <c r="AK423" s="31">
        <f t="shared" si="305"/>
        <v>2368.1367586364286</v>
      </c>
      <c r="AL423" s="31">
        <f t="shared" si="306"/>
        <v>2.718804542935267</v>
      </c>
      <c r="AM423" s="31" t="str">
        <f t="shared" si="288"/>
        <v>1+4839.01694833433i</v>
      </c>
      <c r="AN423" s="31">
        <f t="shared" si="307"/>
        <v>4839.0170516611006</v>
      </c>
      <c r="AO423" s="31">
        <f t="shared" si="308"/>
        <v>1.5705896732542206</v>
      </c>
      <c r="AP423" s="31" t="str">
        <f t="shared" si="289"/>
        <v>1+186.116036474398i</v>
      </c>
      <c r="AQ423" s="31">
        <f t="shared" si="309"/>
        <v>186.11872295107617</v>
      </c>
      <c r="AR423" s="31">
        <f t="shared" si="310"/>
        <v>1.5654233863643205</v>
      </c>
      <c r="AS423" s="58" t="str">
        <f t="shared" si="311"/>
        <v>-0.330542512671924+0.745760919068128i</v>
      </c>
      <c r="AT423" s="49">
        <f t="shared" si="312"/>
        <v>-1.7690565043942348</v>
      </c>
      <c r="AU423" s="61">
        <f t="shared" si="313"/>
        <v>113.90428718286503</v>
      </c>
      <c r="AV423" s="58" t="str">
        <f t="shared" si="290"/>
        <v>-0.0000990783456786528-0.0010402480811068i</v>
      </c>
      <c r="AW423" s="64">
        <f t="shared" si="314"/>
        <v>-59.618041722570595</v>
      </c>
      <c r="AX423" s="61">
        <f t="shared" si="315"/>
        <v>-95.440719568501748</v>
      </c>
    </row>
    <row r="424" spans="14:50" x14ac:dyDescent="0.25">
      <c r="N424" s="10">
        <v>6</v>
      </c>
      <c r="O424" s="50">
        <f t="shared" si="316"/>
        <v>114815.36214968823</v>
      </c>
      <c r="P424" s="48" t="str">
        <f t="shared" si="281"/>
        <v>304.285714285714</v>
      </c>
      <c r="Q424" s="17" t="str">
        <f t="shared" si="282"/>
        <v>1+37564.6512319017i</v>
      </c>
      <c r="R424" s="17">
        <f t="shared" si="291"/>
        <v>37564.651245212088</v>
      </c>
      <c r="S424" s="17">
        <f t="shared" si="292"/>
        <v>1.570769706023321</v>
      </c>
      <c r="T424" s="17" t="str">
        <f t="shared" si="283"/>
        <v>1+0.779118692217218i</v>
      </c>
      <c r="U424" s="17">
        <f t="shared" si="293"/>
        <v>1.2676852671551673</v>
      </c>
      <c r="V424" s="17">
        <f t="shared" si="294"/>
        <v>0.66187811892582771</v>
      </c>
      <c r="W424" s="31" t="str">
        <f t="shared" si="284"/>
        <v>1-2.43474591317881i</v>
      </c>
      <c r="X424" s="17">
        <f t="shared" si="295"/>
        <v>2.6321070764201284</v>
      </c>
      <c r="Y424" s="17">
        <f t="shared" si="296"/>
        <v>-1.1810824588139002</v>
      </c>
      <c r="Z424" s="31" t="str">
        <f t="shared" si="285"/>
        <v>0.172284114619209+21.477987226311i</v>
      </c>
      <c r="AA424" s="17">
        <f t="shared" si="297"/>
        <v>21.47867819745267</v>
      </c>
      <c r="AB424" s="17">
        <f t="shared" si="298"/>
        <v>1.5627750714585733</v>
      </c>
      <c r="AC424" s="66" t="str">
        <f t="shared" si="299"/>
        <v>-0.00109752760948749+0.000615579090328388i</v>
      </c>
      <c r="AD424" s="64">
        <f t="shared" si="300"/>
        <v>-58.00380706330845</v>
      </c>
      <c r="AE424" s="61">
        <f t="shared" si="301"/>
        <v>150.71289195456438</v>
      </c>
      <c r="AF424" s="31" t="str">
        <f t="shared" si="286"/>
        <v>-1512.12121212121</v>
      </c>
      <c r="AG424" s="31" t="str">
        <f t="shared" si="302"/>
        <v>721406.196497424i</v>
      </c>
      <c r="AH424" s="31">
        <f t="shared" si="303"/>
        <v>721406.19649742404</v>
      </c>
      <c r="AI424" s="31">
        <f t="shared" si="304"/>
        <v>1.5707963267948966</v>
      </c>
      <c r="AJ424" s="31" t="str">
        <f t="shared" si="287"/>
        <v>-2261.44561874649+994.290354227916i</v>
      </c>
      <c r="AK424" s="31">
        <f t="shared" si="305"/>
        <v>2470.3743835820446</v>
      </c>
      <c r="AL424" s="31">
        <f t="shared" si="306"/>
        <v>2.7273620800091667</v>
      </c>
      <c r="AM424" s="31" t="str">
        <f t="shared" si="288"/>
        <v>1+4951.73213275831i</v>
      </c>
      <c r="AN424" s="31">
        <f t="shared" si="307"/>
        <v>4951.732233733077</v>
      </c>
      <c r="AO424" s="31">
        <f t="shared" si="308"/>
        <v>1.5705943772629762</v>
      </c>
      <c r="AP424" s="31" t="str">
        <f t="shared" si="289"/>
        <v>1+190.45123587532i</v>
      </c>
      <c r="AQ424" s="31">
        <f t="shared" si="309"/>
        <v>190.4538612011759</v>
      </c>
      <c r="AR424" s="31">
        <f t="shared" si="310"/>
        <v>1.5655456871461266</v>
      </c>
      <c r="AS424" s="58" t="str">
        <f t="shared" si="311"/>
        <v>-0.318064529952144+0.734256381583673i</v>
      </c>
      <c r="AT424" s="49">
        <f t="shared" si="312"/>
        <v>-1.936182080161573</v>
      </c>
      <c r="AU424" s="61">
        <f t="shared" si="313"/>
        <v>113.42125326398093</v>
      </c>
      <c r="AV424" s="58" t="str">
        <f t="shared" si="290"/>
        <v>-0.000102908272221952-0.00100166052524413i</v>
      </c>
      <c r="AW424" s="64">
        <f t="shared" si="314"/>
        <v>-59.939989143470029</v>
      </c>
      <c r="AX424" s="61">
        <f t="shared" si="315"/>
        <v>-95.865854781454644</v>
      </c>
    </row>
    <row r="425" spans="14:50" x14ac:dyDescent="0.25">
      <c r="N425" s="10">
        <v>7</v>
      </c>
      <c r="O425" s="50">
        <f t="shared" si="316"/>
        <v>117489.75549395311</v>
      </c>
      <c r="P425" s="48" t="str">
        <f t="shared" si="281"/>
        <v>304.285714285714</v>
      </c>
      <c r="Q425" s="17" t="str">
        <f t="shared" si="282"/>
        <v>1+38439.6443630756i</v>
      </c>
      <c r="R425" s="17">
        <f t="shared" si="291"/>
        <v>38439.644376083001</v>
      </c>
      <c r="S425" s="17">
        <f t="shared" si="292"/>
        <v>1.5707703119860621</v>
      </c>
      <c r="T425" s="17" t="str">
        <f t="shared" si="283"/>
        <v>1+0.797266697900826i</v>
      </c>
      <c r="U425" s="17">
        <f t="shared" si="293"/>
        <v>1.2789191481800901</v>
      </c>
      <c r="V425" s="17">
        <f t="shared" si="294"/>
        <v>0.67307207101319622</v>
      </c>
      <c r="W425" s="31" t="str">
        <f t="shared" si="284"/>
        <v>1-2.49145843094008i</v>
      </c>
      <c r="X425" s="17">
        <f t="shared" si="295"/>
        <v>2.6846536300056294</v>
      </c>
      <c r="Y425" s="17">
        <f t="shared" si="296"/>
        <v>-1.1891083224465111</v>
      </c>
      <c r="Z425" s="31" t="str">
        <f t="shared" si="285"/>
        <v>0.133275066742545+21.9782738169796i</v>
      </c>
      <c r="AA425" s="17">
        <f t="shared" si="297"/>
        <v>21.978677899672359</v>
      </c>
      <c r="AB425" s="17">
        <f t="shared" si="298"/>
        <v>1.5647324550679229</v>
      </c>
      <c r="AC425" s="66" t="str">
        <f t="shared" si="299"/>
        <v>-0.00107927506180147+0.000603625915828979i</v>
      </c>
      <c r="AD425" s="64">
        <f t="shared" si="300"/>
        <v>-58.15536021552834</v>
      </c>
      <c r="AE425" s="61">
        <f t="shared" si="301"/>
        <v>150.78222551333471</v>
      </c>
      <c r="AF425" s="31" t="str">
        <f t="shared" si="286"/>
        <v>-1512.12121212121</v>
      </c>
      <c r="AG425" s="31" t="str">
        <f t="shared" si="302"/>
        <v>738209.905463728i</v>
      </c>
      <c r="AH425" s="31">
        <f t="shared" si="303"/>
        <v>738209.90546372801</v>
      </c>
      <c r="AI425" s="31">
        <f t="shared" si="304"/>
        <v>1.5707963267948966</v>
      </c>
      <c r="AJ425" s="31" t="str">
        <f t="shared" si="287"/>
        <v>-2368.07139580214+1017.45035177378i</v>
      </c>
      <c r="AK425" s="31">
        <f t="shared" si="305"/>
        <v>2577.3954593622002</v>
      </c>
      <c r="AL425" s="31">
        <f t="shared" si="306"/>
        <v>2.7357869946498448</v>
      </c>
      <c r="AM425" s="31" t="str">
        <f t="shared" si="288"/>
        <v>1+5067.07279110302i</v>
      </c>
      <c r="AN425" s="31">
        <f t="shared" si="307"/>
        <v>5067.0728897793206</v>
      </c>
      <c r="AO425" s="31">
        <f t="shared" si="308"/>
        <v>1.5705989741954287</v>
      </c>
      <c r="AP425" s="31" t="str">
        <f t="shared" si="289"/>
        <v>1+194.887415042424i</v>
      </c>
      <c r="AQ425" s="31">
        <f t="shared" si="309"/>
        <v>194.88998060936339</v>
      </c>
      <c r="AR425" s="31">
        <f t="shared" si="310"/>
        <v>1.5656652041740382</v>
      </c>
      <c r="AS425" s="58" t="str">
        <f t="shared" si="311"/>
        <v>-0.305969815652992+0.722724963576601i</v>
      </c>
      <c r="AT425" s="49">
        <f t="shared" si="312"/>
        <v>-2.1045531527859351</v>
      </c>
      <c r="AU425" s="61">
        <f t="shared" si="313"/>
        <v>112.9456524184196</v>
      </c>
      <c r="AV425" s="58" t="str">
        <f t="shared" si="290"/>
        <v>-0.000106029926333124-0.000964710339919162i</v>
      </c>
      <c r="AW425" s="64">
        <f t="shared" si="314"/>
        <v>-60.259913368314272</v>
      </c>
      <c r="AX425" s="61">
        <f t="shared" si="315"/>
        <v>-96.272122068245707</v>
      </c>
    </row>
    <row r="426" spans="14:50" x14ac:dyDescent="0.25">
      <c r="N426" s="10">
        <v>8</v>
      </c>
      <c r="O426" s="50">
        <f t="shared" si="316"/>
        <v>120226.44346174144</v>
      </c>
      <c r="P426" s="48" t="str">
        <f t="shared" si="281"/>
        <v>304.285714285714</v>
      </c>
      <c r="Q426" s="17" t="str">
        <f t="shared" si="282"/>
        <v>1+39335.0187024997i</v>
      </c>
      <c r="R426" s="17">
        <f t="shared" si="291"/>
        <v>39335.018715211016</v>
      </c>
      <c r="S426" s="17">
        <f t="shared" si="292"/>
        <v>1.5707709041554072</v>
      </c>
      <c r="T426" s="17" t="str">
        <f t="shared" si="283"/>
        <v>1+0.815837424940733i</v>
      </c>
      <c r="U426" s="17">
        <f t="shared" si="293"/>
        <v>1.2905776628835346</v>
      </c>
      <c r="V426" s="17">
        <f t="shared" si="294"/>
        <v>0.68432358167701246</v>
      </c>
      <c r="W426" s="31" t="str">
        <f t="shared" si="284"/>
        <v>1-2.54949195293979i</v>
      </c>
      <c r="X426" s="17">
        <f t="shared" si="295"/>
        <v>2.7385962130450601</v>
      </c>
      <c r="Y426" s="17">
        <f t="shared" si="296"/>
        <v>-1.1970017780984723</v>
      </c>
      <c r="Z426" s="31" t="str">
        <f t="shared" si="285"/>
        <v>0.092427579078608+22.4902135793428i</v>
      </c>
      <c r="AA426" s="17">
        <f t="shared" si="297"/>
        <v>22.490403502423643</v>
      </c>
      <c r="AB426" s="17">
        <f t="shared" si="298"/>
        <v>1.5666866700143196</v>
      </c>
      <c r="AC426" s="66" t="str">
        <f t="shared" si="299"/>
        <v>-0.00106183622509274+0.000591918008570075i</v>
      </c>
      <c r="AD426" s="64">
        <f t="shared" si="300"/>
        <v>-58.303657950539609</v>
      </c>
      <c r="AE426" s="61">
        <f t="shared" si="301"/>
        <v>150.86262569539258</v>
      </c>
      <c r="AF426" s="31" t="str">
        <f t="shared" si="286"/>
        <v>-1512.12121212121</v>
      </c>
      <c r="AG426" s="31" t="str">
        <f t="shared" si="302"/>
        <v>755405.023093271i</v>
      </c>
      <c r="AH426" s="31">
        <f t="shared" si="303"/>
        <v>755405.02309327095</v>
      </c>
      <c r="AI426" s="31">
        <f t="shared" si="304"/>
        <v>1.5707963267948966</v>
      </c>
      <c r="AJ426" s="31" t="str">
        <f t="shared" si="287"/>
        <v>-2479.72229091521+1041.14981496369i</v>
      </c>
      <c r="AK426" s="31">
        <f t="shared" si="305"/>
        <v>2689.4266261158164</v>
      </c>
      <c r="AL426" s="31">
        <f t="shared" si="306"/>
        <v>2.744079007841794</v>
      </c>
      <c r="AM426" s="31" t="str">
        <f t="shared" si="288"/>
        <v>1+5185.1000785122i</v>
      </c>
      <c r="AN426" s="31">
        <f t="shared" si="307"/>
        <v>5185.1001749423531</v>
      </c>
      <c r="AO426" s="31">
        <f t="shared" si="308"/>
        <v>1.5706034664889315</v>
      </c>
      <c r="AP426" s="31" t="str">
        <f t="shared" si="289"/>
        <v>1+199.426926096623i</v>
      </c>
      <c r="AQ426" s="31">
        <f t="shared" si="309"/>
        <v>199.42943326487176</v>
      </c>
      <c r="AR426" s="31">
        <f t="shared" si="310"/>
        <v>1.5657820008038998</v>
      </c>
      <c r="AS426" s="58" t="str">
        <f t="shared" si="311"/>
        <v>-0.294253216594551+0.711179745432534i</v>
      </c>
      <c r="AT426" s="49">
        <f t="shared" si="312"/>
        <v>-2.2741311291328801</v>
      </c>
      <c r="AU426" s="61">
        <f t="shared" si="313"/>
        <v>112.47750440226467</v>
      </c>
      <c r="AV426" s="58" t="str">
        <f t="shared" si="290"/>
        <v>-0.000108511373921644-0.000929330194234483i</v>
      </c>
      <c r="AW426" s="64">
        <f t="shared" si="314"/>
        <v>-60.577789079672485</v>
      </c>
      <c r="AX426" s="61">
        <f t="shared" si="315"/>
        <v>-96.659869902342734</v>
      </c>
    </row>
    <row r="427" spans="14:50" x14ac:dyDescent="0.25">
      <c r="N427" s="10">
        <v>9</v>
      </c>
      <c r="O427" s="50">
        <f t="shared" si="316"/>
        <v>123026.87708123829</v>
      </c>
      <c r="P427" s="48" t="str">
        <f t="shared" si="281"/>
        <v>304.285714285714</v>
      </c>
      <c r="Q427" s="17" t="str">
        <f t="shared" si="282"/>
        <v>1+40251.2489895003i</v>
      </c>
      <c r="R427" s="17">
        <f t="shared" si="291"/>
        <v>40251.249001922275</v>
      </c>
      <c r="S427" s="17">
        <f t="shared" si="292"/>
        <v>1.5707714828453323</v>
      </c>
      <c r="T427" s="17" t="str">
        <f t="shared" si="283"/>
        <v>1+0.834840719782227i</v>
      </c>
      <c r="U427" s="17">
        <f t="shared" si="293"/>
        <v>1.3026737993091391</v>
      </c>
      <c r="V427" s="17">
        <f t="shared" si="294"/>
        <v>0.69562722207075489</v>
      </c>
      <c r="W427" s="31" t="str">
        <f t="shared" si="284"/>
        <v>1-2.60887724931946i</v>
      </c>
      <c r="X427" s="17">
        <f t="shared" si="295"/>
        <v>2.7939650144582471</v>
      </c>
      <c r="Y427" s="17">
        <f t="shared" si="296"/>
        <v>-1.2047630754327781</v>
      </c>
      <c r="Z427" s="31" t="str">
        <f t="shared" si="285"/>
        <v>0.049655008629544+23.0140779506389i</v>
      </c>
      <c r="AA427" s="17">
        <f t="shared" si="297"/>
        <v>23.014131518220832</v>
      </c>
      <c r="AB427" s="17">
        <f t="shared" si="298"/>
        <v>1.5686387373539981</v>
      </c>
      <c r="AC427" s="66" t="str">
        <f t="shared" si="299"/>
        <v>-0.00104517455844076+0.00058045410789359i</v>
      </c>
      <c r="AD427" s="64">
        <f t="shared" si="300"/>
        <v>-58.448714928133505</v>
      </c>
      <c r="AE427" s="61">
        <f t="shared" si="301"/>
        <v>150.95370862590647</v>
      </c>
      <c r="AF427" s="31" t="str">
        <f t="shared" si="286"/>
        <v>-1512.12121212121</v>
      </c>
      <c r="AG427" s="31" t="str">
        <f t="shared" si="302"/>
        <v>773000.666465025i</v>
      </c>
      <c r="AH427" s="31">
        <f t="shared" si="303"/>
        <v>773000.66646502505</v>
      </c>
      <c r="AI427" s="31">
        <f t="shared" si="304"/>
        <v>1.5707963267948966</v>
      </c>
      <c r="AJ427" s="31" t="str">
        <f t="shared" si="287"/>
        <v>-2596.63513060355+1065.40130956675i</v>
      </c>
      <c r="AK427" s="31">
        <f t="shared" si="305"/>
        <v>2806.7051772338077</v>
      </c>
      <c r="AL427" s="31">
        <f t="shared" si="306"/>
        <v>2.7522379908683812</v>
      </c>
      <c r="AM427" s="31" t="str">
        <f t="shared" si="288"/>
        <v>1+5305.87657461592i</v>
      </c>
      <c r="AN427" s="31">
        <f t="shared" si="307"/>
        <v>5305.876668851055</v>
      </c>
      <c r="AO427" s="31">
        <f t="shared" si="308"/>
        <v>1.5706078565253574</v>
      </c>
      <c r="AP427" s="31" t="str">
        <f t="shared" si="289"/>
        <v>1+204.072175946767i</v>
      </c>
      <c r="AQ427" s="31">
        <f t="shared" si="309"/>
        <v>204.07462604559203</v>
      </c>
      <c r="AR427" s="31">
        <f t="shared" si="310"/>
        <v>1.5658961389500772</v>
      </c>
      <c r="AS427" s="58" t="str">
        <f t="shared" si="311"/>
        <v>-0.28290912016076+0.699633230675008i</v>
      </c>
      <c r="AT427" s="49">
        <f t="shared" si="312"/>
        <v>-2.4448779617177778</v>
      </c>
      <c r="AU427" s="61">
        <f t="shared" si="313"/>
        <v>112.01682027433883</v>
      </c>
      <c r="AV427" s="58" t="str">
        <f t="shared" si="290"/>
        <v>-0.000110415568021286-0.000895454613899108i</v>
      </c>
      <c r="AW427" s="64">
        <f t="shared" si="314"/>
        <v>-60.893592889851284</v>
      </c>
      <c r="AX427" s="61">
        <f t="shared" si="315"/>
        <v>-97.029471099754687</v>
      </c>
    </row>
    <row r="428" spans="14:50" x14ac:dyDescent="0.25">
      <c r="N428" s="10">
        <v>10</v>
      </c>
      <c r="O428" s="50">
        <f t="shared" si="316"/>
        <v>125892.54117941685</v>
      </c>
      <c r="P428" s="48" t="str">
        <f t="shared" si="281"/>
        <v>304.285714285714</v>
      </c>
      <c r="Q428" s="17" t="str">
        <f t="shared" si="282"/>
        <v>1+41188.8210215035i</v>
      </c>
      <c r="R428" s="17">
        <f t="shared" si="291"/>
        <v>41188.821033642715</v>
      </c>
      <c r="S428" s="17">
        <f t="shared" si="292"/>
        <v>1.5707720483626666</v>
      </c>
      <c r="T428" s="17" t="str">
        <f t="shared" si="283"/>
        <v>1+0.854286658223774i</v>
      </c>
      <c r="U428" s="17">
        <f t="shared" si="293"/>
        <v>1.3152207778236866</v>
      </c>
      <c r="V428" s="17">
        <f t="shared" si="294"/>
        <v>0.70697743194345031</v>
      </c>
      <c r="W428" s="31" t="str">
        <f t="shared" si="284"/>
        <v>1-2.6696458069493i</v>
      </c>
      <c r="X428" s="17">
        <f t="shared" si="295"/>
        <v>2.8507908963236814</v>
      </c>
      <c r="Y428" s="17">
        <f t="shared" si="296"/>
        <v>-1.2123925883865787</v>
      </c>
      <c r="Z428" s="31" t="str">
        <f t="shared" si="285"/>
        <v>0.00486662903880897+23.5501446906918i</v>
      </c>
      <c r="AA428" s="17">
        <f t="shared" si="297"/>
        <v>23.550145193535375</v>
      </c>
      <c r="AB428" s="17">
        <f t="shared" si="298"/>
        <v>1.57058967715289</v>
      </c>
      <c r="AC428" s="66" t="str">
        <f t="shared" si="299"/>
        <v>-0.00102925513022216+0.000569232752664963i</v>
      </c>
      <c r="AD428" s="64">
        <f t="shared" si="300"/>
        <v>-58.5905472449369</v>
      </c>
      <c r="AE428" s="61">
        <f t="shared" si="301"/>
        <v>151.05507583788929</v>
      </c>
      <c r="AF428" s="31" t="str">
        <f t="shared" si="286"/>
        <v>-1512.12121212121</v>
      </c>
      <c r="AG428" s="31" t="str">
        <f t="shared" si="302"/>
        <v>791006.165022013i</v>
      </c>
      <c r="AH428" s="31">
        <f t="shared" si="303"/>
        <v>791006.16502201301</v>
      </c>
      <c r="AI428" s="31">
        <f t="shared" si="304"/>
        <v>1.5707963267948966</v>
      </c>
      <c r="AJ428" s="31" t="str">
        <f t="shared" si="287"/>
        <v>-2719.0579026749+1090.2176940464i</v>
      </c>
      <c r="AK428" s="31">
        <f t="shared" si="305"/>
        <v>2929.4795610330984</v>
      </c>
      <c r="AL428" s="31">
        <f t="shared" si="306"/>
        <v>2.7602639585149156</v>
      </c>
      <c r="AM428" s="31" t="str">
        <f t="shared" si="288"/>
        <v>1+5429.46631671108i</v>
      </c>
      <c r="AN428" s="31">
        <f t="shared" si="307"/>
        <v>5429.4664088011614</v>
      </c>
      <c r="AO428" s="31">
        <f t="shared" si="308"/>
        <v>1.5706121466323613</v>
      </c>
      <c r="AP428" s="31" t="str">
        <f t="shared" si="289"/>
        <v>1+208.825627565811i</v>
      </c>
      <c r="AQ428" s="31">
        <f t="shared" si="309"/>
        <v>208.82802189422475</v>
      </c>
      <c r="AR428" s="31">
        <f t="shared" si="310"/>
        <v>1.5660076791182236</v>
      </c>
      <c r="AS428" s="58" t="str">
        <f t="shared" si="311"/>
        <v>-0.271931500261488+0.688097339521177i</v>
      </c>
      <c r="AT428" s="49">
        <f t="shared" si="312"/>
        <v>-2.6167561929761627</v>
      </c>
      <c r="AU428" s="61">
        <f t="shared" si="313"/>
        <v>111.56360278758977</v>
      </c>
      <c r="AV428" s="58" t="str">
        <f t="shared" si="290"/>
        <v>-0.000111800650963932-0.000863020033224551i</v>
      </c>
      <c r="AW428" s="64">
        <f t="shared" si="314"/>
        <v>-61.207303437913069</v>
      </c>
      <c r="AX428" s="61">
        <f t="shared" si="315"/>
        <v>-97.381321374520923</v>
      </c>
    </row>
    <row r="429" spans="14:50" x14ac:dyDescent="0.25">
      <c r="N429" s="10">
        <v>11</v>
      </c>
      <c r="O429" s="50">
        <f t="shared" si="316"/>
        <v>128824.95516931375</v>
      </c>
      <c r="P429" s="48" t="str">
        <f t="shared" si="281"/>
        <v>304.285714285714</v>
      </c>
      <c r="Q429" s="17" t="str">
        <f t="shared" si="282"/>
        <v>1+42148.2319116108i</v>
      </c>
      <c r="R429" s="17">
        <f t="shared" si="291"/>
        <v>42148.231923473701</v>
      </c>
      <c r="S429" s="17">
        <f t="shared" si="292"/>
        <v>1.5707726010072549</v>
      </c>
      <c r="T429" s="17" t="str">
        <f t="shared" si="283"/>
        <v>1+0.874185550759333i</v>
      </c>
      <c r="U429" s="17">
        <f t="shared" si="293"/>
        <v>1.3282320494388014</v>
      </c>
      <c r="V429" s="17">
        <f t="shared" si="294"/>
        <v>0.71836853241070986</v>
      </c>
      <c r="W429" s="31" t="str">
        <f t="shared" si="284"/>
        <v>1-2.73182984612292i</v>
      </c>
      <c r="X429" s="17">
        <f t="shared" si="295"/>
        <v>2.909105413725666</v>
      </c>
      <c r="Y429" s="17">
        <f t="shared" si="296"/>
        <v>-1.2198908083430606</v>
      </c>
      <c r="Z429" s="31" t="str">
        <f t="shared" si="285"/>
        <v>-0.04203256185159+24.0986980291828i</v>
      </c>
      <c r="AA429" s="17">
        <f t="shared" si="297"/>
        <v>24.098734685414389</v>
      </c>
      <c r="AB429" s="17">
        <f t="shared" si="298"/>
        <v>1.5725405089568234</v>
      </c>
      <c r="AC429" s="66" t="str">
        <f t="shared" si="299"/>
        <v>-0.00101404454746295+0.000558252302159651i</v>
      </c>
      <c r="AD429" s="64">
        <f t="shared" si="300"/>
        <v>-58.729172484392258</v>
      </c>
      <c r="AE429" s="61">
        <f t="shared" si="301"/>
        <v>151.16631536819787</v>
      </c>
      <c r="AF429" s="31" t="str">
        <f t="shared" si="286"/>
        <v>-1512.12121212121</v>
      </c>
      <c r="AG429" s="31" t="str">
        <f t="shared" si="302"/>
        <v>809431.065517901i</v>
      </c>
      <c r="AH429" s="31">
        <f t="shared" si="303"/>
        <v>809431.06551790098</v>
      </c>
      <c r="AI429" s="31">
        <f t="shared" si="304"/>
        <v>1.5707963267948966</v>
      </c>
      <c r="AJ429" s="31" t="str">
        <f t="shared" si="287"/>
        <v>-2847.25028224235+1115.61212637816i</v>
      </c>
      <c r="AK429" s="31">
        <f t="shared" si="305"/>
        <v>3058.0099061728265</v>
      </c>
      <c r="AL429" s="31">
        <f t="shared" si="306"/>
        <v>2.7681570622161003</v>
      </c>
      <c r="AM429" s="31" t="str">
        <f t="shared" si="288"/>
        <v>1+5555.93483371486i</v>
      </c>
      <c r="AN429" s="31">
        <f t="shared" si="307"/>
        <v>5555.9349237087154</v>
      </c>
      <c r="AO429" s="31">
        <f t="shared" si="308"/>
        <v>1.5706163390846137</v>
      </c>
      <c r="AP429" s="31" t="str">
        <f t="shared" si="289"/>
        <v>1+213.689801296726i</v>
      </c>
      <c r="AQ429" s="31">
        <f t="shared" si="309"/>
        <v>213.69214112417481</v>
      </c>
      <c r="AR429" s="31">
        <f t="shared" si="310"/>
        <v>1.5661166804373052</v>
      </c>
      <c r="AS429" s="58" t="str">
        <f t="shared" si="311"/>
        <v>-0.261313961935643+0.676583405673085i</v>
      </c>
      <c r="AT429" s="49">
        <f t="shared" si="312"/>
        <v>-2.7897289949393751</v>
      </c>
      <c r="AU429" s="61">
        <f t="shared" si="313"/>
        <v>111.11784678361737</v>
      </c>
      <c r="AV429" s="58" t="str">
        <f t="shared" si="290"/>
        <v>-0.000112720245543237-0.000831964834263737i</v>
      </c>
      <c r="AW429" s="64">
        <f t="shared" si="314"/>
        <v>-61.518901479331646</v>
      </c>
      <c r="AX429" s="61">
        <f t="shared" si="315"/>
        <v>-97.715837848184734</v>
      </c>
    </row>
    <row r="430" spans="14:50" x14ac:dyDescent="0.25">
      <c r="N430" s="10">
        <v>12</v>
      </c>
      <c r="O430" s="50">
        <f t="shared" si="316"/>
        <v>131825.67385564081</v>
      </c>
      <c r="P430" s="48" t="str">
        <f t="shared" si="281"/>
        <v>304.285714285714</v>
      </c>
      <c r="Q430" s="17" t="str">
        <f t="shared" si="282"/>
        <v>1+43129.9903521753i</v>
      </c>
      <c r="R430" s="17">
        <f t="shared" si="291"/>
        <v>43129.990363768164</v>
      </c>
      <c r="S430" s="17">
        <f t="shared" si="292"/>
        <v>1.5707731410721164</v>
      </c>
      <c r="T430" s="17" t="str">
        <f t="shared" si="283"/>
        <v>1+0.894547948045115i</v>
      </c>
      <c r="U430" s="17">
        <f t="shared" si="293"/>
        <v>1.3417212942156524</v>
      </c>
      <c r="V430" s="17">
        <f t="shared" si="294"/>
        <v>0.72979473944889273</v>
      </c>
      <c r="W430" s="31" t="str">
        <f t="shared" si="284"/>
        <v>1-2.79546233764099i</v>
      </c>
      <c r="X430" s="17">
        <f t="shared" si="295"/>
        <v>2.9689408349054767</v>
      </c>
      <c r="Y430" s="17">
        <f t="shared" si="296"/>
        <v>-1.227258337371298</v>
      </c>
      <c r="Z430" s="31" t="str">
        <f t="shared" si="285"/>
        <v>-0.09114204351341+24.6600288163527i</v>
      </c>
      <c r="AA430" s="17">
        <f t="shared" si="297"/>
        <v>24.660197243644287</v>
      </c>
      <c r="AB430" s="17">
        <f t="shared" si="298"/>
        <v>1.5744922522618039</v>
      </c>
      <c r="AC430" s="66" t="str">
        <f t="shared" si="299"/>
        <v>-0.000999510888155336+0.000547510955424519i</v>
      </c>
      <c r="AD430" s="64">
        <f t="shared" si="300"/>
        <v>-58.864609763135576</v>
      </c>
      <c r="AE430" s="61">
        <f t="shared" si="301"/>
        <v>151.28700289106487</v>
      </c>
      <c r="AF430" s="31" t="str">
        <f t="shared" si="286"/>
        <v>-1512.12121212121</v>
      </c>
      <c r="AG430" s="31" t="str">
        <f t="shared" si="302"/>
        <v>828285.13707881i</v>
      </c>
      <c r="AH430" s="31">
        <f t="shared" si="303"/>
        <v>828285.13707881002</v>
      </c>
      <c r="AI430" s="31">
        <f t="shared" si="304"/>
        <v>1.5707963267948966</v>
      </c>
      <c r="AJ430" s="31" t="str">
        <f t="shared" si="287"/>
        <v>-2981.48418252999+1141.5980710262i</v>
      </c>
      <c r="AK430" s="31">
        <f t="shared" si="305"/>
        <v>3192.5685719256307</v>
      </c>
      <c r="AL430" s="31">
        <f t="shared" si="306"/>
        <v>2.7759175831841558</v>
      </c>
      <c r="AM430" s="31" t="str">
        <f t="shared" si="288"/>
        <v>1+5685.34918090894i</v>
      </c>
      <c r="AN430" s="31">
        <f t="shared" si="307"/>
        <v>5685.3492688542856</v>
      </c>
      <c r="AO430" s="31">
        <f t="shared" si="308"/>
        <v>1.570620436105008</v>
      </c>
      <c r="AP430" s="31" t="str">
        <f t="shared" si="289"/>
        <v>1+218.667276188806i</v>
      </c>
      <c r="AQ430" s="31">
        <f t="shared" si="309"/>
        <v>218.669562755843</v>
      </c>
      <c r="AR430" s="31">
        <f t="shared" si="310"/>
        <v>1.5662232006908972</v>
      </c>
      <c r="AS430" s="58" t="str">
        <f t="shared" si="311"/>
        <v>-0.251049784416421+0.665102176094775i</v>
      </c>
      <c r="AT430" s="49">
        <f t="shared" si="312"/>
        <v>-2.9637602044640907</v>
      </c>
      <c r="AU430" s="61">
        <f t="shared" si="313"/>
        <v>110.67953958826571</v>
      </c>
      <c r="AV430" s="58" t="str">
        <f t="shared" si="290"/>
        <v>-0.000113223734895314-0.000802229374067489i</v>
      </c>
      <c r="AW430" s="64">
        <f t="shared" si="314"/>
        <v>-61.82836996759967</v>
      </c>
      <c r="AX430" s="61">
        <f t="shared" si="315"/>
        <v>-98.033457520669401</v>
      </c>
    </row>
    <row r="431" spans="14:50" x14ac:dyDescent="0.25">
      <c r="N431" s="10">
        <v>13</v>
      </c>
      <c r="O431" s="50">
        <f t="shared" si="316"/>
        <v>134896.28825916545</v>
      </c>
      <c r="P431" s="48" t="str">
        <f t="shared" si="281"/>
        <v>304.285714285714</v>
      </c>
      <c r="Q431" s="17" t="str">
        <f t="shared" si="282"/>
        <v>1+44134.6168845175i</v>
      </c>
      <c r="R431" s="17">
        <f t="shared" si="291"/>
        <v>44134.61689584647</v>
      </c>
      <c r="S431" s="17">
        <f t="shared" si="292"/>
        <v>1.5707736688436007</v>
      </c>
      <c r="T431" s="17" t="str">
        <f t="shared" si="283"/>
        <v>1+0.915384646493694i</v>
      </c>
      <c r="U431" s="17">
        <f t="shared" si="293"/>
        <v>1.3557024197943977</v>
      </c>
      <c r="V431" s="17">
        <f t="shared" si="294"/>
        <v>0.74125017803907245</v>
      </c>
      <c r="W431" s="31" t="str">
        <f t="shared" si="284"/>
        <v>1-2.8605770202928i</v>
      </c>
      <c r="X431" s="17">
        <f t="shared" si="295"/>
        <v>3.0303301617195504</v>
      </c>
      <c r="Y431" s="17">
        <f t="shared" si="296"/>
        <v>-1.2344958815592111</v>
      </c>
      <c r="Z431" s="31" t="str">
        <f t="shared" si="285"/>
        <v>-0.14256598374149+25.2344346772152i</v>
      </c>
      <c r="AA431" s="17">
        <f t="shared" si="297"/>
        <v>25.234837398690747</v>
      </c>
      <c r="AB431" s="17">
        <f t="shared" si="298"/>
        <v>1.5764459269843076</v>
      </c>
      <c r="AC431" s="66" t="str">
        <f t="shared" si="299"/>
        <v>-0.000985623636421682+0.000537006769216447i</v>
      </c>
      <c r="AD431" s="64">
        <f t="shared" si="300"/>
        <v>-58.996879772984585</v>
      </c>
      <c r="AE431" s="61">
        <f t="shared" si="301"/>
        <v>151.41670288352708</v>
      </c>
      <c r="AF431" s="31" t="str">
        <f t="shared" si="286"/>
        <v>-1512.12121212121</v>
      </c>
      <c r="AG431" s="31" t="str">
        <f t="shared" si="302"/>
        <v>847578.37638305i</v>
      </c>
      <c r="AH431" s="31">
        <f t="shared" si="303"/>
        <v>847578.37638305</v>
      </c>
      <c r="AI431" s="31">
        <f t="shared" si="304"/>
        <v>1.5707963267948966</v>
      </c>
      <c r="AJ431" s="31" t="str">
        <f t="shared" si="287"/>
        <v>-3122.0443316374+1168.18930608234i</v>
      </c>
      <c r="AK431" s="31">
        <f t="shared" si="305"/>
        <v>3333.4407244698914</v>
      </c>
      <c r="AL431" s="31">
        <f t="shared" si="306"/>
        <v>2.7835459255510719</v>
      </c>
      <c r="AM431" s="31" t="str">
        <f t="shared" si="288"/>
        <v>1+5817.77797549324i</v>
      </c>
      <c r="AN431" s="31">
        <f t="shared" si="307"/>
        <v>5817.7780614367057</v>
      </c>
      <c r="AO431" s="31">
        <f t="shared" si="308"/>
        <v>1.5706244398658382</v>
      </c>
      <c r="AP431" s="31" t="str">
        <f t="shared" si="289"/>
        <v>1+223.760691365125i</v>
      </c>
      <c r="AQ431" s="31">
        <f t="shared" si="309"/>
        <v>223.76292588406758</v>
      </c>
      <c r="AR431" s="31">
        <f t="shared" si="310"/>
        <v>1.5663272963477735</v>
      </c>
      <c r="AS431" s="58" t="str">
        <f t="shared" si="311"/>
        <v>-0.241131962510237+0.653663813523957i</v>
      </c>
      <c r="AT431" s="49">
        <f t="shared" si="312"/>
        <v>-3.1388143541772653</v>
      </c>
      <c r="AU431" s="61">
        <f t="shared" si="313"/>
        <v>110.24866140636298</v>
      </c>
      <c r="AV431" s="58" t="str">
        <f t="shared" si="290"/>
        <v>-0.000113356530907366-0.00077375600102519i</v>
      </c>
      <c r="AW431" s="64">
        <f t="shared" si="314"/>
        <v>-62.135694127161855</v>
      </c>
      <c r="AX431" s="61">
        <f t="shared" si="315"/>
        <v>-98.334635710109936</v>
      </c>
    </row>
    <row r="432" spans="14:50" x14ac:dyDescent="0.25">
      <c r="N432" s="10">
        <v>14</v>
      </c>
      <c r="O432" s="50">
        <f t="shared" si="316"/>
        <v>138038.42646028858</v>
      </c>
      <c r="P432" s="48" t="str">
        <f t="shared" si="281"/>
        <v>304.285714285714</v>
      </c>
      <c r="Q432" s="17" t="str">
        <f t="shared" si="282"/>
        <v>1+45162.6441749226i</v>
      </c>
      <c r="R432" s="17">
        <f t="shared" si="291"/>
        <v>45162.644185993697</v>
      </c>
      <c r="S432" s="17">
        <f t="shared" si="292"/>
        <v>1.5707741846015395</v>
      </c>
      <c r="T432" s="17" t="str">
        <f t="shared" si="283"/>
        <v>1+0.936706693998393i</v>
      </c>
      <c r="U432" s="17">
        <f t="shared" si="293"/>
        <v>1.3701895600906464</v>
      </c>
      <c r="V432" s="17">
        <f t="shared" si="294"/>
        <v>0.75272889688008937</v>
      </c>
      <c r="W432" s="31" t="str">
        <f t="shared" si="284"/>
        <v>1-2.92720841874498i</v>
      </c>
      <c r="X432" s="17">
        <f t="shared" si="295"/>
        <v>3.0933071504090064</v>
      </c>
      <c r="Y432" s="17">
        <f t="shared" si="296"/>
        <v>-1.2416042444619919</v>
      </c>
      <c r="Z432" s="31" t="str">
        <f t="shared" si="285"/>
        <v>-0.19641345960758+25.8222201693608i</v>
      </c>
      <c r="AA432" s="17">
        <f t="shared" si="297"/>
        <v>25.822967155655423</v>
      </c>
      <c r="AB432" s="17">
        <f t="shared" si="298"/>
        <v>1.5784025539315027</v>
      </c>
      <c r="AC432" s="66" t="str">
        <f t="shared" si="299"/>
        <v>-0.000972353620412223+0.00052673767461406i</v>
      </c>
      <c r="AD432" s="64">
        <f t="shared" si="300"/>
        <v>-59.126004817803249</v>
      </c>
      <c r="AE432" s="61">
        <f t="shared" si="301"/>
        <v>151.55496981684894</v>
      </c>
      <c r="AF432" s="31" t="str">
        <f t="shared" si="286"/>
        <v>-1512.12121212121</v>
      </c>
      <c r="AG432" s="31" t="str">
        <f t="shared" si="302"/>
        <v>867321.012961475i</v>
      </c>
      <c r="AH432" s="31">
        <f t="shared" si="303"/>
        <v>867321.01296147495</v>
      </c>
      <c r="AI432" s="31">
        <f t="shared" si="304"/>
        <v>1.5707963267948966</v>
      </c>
      <c r="AJ432" s="31" t="str">
        <f t="shared" si="287"/>
        <v>-3269.22887648607+1195.39993057137i</v>
      </c>
      <c r="AK432" s="31">
        <f t="shared" si="305"/>
        <v>3480.9249404232219</v>
      </c>
      <c r="AL432" s="31">
        <f t="shared" si="306"/>
        <v>2.7910426095553511</v>
      </c>
      <c r="AM432" s="31" t="str">
        <f t="shared" si="288"/>
        <v>1+5953.29143296755i</v>
      </c>
      <c r="AN432" s="31">
        <f t="shared" si="307"/>
        <v>5953.2915169547023</v>
      </c>
      <c r="AO432" s="31">
        <f t="shared" si="308"/>
        <v>1.5706283524899505</v>
      </c>
      <c r="AP432" s="31" t="str">
        <f t="shared" si="289"/>
        <v>1+228.972747421829i</v>
      </c>
      <c r="AQ432" s="31">
        <f t="shared" si="309"/>
        <v>228.97493107740135</v>
      </c>
      <c r="AR432" s="31">
        <f t="shared" si="310"/>
        <v>1.5664290225918001</v>
      </c>
      <c r="AS432" s="58" t="str">
        <f t="shared" si="311"/>
        <v>-0.231553246169666+0.642277901467653i</v>
      </c>
      <c r="AT432" s="49">
        <f t="shared" si="312"/>
        <v>-3.314856699315702</v>
      </c>
      <c r="AU432" s="61">
        <f t="shared" si="313"/>
        <v>109.82518571387149</v>
      </c>
      <c r="AV432" s="58" t="str">
        <f t="shared" si="290"/>
        <v>-0.000113160331043792-0.000746489061239584i</v>
      </c>
      <c r="AW432" s="64">
        <f t="shared" si="314"/>
        <v>-62.440861517118968</v>
      </c>
      <c r="AX432" s="61">
        <f t="shared" si="315"/>
        <v>-98.619844469279528</v>
      </c>
    </row>
    <row r="433" spans="14:50" x14ac:dyDescent="0.25">
      <c r="N433" s="10">
        <v>15</v>
      </c>
      <c r="O433" s="50">
        <f t="shared" si="316"/>
        <v>141253.75446227577</v>
      </c>
      <c r="P433" s="48" t="str">
        <f t="shared" si="281"/>
        <v>304.285714285714</v>
      </c>
      <c r="Q433" s="17" t="str">
        <f t="shared" si="282"/>
        <v>1+46214.6172970676i</v>
      </c>
      <c r="R433" s="17">
        <f t="shared" si="291"/>
        <v>46214.617307886678</v>
      </c>
      <c r="S433" s="17">
        <f t="shared" si="292"/>
        <v>1.5707746886193943</v>
      </c>
      <c r="T433" s="17" t="str">
        <f t="shared" si="283"/>
        <v>1+0.95852539579103i</v>
      </c>
      <c r="U433" s="17">
        <f t="shared" si="293"/>
        <v>1.3851970742014836</v>
      </c>
      <c r="V433" s="17">
        <f t="shared" si="294"/>
        <v>0.76422488358348295</v>
      </c>
      <c r="W433" s="31" t="str">
        <f t="shared" si="284"/>
        <v>1-2.99539186184697i</v>
      </c>
      <c r="X433" s="17">
        <f t="shared" si="295"/>
        <v>3.157906332686113</v>
      </c>
      <c r="Y433" s="17">
        <f t="shared" si="296"/>
        <v>-1.2485843206856868</v>
      </c>
      <c r="Z433" s="31" t="str">
        <f t="shared" si="285"/>
        <v>-0.25279868882744+26.4236969444377i</v>
      </c>
      <c r="AA433" s="17">
        <f t="shared" si="297"/>
        <v>26.424906194508225</v>
      </c>
      <c r="AB433" s="17">
        <f t="shared" si="298"/>
        <v>1.5803631552713238</v>
      </c>
      <c r="AC433" s="66" t="str">
        <f t="shared" si="299"/>
        <v>-0.000959672952826376+0.000516701492391931i</v>
      </c>
      <c r="AD433" s="64">
        <f t="shared" si="300"/>
        <v>-59.252008844579514</v>
      </c>
      <c r="AE433" s="61">
        <f t="shared" si="301"/>
        <v>151.70134936781912</v>
      </c>
      <c r="AF433" s="31" t="str">
        <f t="shared" si="286"/>
        <v>-1512.12121212121</v>
      </c>
      <c r="AG433" s="31" t="str">
        <f t="shared" si="302"/>
        <v>887523.514621324i</v>
      </c>
      <c r="AH433" s="31">
        <f t="shared" si="303"/>
        <v>887523.51462132402</v>
      </c>
      <c r="AI433" s="31">
        <f t="shared" si="304"/>
        <v>1.5707963267948966</v>
      </c>
      <c r="AJ433" s="31" t="str">
        <f t="shared" si="287"/>
        <v>-3423.35001522899+1223.24437192659i</v>
      </c>
      <c r="AK433" s="31">
        <f t="shared" si="305"/>
        <v>3635.3338388954603</v>
      </c>
      <c r="AL433" s="31">
        <f t="shared" si="306"/>
        <v>2.7984082648008179</v>
      </c>
      <c r="AM433" s="31" t="str">
        <f t="shared" si="288"/>
        <v>1+6091.96140436075i</v>
      </c>
      <c r="AN433" s="31">
        <f t="shared" si="307"/>
        <v>6091.961486436122</v>
      </c>
      <c r="AO433" s="31">
        <f t="shared" si="308"/>
        <v>1.5706321760518696</v>
      </c>
      <c r="AP433" s="31" t="str">
        <f t="shared" si="289"/>
        <v>1+234.306207860029i</v>
      </c>
      <c r="AQ433" s="31">
        <f t="shared" si="309"/>
        <v>234.30834180999</v>
      </c>
      <c r="AR433" s="31">
        <f t="shared" si="310"/>
        <v>1.566528433351152</v>
      </c>
      <c r="AS433" s="58" t="str">
        <f t="shared" si="311"/>
        <v>-0.222306178167645+0.630953451435153i</v>
      </c>
      <c r="AT433" s="49">
        <f t="shared" si="312"/>
        <v>-3.4918532406475227</v>
      </c>
      <c r="AU433" s="61">
        <f t="shared" si="313"/>
        <v>109.40907964586749</v>
      </c>
      <c r="AV433" s="58" t="str">
        <f t="shared" si="290"/>
        <v>-0.000112673363552693-0.000720374895861935i</v>
      </c>
      <c r="AW433" s="64">
        <f t="shared" si="314"/>
        <v>-62.74386208522705</v>
      </c>
      <c r="AX433" s="61">
        <f t="shared" si="315"/>
        <v>-98.889570986313359</v>
      </c>
    </row>
    <row r="434" spans="14:50" x14ac:dyDescent="0.25">
      <c r="N434" s="10">
        <v>16</v>
      </c>
      <c r="O434" s="50">
        <f t="shared" si="316"/>
        <v>144543.97707459307</v>
      </c>
      <c r="P434" s="48" t="str">
        <f t="shared" si="281"/>
        <v>304.285714285714</v>
      </c>
      <c r="Q434" s="17" t="str">
        <f t="shared" si="282"/>
        <v>1+47291.0940210262i</v>
      </c>
      <c r="R434" s="17">
        <f t="shared" si="291"/>
        <v>47291.094031599008</v>
      </c>
      <c r="S434" s="17">
        <f t="shared" si="292"/>
        <v>1.5707751811644022</v>
      </c>
      <c r="T434" s="17" t="str">
        <f t="shared" si="283"/>
        <v>1+0.980852320436097i</v>
      </c>
      <c r="U434" s="17">
        <f t="shared" si="293"/>
        <v>1.4007395455632985</v>
      </c>
      <c r="V434" s="17">
        <f t="shared" si="294"/>
        <v>0.77573208025743101</v>
      </c>
      <c r="W434" s="31" t="str">
        <f t="shared" si="284"/>
        <v>1-3.06516350136281i</v>
      </c>
      <c r="X434" s="17">
        <f t="shared" si="295"/>
        <v>3.2241630371441703</v>
      </c>
      <c r="Y434" s="17">
        <f t="shared" si="296"/>
        <v>-1.2554370896230314</v>
      </c>
      <c r="Z434" s="31" t="str">
        <f t="shared" si="285"/>
        <v>-0.31184127203195+27.0391839133935i</v>
      </c>
      <c r="AA434" s="17">
        <f t="shared" si="297"/>
        <v>27.040982076863635</v>
      </c>
      <c r="AB434" s="17">
        <f t="shared" si="298"/>
        <v>1.5823287550023193</v>
      </c>
      <c r="AC434" s="66" t="str">
        <f t="shared" si="299"/>
        <v>-0.000947554973951724+0.000506895947240993i</v>
      </c>
      <c r="AD434" s="64">
        <f t="shared" si="300"/>
        <v>-59.374917468123904</v>
      </c>
      <c r="AE434" s="61">
        <f t="shared" si="301"/>
        <v>151.85537964362706</v>
      </c>
      <c r="AF434" s="31" t="str">
        <f t="shared" si="286"/>
        <v>-1512.12121212121</v>
      </c>
      <c r="AG434" s="31" t="str">
        <f t="shared" si="302"/>
        <v>908196.592996386i</v>
      </c>
      <c r="AH434" s="31">
        <f t="shared" si="303"/>
        <v>908196.592996386</v>
      </c>
      <c r="AI434" s="31">
        <f t="shared" si="304"/>
        <v>1.5707963267948966</v>
      </c>
      <c r="AJ434" s="31" t="str">
        <f t="shared" si="287"/>
        <v>-3584.73465946481+1251.73739363935i</v>
      </c>
      <c r="AK434" s="31">
        <f t="shared" si="305"/>
        <v>3796.9947433994853</v>
      </c>
      <c r="AL434" s="31">
        <f t="shared" si="306"/>
        <v>2.8056436236122244</v>
      </c>
      <c r="AM434" s="31" t="str">
        <f t="shared" si="288"/>
        <v>1+6233.86141432718i</v>
      </c>
      <c r="AN434" s="31">
        <f t="shared" si="307"/>
        <v>6233.8614945342879</v>
      </c>
      <c r="AO434" s="31">
        <f t="shared" si="308"/>
        <v>1.5706359125788982</v>
      </c>
      <c r="AP434" s="31" t="str">
        <f t="shared" si="289"/>
        <v>1+239.763900551046i</v>
      </c>
      <c r="AQ434" s="31">
        <f t="shared" si="309"/>
        <v>239.76598592680295</v>
      </c>
      <c r="AR434" s="31">
        <f t="shared" si="310"/>
        <v>1.5666255813268657</v>
      </c>
      <c r="AS434" s="58" t="str">
        <f t="shared" si="311"/>
        <v>-0.213383129805152+0.619698912167438i</v>
      </c>
      <c r="AT434" s="49">
        <f t="shared" si="312"/>
        <v>-3.6697707436715818</v>
      </c>
      <c r="AU434" s="61">
        <f t="shared" si="313"/>
        <v>109.00030437893649</v>
      </c>
      <c r="AV434" s="58" t="str">
        <f t="shared" si="290"/>
        <v>-0.000111930621083068-0.000695361830284559i</v>
      </c>
      <c r="AW434" s="64">
        <f t="shared" si="314"/>
        <v>-63.044688211795481</v>
      </c>
      <c r="AX434" s="61">
        <f t="shared" si="315"/>
        <v>-99.144315977436406</v>
      </c>
    </row>
    <row r="435" spans="14:50" x14ac:dyDescent="0.25">
      <c r="N435" s="10">
        <v>17</v>
      </c>
      <c r="O435" s="50">
        <f t="shared" si="316"/>
        <v>147910.83881682079</v>
      </c>
      <c r="P435" s="48" t="str">
        <f t="shared" si="281"/>
        <v>304.285714285714</v>
      </c>
      <c r="Q435" s="17" t="str">
        <f t="shared" si="282"/>
        <v>1+48392.6451090063i</v>
      </c>
      <c r="R435" s="17">
        <f t="shared" si="291"/>
        <v>48392.645119338442</v>
      </c>
      <c r="S435" s="17">
        <f t="shared" si="292"/>
        <v>1.5707756624977167</v>
      </c>
      <c r="T435" s="17" t="str">
        <f t="shared" si="283"/>
        <v>1+1.00369930596457i</v>
      </c>
      <c r="U435" s="17">
        <f t="shared" si="293"/>
        <v>1.4168317814030569</v>
      </c>
      <c r="V435" s="17">
        <f t="shared" si="294"/>
        <v>0.78724439938226964</v>
      </c>
      <c r="W435" s="31" t="str">
        <f t="shared" si="284"/>
        <v>1-3.13656033113929i</v>
      </c>
      <c r="X435" s="17">
        <f t="shared" si="295"/>
        <v>3.2921134109985659</v>
      </c>
      <c r="Y435" s="17">
        <f t="shared" si="296"/>
        <v>-1.2621636093562085</v>
      </c>
      <c r="Z435" s="31" t="str">
        <f t="shared" si="285"/>
        <v>-0.37366644645605+27.669007415566i</v>
      </c>
      <c r="AA435" s="17">
        <f t="shared" si="297"/>
        <v>27.671530459587043</v>
      </c>
      <c r="AB435" s="17">
        <f t="shared" si="298"/>
        <v>1.5843003794231831</v>
      </c>
      <c r="AC435" s="66" t="str">
        <f t="shared" si="299"/>
        <v>-0.000935974197117928+0.000497318680913254i</v>
      </c>
      <c r="AD435" s="64">
        <f t="shared" si="300"/>
        <v>-59.494757988883421</v>
      </c>
      <c r="AE435" s="61">
        <f t="shared" si="301"/>
        <v>152.01659241389757</v>
      </c>
      <c r="AF435" s="31" t="str">
        <f t="shared" si="286"/>
        <v>-1512.12121212121</v>
      </c>
      <c r="AG435" s="31" t="str">
        <f t="shared" si="302"/>
        <v>929351.209226456i</v>
      </c>
      <c r="AH435" s="31">
        <f t="shared" si="303"/>
        <v>929351.20922645601</v>
      </c>
      <c r="AI435" s="31">
        <f t="shared" si="304"/>
        <v>1.5707963267948966</v>
      </c>
      <c r="AJ435" s="31" t="str">
        <f t="shared" si="287"/>
        <v>-3753.72512766115+1280.89410308692i</v>
      </c>
      <c r="AK435" s="31">
        <f t="shared" si="305"/>
        <v>3966.250375021421</v>
      </c>
      <c r="AL435" s="31">
        <f t="shared" si="306"/>
        <v>2.8127495145095049</v>
      </c>
      <c r="AM435" s="31" t="str">
        <f t="shared" si="288"/>
        <v>1+6379.06670013038i</v>
      </c>
      <c r="AN435" s="31">
        <f t="shared" si="307"/>
        <v>6379.0667785117521</v>
      </c>
      <c r="AO435" s="31">
        <f t="shared" si="308"/>
        <v>1.570639564052192</v>
      </c>
      <c r="AP435" s="31" t="str">
        <f t="shared" si="289"/>
        <v>1+245.348719235784i</v>
      </c>
      <c r="AQ435" s="31">
        <f t="shared" si="309"/>
        <v>245.35075714299222</v>
      </c>
      <c r="AR435" s="31">
        <f t="shared" si="310"/>
        <v>1.5667205180207446</v>
      </c>
      <c r="AS435" s="58" t="str">
        <f t="shared" si="311"/>
        <v>-0.204776334607484+0.608522180629919i</v>
      </c>
      <c r="AT435" s="49">
        <f t="shared" si="312"/>
        <v>-3.8485767542974814</v>
      </c>
      <c r="AU435" s="61">
        <f t="shared" si="313"/>
        <v>108.59881550673096</v>
      </c>
      <c r="AV435" s="58" t="str">
        <f t="shared" si="290"/>
        <v>-0.000110964082804336-0.000671400156052784i</v>
      </c>
      <c r="AW435" s="64">
        <f t="shared" si="314"/>
        <v>-63.343334743180904</v>
      </c>
      <c r="AX435" s="61">
        <f t="shared" si="315"/>
        <v>-99.384592079371473</v>
      </c>
    </row>
    <row r="436" spans="14:50" x14ac:dyDescent="0.25">
      <c r="N436" s="10">
        <v>18</v>
      </c>
      <c r="O436" s="50">
        <f t="shared" si="316"/>
        <v>151356.12484362084</v>
      </c>
      <c r="P436" s="48" t="str">
        <f t="shared" si="281"/>
        <v>304.285714285714</v>
      </c>
      <c r="Q436" s="17" t="str">
        <f t="shared" si="282"/>
        <v>1+49519.8546179757i</v>
      </c>
      <c r="R436" s="17">
        <f t="shared" si="291"/>
        <v>49519.854628072673</v>
      </c>
      <c r="S436" s="17">
        <f t="shared" si="292"/>
        <v>1.5707761328745473</v>
      </c>
      <c r="T436" s="17" t="str">
        <f t="shared" si="283"/>
        <v>1+1.0270784661506i</v>
      </c>
      <c r="U436" s="17">
        <f t="shared" si="293"/>
        <v>1.4334888125235821</v>
      </c>
      <c r="V436" s="17">
        <f t="shared" si="294"/>
        <v>0.79875573987668869</v>
      </c>
      <c r="W436" s="31" t="str">
        <f t="shared" si="284"/>
        <v>1-3.20962020672064i</v>
      </c>
      <c r="X436" s="17">
        <f t="shared" si="295"/>
        <v>3.3617944421676706</v>
      </c>
      <c r="Y436" s="17">
        <f t="shared" si="296"/>
        <v>-1.2687650107388888</v>
      </c>
      <c r="Z436" s="31" t="str">
        <f t="shared" si="285"/>
        <v>-0.43840535158376+28.3135013917129i</v>
      </c>
      <c r="AA436" s="17">
        <f t="shared" si="297"/>
        <v>28.316895315532488</v>
      </c>
      <c r="AB436" s="17">
        <f t="shared" si="298"/>
        <v>1.5862790576018833</v>
      </c>
      <c r="AC436" s="66" t="str">
        <f t="shared" si="299"/>
        <v>-0.000924906256466876+0.000487967264363865i</v>
      </c>
      <c r="AD436" s="64">
        <f t="shared" si="300"/>
        <v>-59.611559403450023</v>
      </c>
      <c r="AE436" s="61">
        <f t="shared" si="301"/>
        <v>152.184514343405</v>
      </c>
      <c r="AF436" s="31" t="str">
        <f t="shared" si="286"/>
        <v>-1512.12121212121</v>
      </c>
      <c r="AG436" s="31" t="str">
        <f t="shared" si="302"/>
        <v>950998.579769078i</v>
      </c>
      <c r="AH436" s="31">
        <f t="shared" si="303"/>
        <v>950998.57976907794</v>
      </c>
      <c r="AI436" s="31">
        <f t="shared" si="304"/>
        <v>1.5707963267948966</v>
      </c>
      <c r="AJ436" s="31" t="str">
        <f t="shared" si="287"/>
        <v>-3930.67987125806+1310.72995954259i</v>
      </c>
      <c r="AK436" s="31">
        <f t="shared" si="305"/>
        <v>4143.4595783180748</v>
      </c>
      <c r="AL436" s="31">
        <f t="shared" si="306"/>
        <v>2.8197268558200168</v>
      </c>
      <c r="AM436" s="31" t="str">
        <f t="shared" si="288"/>
        <v>1+6527.65425153494i</v>
      </c>
      <c r="AN436" s="31">
        <f t="shared" si="307"/>
        <v>6527.6543281321337</v>
      </c>
      <c r="AO436" s="31">
        <f t="shared" si="308"/>
        <v>1.5706431324078101</v>
      </c>
      <c r="AP436" s="31" t="str">
        <f t="shared" si="289"/>
        <v>1+251.063625059036i</v>
      </c>
      <c r="AQ436" s="31">
        <f t="shared" si="309"/>
        <v>251.065616578185</v>
      </c>
      <c r="AR436" s="31">
        <f t="shared" si="310"/>
        <v>1.5668132937626316</v>
      </c>
      <c r="AS436" s="58" t="str">
        <f t="shared" si="311"/>
        <v>-0.196477919985028+0.597430614544795i</v>
      </c>
      <c r="AT436" s="49">
        <f t="shared" si="312"/>
        <v>-4.0282396112106262</v>
      </c>
      <c r="AU436" s="61">
        <f t="shared" si="313"/>
        <v>108.20456340758423</v>
      </c>
      <c r="AV436" s="58" t="str">
        <f t="shared" si="290"/>
        <v>-0.000109802925174896-0.000648442106320328i</v>
      </c>
      <c r="AW436" s="64">
        <f t="shared" si="314"/>
        <v>-63.63979901466066</v>
      </c>
      <c r="AX436" s="61">
        <f t="shared" si="315"/>
        <v>-99.61092224901077</v>
      </c>
    </row>
    <row r="437" spans="14:50" x14ac:dyDescent="0.25">
      <c r="N437" s="10">
        <v>19</v>
      </c>
      <c r="O437" s="50">
        <f t="shared" si="316"/>
        <v>154881.66189124843</v>
      </c>
      <c r="P437" s="48" t="str">
        <f t="shared" si="281"/>
        <v>304.285714285714</v>
      </c>
      <c r="Q437" s="17" t="str">
        <f t="shared" si="282"/>
        <v>1+50673.3202093363i</v>
      </c>
      <c r="R437" s="17">
        <f t="shared" si="291"/>
        <v>50673.320219203422</v>
      </c>
      <c r="S437" s="17">
        <f t="shared" si="292"/>
        <v>1.5707765925442942</v>
      </c>
      <c r="T437" s="17" t="str">
        <f t="shared" si="283"/>
        <v>1+1.05100219693438i</v>
      </c>
      <c r="U437" s="17">
        <f t="shared" si="293"/>
        <v>1.4507258934619225</v>
      </c>
      <c r="V437" s="17">
        <f t="shared" si="294"/>
        <v>0.81026000325141057</v>
      </c>
      <c r="W437" s="31" t="str">
        <f t="shared" si="284"/>
        <v>1-3.28438186541994i</v>
      </c>
      <c r="X437" s="17">
        <f t="shared" si="295"/>
        <v>3.4332439817029261</v>
      </c>
      <c r="Y437" s="17">
        <f t="shared" si="296"/>
        <v>-1.2752424916677252</v>
      </c>
      <c r="Z437" s="31" t="str">
        <f t="shared" si="285"/>
        <v>-0.50619530731256+28.9730075610712i</v>
      </c>
      <c r="AA437" s="17">
        <f t="shared" si="297"/>
        <v>28.977429161729201</v>
      </c>
      <c r="AB437" s="17">
        <f t="shared" si="298"/>
        <v>1.5882658218442822</v>
      </c>
      <c r="AC437" s="66" t="str">
        <f t="shared" si="299"/>
        <v>-0.000914327856943188+0.0004788392089586i</v>
      </c>
      <c r="AD437" s="64">
        <f t="shared" si="300"/>
        <v>-59.725352407442273</v>
      </c>
      <c r="AE437" s="61">
        <f t="shared" si="301"/>
        <v>152.35866821897139</v>
      </c>
      <c r="AF437" s="31" t="str">
        <f t="shared" si="286"/>
        <v>-1512.12121212121</v>
      </c>
      <c r="AG437" s="31" t="str">
        <f t="shared" si="302"/>
        <v>973150.182346649i</v>
      </c>
      <c r="AH437" s="31">
        <f t="shared" si="303"/>
        <v>973150.182346649</v>
      </c>
      <c r="AI437" s="31">
        <f t="shared" si="304"/>
        <v>1.5707963267948966</v>
      </c>
      <c r="AJ437" s="31" t="str">
        <f t="shared" si="287"/>
        <v>-4115.97423499141+1341.26078237237i</v>
      </c>
      <c r="AK437" s="31">
        <f t="shared" si="305"/>
        <v>4328.998081478353</v>
      </c>
      <c r="AL437" s="31">
        <f t="shared" si="306"/>
        <v>2.8265766494454145</v>
      </c>
      <c r="AM437" s="31" t="str">
        <f t="shared" si="288"/>
        <v>1+6679.70285162738i</v>
      </c>
      <c r="AN437" s="31">
        <f t="shared" si="307"/>
        <v>6679.7029264810099</v>
      </c>
      <c r="AO437" s="31">
        <f t="shared" si="308"/>
        <v>1.5706466195377413</v>
      </c>
      <c r="AP437" s="31" t="str">
        <f t="shared" si="289"/>
        <v>1+256.911648139515i</v>
      </c>
      <c r="AQ437" s="31">
        <f t="shared" si="309"/>
        <v>256.91359432650108</v>
      </c>
      <c r="AR437" s="31">
        <f t="shared" si="310"/>
        <v>1.5669039577370605</v>
      </c>
      <c r="AS437" s="58" t="str">
        <f t="shared" si="311"/>
        <v>-0.188479936853145+0.586431046249725i</v>
      </c>
      <c r="AT437" s="49">
        <f t="shared" si="312"/>
        <v>-4.2087284551299353</v>
      </c>
      <c r="AU437" s="61">
        <f t="shared" si="313"/>
        <v>107.81749360322974</v>
      </c>
      <c r="AV437" s="58" t="str">
        <f t="shared" si="290"/>
        <v>-0.000108473721555259-0.000626441825629789i</v>
      </c>
      <c r="AW437" s="64">
        <f t="shared" si="314"/>
        <v>-63.934080862572216</v>
      </c>
      <c r="AX437" s="61">
        <f t="shared" si="315"/>
        <v>-99.823838177798876</v>
      </c>
    </row>
    <row r="438" spans="14:50" x14ac:dyDescent="0.25">
      <c r="N438" s="10">
        <v>20</v>
      </c>
      <c r="O438" s="50">
        <f t="shared" si="316"/>
        <v>158489.31924611164</v>
      </c>
      <c r="P438" s="48" t="str">
        <f t="shared" si="281"/>
        <v>304.285714285714</v>
      </c>
      <c r="Q438" s="17" t="str">
        <f t="shared" si="282"/>
        <v>1+51853.6534658125i</v>
      </c>
      <c r="R438" s="17">
        <f t="shared" si="291"/>
        <v>51853.65347545503</v>
      </c>
      <c r="S438" s="17">
        <f t="shared" si="292"/>
        <v>1.5707770417506801</v>
      </c>
      <c r="T438" s="17" t="str">
        <f t="shared" si="283"/>
        <v>1+1.07548318299463i</v>
      </c>
      <c r="U438" s="17">
        <f t="shared" si="293"/>
        <v>1.4685585030581045</v>
      </c>
      <c r="V438" s="17">
        <f t="shared" si="294"/>
        <v>0.8217511097461403</v>
      </c>
      <c r="W438" s="31" t="str">
        <f t="shared" si="284"/>
        <v>1-3.36088494685822i</v>
      </c>
      <c r="X438" s="17">
        <f t="shared" si="295"/>
        <v>3.5065007665788661</v>
      </c>
      <c r="Y438" s="17">
        <f t="shared" si="296"/>
        <v>-1.2815973115515107</v>
      </c>
      <c r="Z438" s="31" t="str">
        <f t="shared" si="285"/>
        <v>-0.57718010522727+29.6478756025415i</v>
      </c>
      <c r="AA438" s="17">
        <f t="shared" si="297"/>
        <v>29.653493295354689</v>
      </c>
      <c r="AB438" s="17">
        <f t="shared" si="298"/>
        <v>1.590261708162148</v>
      </c>
      <c r="AC438" s="66" t="str">
        <f t="shared" si="299"/>
        <v>-0.000904216726413296+0.000469931976810474i</v>
      </c>
      <c r="AD438" s="64">
        <f t="shared" si="300"/>
        <v>-59.836169390529847</v>
      </c>
      <c r="AE438" s="61">
        <f t="shared" si="301"/>
        <v>152.53857416411634</v>
      </c>
      <c r="AF438" s="31" t="str">
        <f t="shared" si="286"/>
        <v>-1512.12121212121</v>
      </c>
      <c r="AG438" s="31" t="str">
        <f t="shared" si="302"/>
        <v>995817.762032063i</v>
      </c>
      <c r="AH438" s="31">
        <f t="shared" si="303"/>
        <v>995817.76203206298</v>
      </c>
      <c r="AI438" s="31">
        <f t="shared" si="304"/>
        <v>1.5707963267948966</v>
      </c>
      <c r="AJ438" s="31" t="str">
        <f t="shared" si="287"/>
        <v>-4310.00125304951+1372.50275942265i</v>
      </c>
      <c r="AK438" s="31">
        <f t="shared" si="305"/>
        <v>4523.2592923589</v>
      </c>
      <c r="AL438" s="31">
        <f t="shared" si="306"/>
        <v>2.8332999747974785</v>
      </c>
      <c r="AM438" s="31" t="str">
        <f t="shared" si="288"/>
        <v>1+6835.29311858807i</v>
      </c>
      <c r="AN438" s="31">
        <f t="shared" si="307"/>
        <v>6835.2931917378219</v>
      </c>
      <c r="AO438" s="31">
        <f t="shared" si="308"/>
        <v>1.5706500272909081</v>
      </c>
      <c r="AP438" s="31" t="str">
        <f t="shared" si="289"/>
        <v>1+262.895889176464i</v>
      </c>
      <c r="AQ438" s="31">
        <f t="shared" si="309"/>
        <v>262.8977910631499</v>
      </c>
      <c r="AR438" s="31">
        <f t="shared" si="310"/>
        <v>1.5669925580093054</v>
      </c>
      <c r="AS438" s="58" t="str">
        <f t="shared" si="311"/>
        <v>-0.180774387222285+0.575529797681129i</v>
      </c>
      <c r="AT438" s="49">
        <f t="shared" si="312"/>
        <v>-4.3900132351643197</v>
      </c>
      <c r="AU438" s="61">
        <f t="shared" si="313"/>
        <v>107.4375471078005</v>
      </c>
      <c r="AV438" s="58" t="str">
        <f t="shared" si="290"/>
        <v>-0.000107000630904121-0.000605355334756607i</v>
      </c>
      <c r="AW438" s="64">
        <f t="shared" si="314"/>
        <v>-64.226182625694179</v>
      </c>
      <c r="AX438" s="61">
        <f t="shared" si="315"/>
        <v>-100.02387872808315</v>
      </c>
    </row>
    <row r="439" spans="14:50" x14ac:dyDescent="0.25">
      <c r="N439" s="10">
        <v>21</v>
      </c>
      <c r="O439" s="50">
        <f t="shared" si="316"/>
        <v>162181.00973589328</v>
      </c>
      <c r="P439" s="48" t="str">
        <f t="shared" si="281"/>
        <v>304.285714285714</v>
      </c>
      <c r="Q439" s="17" t="str">
        <f t="shared" si="282"/>
        <v>1+53061.4802157204i</v>
      </c>
      <c r="R439" s="17">
        <f t="shared" si="291"/>
        <v>53061.480225143438</v>
      </c>
      <c r="S439" s="17">
        <f t="shared" si="292"/>
        <v>1.5707774807318804</v>
      </c>
      <c r="T439" s="17" t="str">
        <f t="shared" si="283"/>
        <v>1+1.1005344044742i</v>
      </c>
      <c r="U439" s="17">
        <f t="shared" si="293"/>
        <v>1.4870023454693615</v>
      </c>
      <c r="V439" s="17">
        <f t="shared" si="294"/>
        <v>0.83322301434576596</v>
      </c>
      <c r="W439" s="31" t="str">
        <f t="shared" si="284"/>
        <v>1-3.43917001398187i</v>
      </c>
      <c r="X439" s="17">
        <f t="shared" si="295"/>
        <v>3.5816044428540761</v>
      </c>
      <c r="Y439" s="17">
        <f t="shared" si="296"/>
        <v>-1.2878307859842879</v>
      </c>
      <c r="Z439" s="31" t="str">
        <f t="shared" si="285"/>
        <v>-0.65151031360139+30.3384633400921i</v>
      </c>
      <c r="AA439" s="17">
        <f t="shared" si="297"/>
        <v>30.345458037848786</v>
      </c>
      <c r="AB439" s="17">
        <f t="shared" si="298"/>
        <v>1.5922677567404373</v>
      </c>
      <c r="AC439" s="66" t="str">
        <f t="shared" si="299"/>
        <v>-0.000894551569824297+0.000461242990304806i</v>
      </c>
      <c r="AD439" s="64">
        <f t="shared" si="300"/>
        <v>-59.944044423472455</v>
      </c>
      <c r="AE439" s="61">
        <f t="shared" si="301"/>
        <v>152.72375083514657</v>
      </c>
      <c r="AF439" s="31" t="str">
        <f t="shared" si="286"/>
        <v>-1512.12121212121</v>
      </c>
      <c r="AG439" s="31" t="str">
        <f t="shared" si="302"/>
        <v>1019013.33747611i</v>
      </c>
      <c r="AH439" s="31">
        <f t="shared" si="303"/>
        <v>1019013.33747611</v>
      </c>
      <c r="AI439" s="31">
        <f t="shared" si="304"/>
        <v>1.5707963267948966</v>
      </c>
      <c r="AJ439" s="31" t="str">
        <f t="shared" si="287"/>
        <v>-4513.1724827513+1404.47245560319i</v>
      </c>
      <c r="AK439" s="31">
        <f t="shared" si="305"/>
        <v>4726.6551320792996</v>
      </c>
      <c r="AL439" s="31">
        <f t="shared" si="306"/>
        <v>2.8398979829148949</v>
      </c>
      <c r="AM439" s="31" t="str">
        <f t="shared" si="288"/>
        <v>1+6994.507548436i</v>
      </c>
      <c r="AN439" s="31">
        <f t="shared" si="307"/>
        <v>6994.5076199206605</v>
      </c>
      <c r="AO439" s="31">
        <f t="shared" si="308"/>
        <v>1.5706533574741457</v>
      </c>
      <c r="AP439" s="31" t="str">
        <f t="shared" si="289"/>
        <v>1+269.019521093693i</v>
      </c>
      <c r="AQ439" s="31">
        <f t="shared" si="309"/>
        <v>269.02137968845517</v>
      </c>
      <c r="AR439" s="31">
        <f t="shared" si="310"/>
        <v>1.5670791415508361</v>
      </c>
      <c r="AS439" s="58" t="str">
        <f t="shared" si="311"/>
        <v>-0.173353249784154+0.564732696292514i</v>
      </c>
      <c r="AT439" s="49">
        <f t="shared" si="312"/>
        <v>-4.5720647124727822</v>
      </c>
      <c r="AU439" s="61">
        <f t="shared" si="313"/>
        <v>107.06466076642907</v>
      </c>
      <c r="AV439" s="58" t="str">
        <f t="shared" si="290"/>
        <v>-0.000105405575832297-0.000585140491309076i</v>
      </c>
      <c r="AW439" s="64">
        <f t="shared" si="314"/>
        <v>-64.516109135945229</v>
      </c>
      <c r="AX439" s="61">
        <f t="shared" si="315"/>
        <v>-100.2115883984244</v>
      </c>
    </row>
    <row r="440" spans="14:50" x14ac:dyDescent="0.25">
      <c r="N440" s="10">
        <v>22</v>
      </c>
      <c r="O440" s="50">
        <f t="shared" si="316"/>
        <v>165958.69074375604</v>
      </c>
      <c r="P440" s="48" t="str">
        <f t="shared" si="281"/>
        <v>304.285714285714</v>
      </c>
      <c r="Q440" s="17" t="str">
        <f t="shared" si="282"/>
        <v>1+54297.4408647908i</v>
      </c>
      <c r="R440" s="17">
        <f t="shared" si="291"/>
        <v>54297.440873999338</v>
      </c>
      <c r="S440" s="17">
        <f t="shared" si="292"/>
        <v>1.5707779097206485</v>
      </c>
      <c r="T440" s="17" t="str">
        <f t="shared" si="283"/>
        <v>1+1.12616914386232i</v>
      </c>
      <c r="U440" s="17">
        <f t="shared" si="293"/>
        <v>1.5060733516623919</v>
      </c>
      <c r="V440" s="17">
        <f t="shared" si="294"/>
        <v>0.84466972257321216</v>
      </c>
      <c r="W440" s="31" t="str">
        <f t="shared" si="284"/>
        <v>1-3.51927857456977i</v>
      </c>
      <c r="X440" s="17">
        <f t="shared" si="295"/>
        <v>3.6585955892153246</v>
      </c>
      <c r="Y440" s="17">
        <f t="shared" si="296"/>
        <v>-1.2939442816270341</v>
      </c>
      <c r="Z440" s="31" t="str">
        <f t="shared" si="285"/>
        <v>-0.72934359677251+31.0451369324829i</v>
      </c>
      <c r="AA440" s="17">
        <f t="shared" si="297"/>
        <v>31.053702987546703</v>
      </c>
      <c r="AB440" s="17">
        <f t="shared" si="298"/>
        <v>1.5942850124037136</v>
      </c>
      <c r="AC440" s="66" t="str">
        <f t="shared" si="299"/>
        <v>-0.000885312025316896+0.000452769640868134i</v>
      </c>
      <c r="AD440" s="64">
        <f t="shared" si="300"/>
        <v>-60.049013237143186</v>
      </c>
      <c r="AE440" s="61">
        <f t="shared" si="301"/>
        <v>152.91371659254537</v>
      </c>
      <c r="AF440" s="31" t="str">
        <f t="shared" si="286"/>
        <v>-1512.12121212121</v>
      </c>
      <c r="AG440" s="31" t="str">
        <f t="shared" si="302"/>
        <v>1042749.20727993i</v>
      </c>
      <c r="AH440" s="31">
        <f t="shared" si="303"/>
        <v>1042749.20727993</v>
      </c>
      <c r="AI440" s="31">
        <f t="shared" si="304"/>
        <v>1.5707963267948966</v>
      </c>
      <c r="AJ440" s="31" t="str">
        <f t="shared" si="287"/>
        <v>-4725.91887751473+1437.18682167009i</v>
      </c>
      <c r="AK440" s="31">
        <f t="shared" si="305"/>
        <v>4939.6169079425854</v>
      </c>
      <c r="AL440" s="31">
        <f t="shared" si="306"/>
        <v>2.8463718907708286</v>
      </c>
      <c r="AM440" s="31" t="str">
        <f t="shared" si="288"/>
        <v>1+7157.43055876942i</v>
      </c>
      <c r="AN440" s="31">
        <f t="shared" si="307"/>
        <v>7157.4306286268902</v>
      </c>
      <c r="AO440" s="31">
        <f t="shared" si="308"/>
        <v>1.5706566118531613</v>
      </c>
      <c r="AP440" s="31" t="str">
        <f t="shared" si="289"/>
        <v>1+275.285790721901i</v>
      </c>
      <c r="AQ440" s="31">
        <f t="shared" si="309"/>
        <v>275.28760701016358</v>
      </c>
      <c r="AR440" s="31">
        <f t="shared" si="310"/>
        <v>1.5671637542641967</v>
      </c>
      <c r="AS440" s="58" t="str">
        <f t="shared" si="311"/>
        <v>-0.166208503532267+0.554045091730877i</v>
      </c>
      <c r="AT440" s="49">
        <f t="shared" si="312"/>
        <v>-4.7548544614297459</v>
      </c>
      <c r="AU440" s="61">
        <f t="shared" si="313"/>
        <v>106.69876758287877</v>
      </c>
      <c r="AV440" s="58" t="str">
        <f t="shared" si="290"/>
        <v>-0.0001037084103207-0.000565756946730683i</v>
      </c>
      <c r="AW440" s="64">
        <f t="shared" si="314"/>
        <v>-64.80386769857293</v>
      </c>
      <c r="AX440" s="61">
        <f t="shared" si="315"/>
        <v>-100.38751582457586</v>
      </c>
    </row>
    <row r="441" spans="14:50" x14ac:dyDescent="0.25">
      <c r="N441" s="10">
        <v>23</v>
      </c>
      <c r="O441" s="50">
        <f t="shared" si="316"/>
        <v>169824.36524617471</v>
      </c>
      <c r="P441" s="48" t="str">
        <f t="shared" si="281"/>
        <v>304.285714285714</v>
      </c>
      <c r="Q441" s="17" t="str">
        <f t="shared" si="282"/>
        <v>1+55562.1907357188i</v>
      </c>
      <c r="R441" s="17">
        <f t="shared" si="291"/>
        <v>55562.190744717729</v>
      </c>
      <c r="S441" s="17">
        <f t="shared" si="292"/>
        <v>1.5707783289444401</v>
      </c>
      <c r="T441" s="17" t="str">
        <f t="shared" si="283"/>
        <v>1+1.15240099303713i</v>
      </c>
      <c r="U441" s="17">
        <f t="shared" si="293"/>
        <v>1.5257876814134277</v>
      </c>
      <c r="V441" s="17">
        <f t="shared" si="294"/>
        <v>0.8560853059590211</v>
      </c>
      <c r="W441" s="31" t="str">
        <f t="shared" si="284"/>
        <v>1-3.60125310324103i</v>
      </c>
      <c r="X441" s="17">
        <f t="shared" si="295"/>
        <v>3.7375157409171065</v>
      </c>
      <c r="Y441" s="17">
        <f t="shared" si="296"/>
        <v>-1.2999392113009158</v>
      </c>
      <c r="Z441" s="31" t="str">
        <f t="shared" si="285"/>
        <v>-0.81084504956951+31.7682710674061i</v>
      </c>
      <c r="AA441" s="17">
        <f t="shared" si="297"/>
        <v>31.778617281225483</v>
      </c>
      <c r="AB441" s="17">
        <f t="shared" si="298"/>
        <v>1.5963145250815627</v>
      </c>
      <c r="AC441" s="66" t="str">
        <f t="shared" si="299"/>
        <v>-0.000876478622210352+0.000444509297032664i</v>
      </c>
      <c r="AD441" s="64">
        <f t="shared" si="300"/>
        <v>-60.151113193600132</v>
      </c>
      <c r="AE441" s="61">
        <f t="shared" si="301"/>
        <v>153.1079906417778</v>
      </c>
      <c r="AF441" s="31" t="str">
        <f t="shared" si="286"/>
        <v>-1512.12121212121</v>
      </c>
      <c r="AG441" s="31" t="str">
        <f t="shared" si="302"/>
        <v>1067037.95651586i</v>
      </c>
      <c r="AH441" s="31">
        <f t="shared" si="303"/>
        <v>1067037.95651586</v>
      </c>
      <c r="AI441" s="31">
        <f t="shared" si="304"/>
        <v>1.5707963267948966</v>
      </c>
      <c r="AJ441" s="31" t="str">
        <f t="shared" si="287"/>
        <v>-4948.69170096635+1470.66320321325i</v>
      </c>
      <c r="AK441" s="31">
        <f t="shared" si="305"/>
        <v>5162.5962275291959</v>
      </c>
      <c r="AL441" s="31">
        <f t="shared" si="306"/>
        <v>2.8527229757791677</v>
      </c>
      <c r="AM441" s="31" t="str">
        <f t="shared" si="288"/>
        <v>1+7324.14853352485i</v>
      </c>
      <c r="AN441" s="31">
        <f t="shared" si="307"/>
        <v>7324.1486017921716</v>
      </c>
      <c r="AO441" s="31">
        <f t="shared" si="308"/>
        <v>1.5706597921534693</v>
      </c>
      <c r="AP441" s="31" t="str">
        <f t="shared" si="289"/>
        <v>1+281.698020520187i</v>
      </c>
      <c r="AQ441" s="31">
        <f t="shared" si="309"/>
        <v>281.69979546494477</v>
      </c>
      <c r="AR441" s="31">
        <f t="shared" si="310"/>
        <v>1.5672464410073188</v>
      </c>
      <c r="AS441" s="58" t="str">
        <f t="shared" si="311"/>
        <v>-0.159332149466114+0.543471873107165i</v>
      </c>
      <c r="AT441" s="49">
        <f t="shared" si="312"/>
        <v>-4.9383548684913352</v>
      </c>
      <c r="AU441" s="61">
        <f t="shared" si="313"/>
        <v>106.33979703575991</v>
      </c>
      <c r="AV441" s="58" t="str">
        <f t="shared" si="290"/>
        <v>-0.000101927077434018-0.000547166100304933i</v>
      </c>
      <c r="AW441" s="64">
        <f t="shared" si="314"/>
        <v>-65.08946806209147</v>
      </c>
      <c r="AX441" s="61">
        <f t="shared" si="315"/>
        <v>-100.55221232246231</v>
      </c>
    </row>
    <row r="442" spans="14:50" x14ac:dyDescent="0.25">
      <c r="N442" s="10">
        <v>24</v>
      </c>
      <c r="O442" s="50">
        <f t="shared" si="316"/>
        <v>173780.0828749378</v>
      </c>
      <c r="P442" s="48" t="str">
        <f t="shared" si="281"/>
        <v>304.285714285714</v>
      </c>
      <c r="Q442" s="17" t="str">
        <f t="shared" si="282"/>
        <v>1+56856.400415628i</v>
      </c>
      <c r="R442" s="17">
        <f t="shared" si="291"/>
        <v>56856.400424422085</v>
      </c>
      <c r="S442" s="17">
        <f t="shared" si="292"/>
        <v>1.5707787386255334</v>
      </c>
      <c r="T442" s="17" t="str">
        <f t="shared" si="283"/>
        <v>1+1.17924386047228i</v>
      </c>
      <c r="U442" s="17">
        <f t="shared" si="293"/>
        <v>1.546161725842923</v>
      </c>
      <c r="V442" s="17">
        <f t="shared" si="294"/>
        <v>0.86746391709160242</v>
      </c>
      <c r="W442" s="31" t="str">
        <f t="shared" si="284"/>
        <v>1-3.68513706397588i</v>
      </c>
      <c r="X442" s="17">
        <f t="shared" si="295"/>
        <v>3.8184074141307613</v>
      </c>
      <c r="Y442" s="17">
        <f t="shared" si="296"/>
        <v>-1.3058170292937952</v>
      </c>
      <c r="Z442" s="31" t="str">
        <f t="shared" si="285"/>
        <v>-0.8961875475009+32.5082491601522i</v>
      </c>
      <c r="AA442" s="17">
        <f t="shared" si="297"/>
        <v>32.520599864990679</v>
      </c>
      <c r="AB442" s="17">
        <f t="shared" si="298"/>
        <v>1.5983573502728452</v>
      </c>
      <c r="AC442" s="66" t="str">
        <f t="shared" si="299"/>
        <v>-0.000868032740779837+0.000436459311844373i</v>
      </c>
      <c r="AD442" s="64">
        <f t="shared" si="300"/>
        <v>-60.250383249367985</v>
      </c>
      <c r="AE442" s="61">
        <f t="shared" si="301"/>
        <v>153.30609413791615</v>
      </c>
      <c r="AF442" s="31" t="str">
        <f t="shared" si="286"/>
        <v>-1512.12121212121</v>
      </c>
      <c r="AG442" s="31" t="str">
        <f t="shared" si="302"/>
        <v>1091892.46340026i</v>
      </c>
      <c r="AH442" s="31">
        <f t="shared" si="303"/>
        <v>1091892.4634002601</v>
      </c>
      <c r="AI442" s="31">
        <f t="shared" si="304"/>
        <v>1.5707963267948966</v>
      </c>
      <c r="AJ442" s="31" t="str">
        <f t="shared" si="287"/>
        <v>-5181.96348413254+1504.91934985329i</v>
      </c>
      <c r="AK442" s="31">
        <f t="shared" si="305"/>
        <v>5396.0659559021242</v>
      </c>
      <c r="AL442" s="31">
        <f t="shared" si="306"/>
        <v>2.8589525705055063</v>
      </c>
      <c r="AM442" s="31" t="str">
        <f t="shared" si="288"/>
        <v>1+7494.74986877937i</v>
      </c>
      <c r="AN442" s="31">
        <f t="shared" si="307"/>
        <v>7494.7499354927377</v>
      </c>
      <c r="AO442" s="31">
        <f t="shared" si="308"/>
        <v>1.5706629000613066</v>
      </c>
      <c r="AP442" s="31" t="str">
        <f t="shared" si="289"/>
        <v>1+288.259610337669i</v>
      </c>
      <c r="AQ442" s="31">
        <f t="shared" si="309"/>
        <v>288.26134487999741</v>
      </c>
      <c r="AR442" s="31">
        <f t="shared" si="310"/>
        <v>1.5673272456172829</v>
      </c>
      <c r="AS442" s="58" t="str">
        <f t="shared" si="311"/>
        <v>-0.152716230437067+0.533017486709469i</v>
      </c>
      <c r="AT442" s="49">
        <f t="shared" si="312"/>
        <v>-5.1225391289563849</v>
      </c>
      <c r="AU442" s="61">
        <f t="shared" si="313"/>
        <v>105.98767538298215</v>
      </c>
      <c r="AV442" s="58" t="str">
        <f t="shared" si="290"/>
        <v>-0.00010007775738238-0.00052933105071603i</v>
      </c>
      <c r="AW442" s="64">
        <f t="shared" si="314"/>
        <v>-65.372922378324375</v>
      </c>
      <c r="AX442" s="61">
        <f t="shared" si="315"/>
        <v>-100.70623047910173</v>
      </c>
    </row>
    <row r="443" spans="14:50" x14ac:dyDescent="0.25">
      <c r="N443" s="10">
        <v>25</v>
      </c>
      <c r="O443" s="50">
        <f t="shared" si="316"/>
        <v>177827.94100389251</v>
      </c>
      <c r="P443" s="48" t="str">
        <f t="shared" si="281"/>
        <v>304.285714285714</v>
      </c>
      <c r="Q443" s="17" t="str">
        <f t="shared" si="282"/>
        <v>1+58180.7561116209i</v>
      </c>
      <c r="R443" s="17">
        <f t="shared" si="291"/>
        <v>58180.756120214814</v>
      </c>
      <c r="S443" s="17">
        <f t="shared" si="292"/>
        <v>1.5707791389811463</v>
      </c>
      <c r="T443" s="17" t="str">
        <f t="shared" si="283"/>
        <v>1+1.20671197861139i</v>
      </c>
      <c r="U443" s="17">
        <f t="shared" si="293"/>
        <v>1.5672121105084071</v>
      </c>
      <c r="V443" s="17">
        <f t="shared" si="294"/>
        <v>0.87879980415697689</v>
      </c>
      <c r="W443" s="31" t="str">
        <f t="shared" si="284"/>
        <v>1-3.77097493316061i</v>
      </c>
      <c r="X443" s="17">
        <f t="shared" si="295"/>
        <v>3.9013141307161701</v>
      </c>
      <c r="Y443" s="17">
        <f t="shared" si="296"/>
        <v>-1.3115792268802471</v>
      </c>
      <c r="Z443" s="31" t="str">
        <f t="shared" si="285"/>
        <v>-0.98555211344683+33.2654635569006i</v>
      </c>
      <c r="AA443" s="17">
        <f t="shared" si="297"/>
        <v>33.280059774943339</v>
      </c>
      <c r="AB443" s="17">
        <f t="shared" si="298"/>
        <v>1.6004145495086017</v>
      </c>
      <c r="AC443" s="66" t="str">
        <f t="shared" si="299"/>
        <v>-0.000859956573750292+0.000428617029659686i</v>
      </c>
      <c r="AD443" s="64">
        <f t="shared" si="300"/>
        <v>-60.34686391117485</v>
      </c>
      <c r="AE443" s="61">
        <f t="shared" si="301"/>
        <v>153.5075512488616</v>
      </c>
      <c r="AF443" s="31" t="str">
        <f t="shared" si="286"/>
        <v>-1512.12121212121</v>
      </c>
      <c r="AG443" s="31" t="str">
        <f t="shared" si="302"/>
        <v>1117325.90612166i</v>
      </c>
      <c r="AH443" s="31">
        <f t="shared" si="303"/>
        <v>1117325.90612166</v>
      </c>
      <c r="AI443" s="31">
        <f t="shared" si="304"/>
        <v>1.5707963267948966</v>
      </c>
      <c r="AJ443" s="31" t="str">
        <f t="shared" si="287"/>
        <v>-5426.22902774058+1539.97342465258i</v>
      </c>
      <c r="AK443" s="31">
        <f t="shared" si="305"/>
        <v>5640.5212179488044</v>
      </c>
      <c r="AL443" s="31">
        <f t="shared" si="306"/>
        <v>2.8650620575871311</v>
      </c>
      <c r="AM443" s="31" t="str">
        <f t="shared" si="288"/>
        <v>1+7669.32501961906i</v>
      </c>
      <c r="AN443" s="31">
        <f t="shared" si="307"/>
        <v>7669.3250848138459</v>
      </c>
      <c r="AO443" s="31">
        <f t="shared" si="308"/>
        <v>1.5706659372245271</v>
      </c>
      <c r="AP443" s="31" t="str">
        <f t="shared" si="289"/>
        <v>1+294.974039216118i</v>
      </c>
      <c r="AQ443" s="31">
        <f t="shared" si="309"/>
        <v>294.97573427567215</v>
      </c>
      <c r="AR443" s="31">
        <f t="shared" si="310"/>
        <v>1.5674062109335392</v>
      </c>
      <c r="AS443" s="58" t="str">
        <f t="shared" si="311"/>
        <v>-0.146352849201757+0.522685954020735i</v>
      </c>
      <c r="AT443" s="49">
        <f t="shared" si="312"/>
        <v>-5.3073812418047286</v>
      </c>
      <c r="AU443" s="61">
        <f t="shared" si="313"/>
        <v>105.64232595419895</v>
      </c>
      <c r="AV443" s="58" t="str">
        <f t="shared" si="290"/>
        <v>-0.0000981750062990705-0.000512216545674163i</v>
      </c>
      <c r="AW443" s="64">
        <f t="shared" si="314"/>
        <v>-65.65424515297957</v>
      </c>
      <c r="AX443" s="61">
        <f t="shared" si="315"/>
        <v>-100.85012279693942</v>
      </c>
    </row>
    <row r="444" spans="14:50" x14ac:dyDescent="0.25">
      <c r="N444" s="10">
        <v>26</v>
      </c>
      <c r="O444" s="50">
        <f t="shared" si="316"/>
        <v>181970.08586099857</v>
      </c>
      <c r="P444" s="48" t="str">
        <f t="shared" si="281"/>
        <v>304.285714285714</v>
      </c>
      <c r="Q444" s="17" t="str">
        <f t="shared" si="282"/>
        <v>1+59535.9600146168i</v>
      </c>
      <c r="R444" s="17">
        <f t="shared" si="291"/>
        <v>59535.960023015083</v>
      </c>
      <c r="S444" s="17">
        <f t="shared" si="292"/>
        <v>1.5707795302235528</v>
      </c>
      <c r="T444" s="17" t="str">
        <f t="shared" si="283"/>
        <v>1+1.23481991141427i</v>
      </c>
      <c r="U444" s="17">
        <f t="shared" si="293"/>
        <v>1.5889556990756997</v>
      </c>
      <c r="V444" s="17">
        <f t="shared" si="294"/>
        <v>0.89008732488277786</v>
      </c>
      <c r="W444" s="31" t="str">
        <f t="shared" si="284"/>
        <v>1-3.8588122231696i</v>
      </c>
      <c r="X444" s="17">
        <f t="shared" si="295"/>
        <v>3.9862804434313341</v>
      </c>
      <c r="Y444" s="17">
        <f t="shared" si="296"/>
        <v>-1.3172273280543392</v>
      </c>
      <c r="Z444" s="31" t="str">
        <f t="shared" si="285"/>
        <v>-1.07912830163294+34.0403157427469i</v>
      </c>
      <c r="AA444" s="17">
        <f t="shared" si="297"/>
        <v>34.057416428103991</v>
      </c>
      <c r="AB444" s="17">
        <f t="shared" si="298"/>
        <v>1.6024871908134231</v>
      </c>
      <c r="AC444" s="66" t="str">
        <f t="shared" si="299"/>
        <v>-0.000852233089433059+0.000420979792372501i</v>
      </c>
      <c r="AD444" s="64">
        <f t="shared" si="300"/>
        <v>-60.4405971844783</v>
      </c>
      <c r="AE444" s="61">
        <f t="shared" si="301"/>
        <v>153.71189017232871</v>
      </c>
      <c r="AF444" s="31" t="str">
        <f t="shared" si="286"/>
        <v>-1512.12121212121</v>
      </c>
      <c r="AG444" s="31" t="str">
        <f t="shared" si="302"/>
        <v>1143351.76982803i</v>
      </c>
      <c r="AH444" s="31">
        <f t="shared" si="303"/>
        <v>1143351.7698280299</v>
      </c>
      <c r="AI444" s="31">
        <f t="shared" si="304"/>
        <v>1.5707963267948966</v>
      </c>
      <c r="AJ444" s="31" t="str">
        <f t="shared" si="287"/>
        <v>-5682.0064517576+1575.84401374558i</v>
      </c>
      <c r="AK444" s="31">
        <f t="shared" si="305"/>
        <v>5896.4804479852874</v>
      </c>
      <c r="AL444" s="31">
        <f t="shared" si="306"/>
        <v>2.8710528648648865</v>
      </c>
      <c r="AM444" s="31" t="str">
        <f t="shared" si="288"/>
        <v>1+7847.96654809958i</v>
      </c>
      <c r="AN444" s="31">
        <f t="shared" si="307"/>
        <v>7847.9666118103505</v>
      </c>
      <c r="AO444" s="31">
        <f t="shared" si="308"/>
        <v>1.5706689052534746</v>
      </c>
      <c r="AP444" s="31" t="str">
        <f t="shared" si="289"/>
        <v>1+301.8448672346i</v>
      </c>
      <c r="AQ444" s="31">
        <f t="shared" si="309"/>
        <v>301.84652371010219</v>
      </c>
      <c r="AR444" s="31">
        <f t="shared" si="310"/>
        <v>1.5674833788206026</v>
      </c>
      <c r="AS444" s="58" t="str">
        <f t="shared" si="311"/>
        <v>-0.140234184754436+0.512480889915071i</v>
      </c>
      <c r="AT444" s="49">
        <f t="shared" si="312"/>
        <v>-5.4928560027927151</v>
      </c>
      <c r="AU444" s="61">
        <f t="shared" si="313"/>
        <v>105.30366943108213</v>
      </c>
      <c r="AV444" s="58" t="str">
        <f t="shared" si="290"/>
        <v>-0.0000962318861139217-0.000495788930069174i</v>
      </c>
      <c r="AW444" s="64">
        <f t="shared" si="314"/>
        <v>-65.933453187271013</v>
      </c>
      <c r="AX444" s="61">
        <f t="shared" si="315"/>
        <v>-100.98444039658915</v>
      </c>
    </row>
    <row r="445" spans="14:50" x14ac:dyDescent="0.25">
      <c r="N445" s="10">
        <v>27</v>
      </c>
      <c r="O445" s="50">
        <f t="shared" si="316"/>
        <v>186208.71366628664</v>
      </c>
      <c r="P445" s="48" t="str">
        <f t="shared" si="281"/>
        <v>304.285714285714</v>
      </c>
      <c r="Q445" s="17" t="str">
        <f t="shared" si="282"/>
        <v>1+60922.7306716646i</v>
      </c>
      <c r="R445" s="17">
        <f t="shared" si="291"/>
        <v>60922.730679871718</v>
      </c>
      <c r="S445" s="17">
        <f t="shared" si="292"/>
        <v>1.5707799125601949</v>
      </c>
      <c r="T445" s="17" t="str">
        <f t="shared" si="283"/>
        <v>1+1.26358256207897i</v>
      </c>
      <c r="U445" s="17">
        <f t="shared" si="293"/>
        <v>1.6114095975853111</v>
      </c>
      <c r="V445" s="17">
        <f t="shared" si="294"/>
        <v>0.90132095980812488</v>
      </c>
      <c r="W445" s="31" t="str">
        <f t="shared" si="284"/>
        <v>1-3.94869550649677i</v>
      </c>
      <c r="X445" s="17">
        <f t="shared" si="295"/>
        <v>4.0733519615947476</v>
      </c>
      <c r="Y445" s="17">
        <f t="shared" si="296"/>
        <v>-1.32276288547334</v>
      </c>
      <c r="Z445" s="31" t="str">
        <f t="shared" si="285"/>
        <v>-1.17711459970043+34.8332165545771i</v>
      </c>
      <c r="AA445" s="17">
        <f t="shared" si="297"/>
        <v>34.853099924094153</v>
      </c>
      <c r="AB445" s="17">
        <f t="shared" si="298"/>
        <v>1.6045763491650655</v>
      </c>
      <c r="AC445" s="66" t="str">
        <f t="shared" si="299"/>
        <v>-0.000844845996434881+0.000413544945110479i</v>
      </c>
      <c r="AD445" s="64">
        <f t="shared" si="300"/>
        <v>-60.531626515187099</v>
      </c>
      <c r="AE445" s="61">
        <f t="shared" si="301"/>
        <v>153.91864410222121</v>
      </c>
      <c r="AF445" s="31" t="str">
        <f t="shared" si="286"/>
        <v>-1512.12121212121</v>
      </c>
      <c r="AG445" s="31" t="str">
        <f t="shared" si="302"/>
        <v>1169983.85377682i</v>
      </c>
      <c r="AH445" s="31">
        <f t="shared" si="303"/>
        <v>1169983.85377682</v>
      </c>
      <c r="AI445" s="31">
        <f t="shared" si="304"/>
        <v>1.5707963267948966</v>
      </c>
      <c r="AJ445" s="31" t="str">
        <f t="shared" si="287"/>
        <v>-5949.83829439282+1612.55013619342i</v>
      </c>
      <c r="AK445" s="31">
        <f t="shared" si="305"/>
        <v>6164.4864888456596</v>
      </c>
      <c r="AL445" s="31">
        <f t="shared" si="306"/>
        <v>2.8769264607283014</v>
      </c>
      <c r="AM445" s="31" t="str">
        <f t="shared" si="288"/>
        <v>1+8030.76917232408i</v>
      </c>
      <c r="AN445" s="31">
        <f t="shared" si="307"/>
        <v>8030.7692345846162</v>
      </c>
      <c r="AO445" s="31">
        <f t="shared" si="308"/>
        <v>1.570671805721837</v>
      </c>
      <c r="AP445" s="31" t="str">
        <f t="shared" si="289"/>
        <v>1+308.87573739708i</v>
      </c>
      <c r="AQ445" s="31">
        <f t="shared" si="309"/>
        <v>308.87735616679629</v>
      </c>
      <c r="AR445" s="31">
        <f t="shared" si="310"/>
        <v>1.5675587901902299</v>
      </c>
      <c r="AS445" s="58" t="str">
        <f t="shared" si="311"/>
        <v>-0.134352507014464+0.50240552091905i</v>
      </c>
      <c r="AT445" s="49">
        <f t="shared" si="312"/>
        <v>-5.6789389959767362</v>
      </c>
      <c r="AU445" s="61">
        <f t="shared" si="313"/>
        <v>104.97162411534562</v>
      </c>
      <c r="AV445" s="58" t="str">
        <f t="shared" si="290"/>
        <v>-0.000094260085909511-0.000480016093073992i</v>
      </c>
      <c r="AW445" s="64">
        <f t="shared" si="314"/>
        <v>-66.210565511163836</v>
      </c>
      <c r="AX445" s="61">
        <f t="shared" si="315"/>
        <v>-101.10973178243316</v>
      </c>
    </row>
    <row r="446" spans="14:50" x14ac:dyDescent="0.25">
      <c r="N446" s="10">
        <v>28</v>
      </c>
      <c r="O446" s="50">
        <f t="shared" si="316"/>
        <v>190546.07179632492</v>
      </c>
      <c r="P446" s="48" t="str">
        <f t="shared" si="281"/>
        <v>304.285714285714</v>
      </c>
      <c r="Q446" s="17" t="str">
        <f t="shared" si="282"/>
        <v>1+62341.8033669226i</v>
      </c>
      <c r="R446" s="17">
        <f t="shared" si="291"/>
        <v>62341.803374942901</v>
      </c>
      <c r="S446" s="17">
        <f t="shared" si="292"/>
        <v>1.5707802861937925</v>
      </c>
      <c r="T446" s="17" t="str">
        <f t="shared" si="283"/>
        <v>1+1.29301518094358i</v>
      </c>
      <c r="U446" s="17">
        <f t="shared" si="293"/>
        <v>1.6345911593271754</v>
      </c>
      <c r="V446" s="17">
        <f t="shared" si="294"/>
        <v>0.91249532480847817</v>
      </c>
      <c r="W446" s="31" t="str">
        <f t="shared" si="284"/>
        <v>1-4.04067244044868i</v>
      </c>
      <c r="X446" s="17">
        <f t="shared" si="295"/>
        <v>4.1625753772155871</v>
      </c>
      <c r="Y446" s="17">
        <f t="shared" si="296"/>
        <v>-1.3281874766096031</v>
      </c>
      <c r="Z446" s="31" t="str">
        <f t="shared" si="285"/>
        <v>-1.27971884972477+35.644586398897i</v>
      </c>
      <c r="AA446" s="17">
        <f t="shared" si="297"/>
        <v>35.667551358101015</v>
      </c>
      <c r="AB446" s="17">
        <f t="shared" si="298"/>
        <v>1.6066831069520588</v>
      </c>
      <c r="AC446" s="66" t="str">
        <f t="shared" si="299"/>
        <v>-0.00083777970987144+0.000406309841436873i</v>
      </c>
      <c r="AD446" s="64">
        <f t="shared" si="300"/>
        <v>-60.619996725053859</v>
      </c>
      <c r="AE446" s="61">
        <f t="shared" si="301"/>
        <v>154.12735214050892</v>
      </c>
      <c r="AF446" s="31" t="str">
        <f t="shared" si="286"/>
        <v>-1512.12121212121</v>
      </c>
      <c r="AG446" s="31" t="str">
        <f t="shared" si="302"/>
        <v>1197236.27865146i</v>
      </c>
      <c r="AH446" s="31">
        <f t="shared" si="303"/>
        <v>1197236.2786514601</v>
      </c>
      <c r="AI446" s="31">
        <f t="shared" si="304"/>
        <v>1.5707963267948966</v>
      </c>
      <c r="AJ446" s="31" t="str">
        <f t="shared" si="287"/>
        <v>-6230.29266289335+1650.11125406811i</v>
      </c>
      <c r="AK446" s="31">
        <f t="shared" si="305"/>
        <v>6445.1077427848277</v>
      </c>
      <c r="AL446" s="31">
        <f t="shared" si="306"/>
        <v>2.8826843496740597</v>
      </c>
      <c r="AM446" s="31" t="str">
        <f t="shared" si="288"/>
        <v>1+8217.8298166636i</v>
      </c>
      <c r="AN446" s="31">
        <f t="shared" si="307"/>
        <v>8217.8298775069125</v>
      </c>
      <c r="AO446" s="31">
        <f t="shared" si="308"/>
        <v>1.5706746401674812</v>
      </c>
      <c r="AP446" s="31" t="str">
        <f t="shared" si="289"/>
        <v>1+316.070377563985i</v>
      </c>
      <c r="AQ446" s="31">
        <f t="shared" si="309"/>
        <v>316.07195948619051</v>
      </c>
      <c r="AR446" s="31">
        <f t="shared" si="310"/>
        <v>1.5676324850230945</v>
      </c>
      <c r="AS446" s="58" t="str">
        <f t="shared" si="311"/>
        <v>-0.128700189948478+0.492462703436262i</v>
      </c>
      <c r="AT446" s="49">
        <f t="shared" si="312"/>
        <v>-5.8656065838258229</v>
      </c>
      <c r="AU446" s="61">
        <f t="shared" si="313"/>
        <v>104.64610618451643</v>
      </c>
      <c r="AV446" s="58" t="str">
        <f t="shared" si="290"/>
        <v>-0.0000922700351513263-0.000464867414578198i</v>
      </c>
      <c r="AW446" s="64">
        <f t="shared" si="314"/>
        <v>-66.485603308879675</v>
      </c>
      <c r="AX446" s="61">
        <f t="shared" si="315"/>
        <v>-101.22654167497465</v>
      </c>
    </row>
    <row r="447" spans="14:50" x14ac:dyDescent="0.25">
      <c r="N447" s="10">
        <v>29</v>
      </c>
      <c r="O447" s="50">
        <f t="shared" si="316"/>
        <v>194984.45997580473</v>
      </c>
      <c r="P447" s="48" t="str">
        <f t="shared" si="281"/>
        <v>304.285714285714</v>
      </c>
      <c r="Q447" s="17" t="str">
        <f t="shared" si="282"/>
        <v>1+63793.9305115162i</v>
      </c>
      <c r="R447" s="17">
        <f t="shared" si="291"/>
        <v>63793.930519353933</v>
      </c>
      <c r="S447" s="17">
        <f t="shared" si="292"/>
        <v>1.5707806513224511</v>
      </c>
      <c r="T447" s="17" t="str">
        <f t="shared" si="283"/>
        <v>1+1.32313337357219i</v>
      </c>
      <c r="U447" s="17">
        <f t="shared" si="293"/>
        <v>1.6585179903336968</v>
      </c>
      <c r="V447" s="17">
        <f t="shared" si="294"/>
        <v>0.92360518281296233</v>
      </c>
      <c r="W447" s="31" t="str">
        <f t="shared" si="284"/>
        <v>1-4.13479179241308i</v>
      </c>
      <c r="X447" s="17">
        <f t="shared" si="295"/>
        <v>4.253998491608403</v>
      </c>
      <c r="Y447" s="17">
        <f t="shared" si="296"/>
        <v>-1.3335027001071871</v>
      </c>
      <c r="Z447" s="31" t="str">
        <f t="shared" si="285"/>
        <v>-1.38715868907652+36.474855474737i</v>
      </c>
      <c r="AA447" s="17">
        <f t="shared" si="297"/>
        <v>36.501223145692421</v>
      </c>
      <c r="AB447" s="17">
        <f t="shared" si="298"/>
        <v>1.6088085544290511</v>
      </c>
      <c r="AC447" s="66" t="str">
        <f t="shared" si="299"/>
        <v>-0.000831019319020147+0.000399271848091499i</v>
      </c>
      <c r="AD447" s="64">
        <f t="shared" si="300"/>
        <v>-60.705753941275319</v>
      </c>
      <c r="AE447" s="61">
        <f t="shared" si="301"/>
        <v>154.33756015123561</v>
      </c>
      <c r="AF447" s="31" t="str">
        <f t="shared" si="286"/>
        <v>-1512.12121212121</v>
      </c>
      <c r="AG447" s="31" t="str">
        <f t="shared" si="302"/>
        <v>1225123.49404832i</v>
      </c>
      <c r="AH447" s="31">
        <f t="shared" si="303"/>
        <v>1225123.49404832</v>
      </c>
      <c r="AI447" s="31">
        <f t="shared" si="304"/>
        <v>1.5707963267948966</v>
      </c>
      <c r="AJ447" s="31" t="str">
        <f t="shared" si="287"/>
        <v>-6523.96443857563+1688.5472827715i</v>
      </c>
      <c r="AK447" s="31">
        <f t="shared" si="305"/>
        <v>6738.9393766344601</v>
      </c>
      <c r="AL447" s="31">
        <f t="shared" si="306"/>
        <v>2.8883280680769321</v>
      </c>
      <c r="AM447" s="31" t="str">
        <f t="shared" si="288"/>
        <v>1+8409.24766314765i</v>
      </c>
      <c r="AN447" s="31">
        <f t="shared" si="307"/>
        <v>8409.247722606</v>
      </c>
      <c r="AO447" s="31">
        <f t="shared" si="308"/>
        <v>1.5706774100932672</v>
      </c>
      <c r="AP447" s="31" t="str">
        <f t="shared" si="289"/>
        <v>1+323.432602428756i</v>
      </c>
      <c r="AQ447" s="31">
        <f t="shared" si="309"/>
        <v>323.43414834218993</v>
      </c>
      <c r="AR447" s="31">
        <f t="shared" si="310"/>
        <v>1.5677045023899687</v>
      </c>
      <c r="AS447" s="58" t="str">
        <f t="shared" si="311"/>
        <v>-0.123269723208863+0.48265494184445i</v>
      </c>
      <c r="AT447" s="49">
        <f t="shared" si="312"/>
        <v>-6.0528358960796291</v>
      </c>
      <c r="AU447" s="61">
        <f t="shared" si="313"/>
        <v>104.3270299355022</v>
      </c>
      <c r="AV447" s="58" t="str">
        <f t="shared" si="290"/>
        <v>-0.0000902710091838972-0.000450313711292614i</v>
      </c>
      <c r="AW447" s="64">
        <f t="shared" si="314"/>
        <v>-66.758589837354947</v>
      </c>
      <c r="AX447" s="61">
        <f t="shared" si="315"/>
        <v>-101.33540991326218</v>
      </c>
    </row>
    <row r="448" spans="14:50" x14ac:dyDescent="0.25">
      <c r="N448" s="10">
        <v>30</v>
      </c>
      <c r="O448" s="50">
        <f t="shared" si="316"/>
        <v>199526.23149688813</v>
      </c>
      <c r="P448" s="48" t="str">
        <f t="shared" si="281"/>
        <v>304.285714285714</v>
      </c>
      <c r="Q448" s="17" t="str">
        <f t="shared" si="282"/>
        <v>1+65279.8820424801i</v>
      </c>
      <c r="R448" s="17">
        <f t="shared" si="291"/>
        <v>65279.882050139429</v>
      </c>
      <c r="S448" s="17">
        <f t="shared" si="292"/>
        <v>1.5707810081397668</v>
      </c>
      <c r="T448" s="17" t="str">
        <f t="shared" si="283"/>
        <v>1+1.35395310902921i</v>
      </c>
      <c r="U448" s="17">
        <f t="shared" si="293"/>
        <v>1.6832079554974375</v>
      </c>
      <c r="V448" s="17">
        <f t="shared" si="294"/>
        <v>0.9346454546602363</v>
      </c>
      <c r="W448" s="31" t="str">
        <f t="shared" si="284"/>
        <v>1-4.23110346571629i</v>
      </c>
      <c r="X448" s="17">
        <f t="shared" si="295"/>
        <v>4.3476702425087845</v>
      </c>
      <c r="Y448" s="17">
        <f t="shared" si="296"/>
        <v>-1.3387101723390431</v>
      </c>
      <c r="Z448" s="31" t="str">
        <f t="shared" si="285"/>
        <v>-1.4996620120598+37.3244640017517i</v>
      </c>
      <c r="AA448" s="17">
        <f t="shared" si="297"/>
        <v>37.354579360079448</v>
      </c>
      <c r="AB448" s="17">
        <f t="shared" si="298"/>
        <v>1.6109537901696043</v>
      </c>
      <c r="AC448" s="66" t="str">
        <f t="shared" si="299"/>
        <v>-0.000824550556349534+0.000392428349302205i</v>
      </c>
      <c r="AD448" s="64">
        <f t="shared" si="300"/>
        <v>-60.788945520885932</v>
      </c>
      <c r="AE448" s="61">
        <f t="shared" si="301"/>
        <v>154.54882155382407</v>
      </c>
      <c r="AF448" s="31" t="str">
        <f t="shared" si="286"/>
        <v>-1512.12121212121</v>
      </c>
      <c r="AG448" s="31" t="str">
        <f t="shared" si="302"/>
        <v>1253660.28613816i</v>
      </c>
      <c r="AH448" s="31">
        <f t="shared" si="303"/>
        <v>1253660.2861381599</v>
      </c>
      <c r="AI448" s="31">
        <f t="shared" si="304"/>
        <v>1.5707963267948966</v>
      </c>
      <c r="AJ448" s="31" t="str">
        <f t="shared" si="287"/>
        <v>-6831.47653864948+1727.87860159478i</v>
      </c>
      <c r="AK448" s="31">
        <f t="shared" si="305"/>
        <v>7046.6045837670936</v>
      </c>
      <c r="AL448" s="31">
        <f t="shared" si="306"/>
        <v>2.8938591801711686</v>
      </c>
      <c r="AM448" s="31" t="str">
        <f t="shared" si="288"/>
        <v>1+8605.12420405231i</v>
      </c>
      <c r="AN448" s="31">
        <f t="shared" si="307"/>
        <v>8605.1242621572237</v>
      </c>
      <c r="AO448" s="31">
        <f t="shared" si="308"/>
        <v>1.5706801169678464</v>
      </c>
      <c r="AP448" s="31" t="str">
        <f t="shared" si="289"/>
        <v>1+330.966315540474i</v>
      </c>
      <c r="AQ448" s="31">
        <f t="shared" si="309"/>
        <v>330.96782626478449</v>
      </c>
      <c r="AR448" s="31">
        <f t="shared" si="310"/>
        <v>1.5677748804724236</v>
      </c>
      <c r="AS448" s="58" t="str">
        <f t="shared" si="311"/>
        <v>-0.118053722371507+0.472984406385309i</v>
      </c>
      <c r="AT448" s="49">
        <f t="shared" si="312"/>
        <v>-6.2406048174984186</v>
      </c>
      <c r="AU448" s="61">
        <f t="shared" si="313"/>
        <v>104.01430801607269</v>
      </c>
      <c r="AV448" s="58" t="str">
        <f t="shared" si="290"/>
        <v>-0.0000882712273829106-0.000436327182828892i</v>
      </c>
      <c r="AW448" s="64">
        <f t="shared" si="314"/>
        <v>-67.029550338384354</v>
      </c>
      <c r="AX448" s="61">
        <f t="shared" si="315"/>
        <v>-101.43687043010324</v>
      </c>
    </row>
    <row r="449" spans="14:50" x14ac:dyDescent="0.25">
      <c r="N449" s="10">
        <v>31</v>
      </c>
      <c r="O449" s="50">
        <f t="shared" si="316"/>
        <v>204173.79446695308</v>
      </c>
      <c r="P449" s="48" t="str">
        <f t="shared" si="281"/>
        <v>304.285714285714</v>
      </c>
      <c r="Q449" s="17" t="str">
        <f t="shared" si="282"/>
        <v>1+66800.4458309839i</v>
      </c>
      <c r="R449" s="17">
        <f t="shared" si="291"/>
        <v>66800.445838468877</v>
      </c>
      <c r="S449" s="17">
        <f t="shared" si="292"/>
        <v>1.5707813568349287</v>
      </c>
      <c r="T449" s="17" t="str">
        <f t="shared" si="283"/>
        <v>1+1.38549072834633i</v>
      </c>
      <c r="U449" s="17">
        <f t="shared" si="293"/>
        <v>1.7086791853164374</v>
      </c>
      <c r="V449" s="17">
        <f t="shared" si="294"/>
        <v>0.94561122904804662</v>
      </c>
      <c r="W449" s="31" t="str">
        <f t="shared" si="284"/>
        <v>1-4.32965852608228i</v>
      </c>
      <c r="X449" s="17">
        <f t="shared" si="295"/>
        <v>4.4436407317060391</v>
      </c>
      <c r="Y449" s="17">
        <f t="shared" si="296"/>
        <v>-1.3438115241599955</v>
      </c>
      <c r="Z449" s="31" t="str">
        <f t="shared" si="285"/>
        <v>-1.61746745330615+38.1938624536277i</v>
      </c>
      <c r="AA449" s="17">
        <f t="shared" si="297"/>
        <v>38.228096082451401</v>
      </c>
      <c r="AB449" s="17">
        <f t="shared" si="298"/>
        <v>1.613119921516083</v>
      </c>
      <c r="AC449" s="66" t="str">
        <f t="shared" si="299"/>
        <v>-0.000818359767865153+0.000385776750695913i</v>
      </c>
      <c r="AD449" s="64">
        <f t="shared" si="300"/>
        <v>-60.869619970570668</v>
      </c>
      <c r="AE449" s="61">
        <f t="shared" si="301"/>
        <v>154.76069805340094</v>
      </c>
      <c r="AF449" s="31" t="str">
        <f t="shared" si="286"/>
        <v>-1512.12121212121</v>
      </c>
      <c r="AG449" s="31" t="str">
        <f t="shared" si="302"/>
        <v>1282861.78550586i</v>
      </c>
      <c r="AH449" s="31">
        <f t="shared" si="303"/>
        <v>1282861.7855058601</v>
      </c>
      <c r="AI449" s="31">
        <f t="shared" si="304"/>
        <v>1.5707963267948966</v>
      </c>
      <c r="AJ449" s="31" t="str">
        <f t="shared" si="287"/>
        <v>-7153.48123750782+1768.12606452381i</v>
      </c>
      <c r="AK449" s="31">
        <f t="shared" si="305"/>
        <v>7368.7559055396096</v>
      </c>
      <c r="AL449" s="31">
        <f t="shared" si="306"/>
        <v>2.8992792742394355</v>
      </c>
      <c r="AM449" s="31" t="str">
        <f t="shared" si="288"/>
        <v>1+8805.5632957122i</v>
      </c>
      <c r="AN449" s="31">
        <f t="shared" si="307"/>
        <v>8805.5633524944824</v>
      </c>
      <c r="AO449" s="31">
        <f t="shared" si="308"/>
        <v>1.5706827622264392</v>
      </c>
      <c r="AP449" s="31" t="str">
        <f t="shared" si="289"/>
        <v>1+338.675511373547i</v>
      </c>
      <c r="AQ449" s="31">
        <f t="shared" si="309"/>
        <v>338.67698770972549</v>
      </c>
      <c r="AR449" s="31">
        <f t="shared" si="310"/>
        <v>1.56784365658306</v>
      </c>
      <c r="AS449" s="58" t="str">
        <f t="shared" si="311"/>
        <v>-0.113044937856228+0.463452950777273i</v>
      </c>
      <c r="AT449" s="49">
        <f t="shared" si="312"/>
        <v>-6.4288919746401696</v>
      </c>
      <c r="AU449" s="61">
        <f t="shared" si="313"/>
        <v>103.70785164442087</v>
      </c>
      <c r="AV449" s="58" t="str">
        <f t="shared" si="290"/>
        <v>-0.0000862779443489359-0.000422881358023306i</v>
      </c>
      <c r="AW449" s="64">
        <f t="shared" si="314"/>
        <v>-67.298511945210848</v>
      </c>
      <c r="AX449" s="61">
        <f t="shared" si="315"/>
        <v>-101.53145030217817</v>
      </c>
    </row>
    <row r="450" spans="14:50" x14ac:dyDescent="0.25">
      <c r="N450" s="10">
        <v>32</v>
      </c>
      <c r="O450" s="50">
        <f t="shared" si="316"/>
        <v>208929.61308540447</v>
      </c>
      <c r="P450" s="48" t="str">
        <f t="shared" si="281"/>
        <v>304.285714285714</v>
      </c>
      <c r="Q450" s="17" t="str">
        <f t="shared" si="282"/>
        <v>1+68356.4281000763i</v>
      </c>
      <c r="R450" s="17">
        <f t="shared" si="291"/>
        <v>68356.428107390908</v>
      </c>
      <c r="S450" s="17">
        <f t="shared" si="292"/>
        <v>1.5707816975928197</v>
      </c>
      <c r="T450" s="17" t="str">
        <f t="shared" si="283"/>
        <v>1+1.41776295318676i</v>
      </c>
      <c r="U450" s="17">
        <f t="shared" si="293"/>
        <v>1.734950083267194</v>
      </c>
      <c r="V450" s="17">
        <f t="shared" si="294"/>
        <v>0.95649777154095827</v>
      </c>
      <c r="W450" s="31" t="str">
        <f t="shared" si="284"/>
        <v>1-4.43050922870864i</v>
      </c>
      <c r="X450" s="17">
        <f t="shared" si="295"/>
        <v>4.5419612532112632</v>
      </c>
      <c r="Y450" s="17">
        <f t="shared" si="296"/>
        <v>-1.3488083978503735</v>
      </c>
      <c r="Z450" s="31" t="str">
        <f t="shared" si="285"/>
        <v>-1.74082489395099+39.0835117969324i</v>
      </c>
      <c r="AA450" s="17">
        <f t="shared" si="297"/>
        <v>39.122261766062984</v>
      </c>
      <c r="AB450" s="17">
        <f t="shared" si="298"/>
        <v>1.6153080650263192</v>
      </c>
      <c r="AC450" s="66" t="str">
        <f t="shared" si="299"/>
        <v>-0.000812433884714065+0.000379314482836193i</v>
      </c>
      <c r="AD450" s="64">
        <f t="shared" si="300"/>
        <v>-60.94782686255617</v>
      </c>
      <c r="AE450" s="61">
        <f t="shared" si="301"/>
        <v>154.97276030642155</v>
      </c>
      <c r="AF450" s="31" t="str">
        <f t="shared" si="286"/>
        <v>-1512.12121212121</v>
      </c>
      <c r="AG450" s="31" t="str">
        <f t="shared" si="302"/>
        <v>1312743.47517293i</v>
      </c>
      <c r="AH450" s="31">
        <f t="shared" si="303"/>
        <v>1312743.4751729299</v>
      </c>
      <c r="AI450" s="31">
        <f t="shared" si="304"/>
        <v>1.5707963267948966</v>
      </c>
      <c r="AJ450" s="31" t="str">
        <f t="shared" si="287"/>
        <v>-7490.66155028906+1809.31101129617i</v>
      </c>
      <c r="AK450" s="31">
        <f t="shared" si="305"/>
        <v>7706.0766150211921</v>
      </c>
      <c r="AL450" s="31">
        <f t="shared" si="306"/>
        <v>2.9045899590058215</v>
      </c>
      <c r="AM450" s="31" t="str">
        <f t="shared" si="288"/>
        <v>1+9010.67121358697i</v>
      </c>
      <c r="AN450" s="31">
        <f t="shared" si="307"/>
        <v>9010.6712690767308</v>
      </c>
      <c r="AO450" s="31">
        <f t="shared" si="308"/>
        <v>1.5706853472715969</v>
      </c>
      <c r="AP450" s="31" t="str">
        <f t="shared" si="289"/>
        <v>1+346.564277445653i</v>
      </c>
      <c r="AQ450" s="31">
        <f t="shared" si="309"/>
        <v>346.5657201764588</v>
      </c>
      <c r="AR450" s="31">
        <f t="shared" si="310"/>
        <v>1.5679108671852779</v>
      </c>
      <c r="AS450" s="58" t="str">
        <f t="shared" si="311"/>
        <v>-0.108236262612727+0.454062129490717i</v>
      </c>
      <c r="AT450" s="49">
        <f t="shared" si="312"/>
        <v>-6.61767672179786</v>
      </c>
      <c r="AU450" s="61">
        <f t="shared" si="313"/>
        <v>103.40757081700558</v>
      </c>
      <c r="AV450" s="58" t="str">
        <f t="shared" si="290"/>
        <v>-0.0000842975345218823-0.000409951041740753i</v>
      </c>
      <c r="AW450" s="64">
        <f t="shared" si="314"/>
        <v>-67.565503584354033</v>
      </c>
      <c r="AX450" s="61">
        <f t="shared" si="315"/>
        <v>-101.61966887657287</v>
      </c>
    </row>
    <row r="451" spans="14:50" x14ac:dyDescent="0.25">
      <c r="N451" s="10">
        <v>33</v>
      </c>
      <c r="O451" s="50">
        <f t="shared" si="316"/>
        <v>213796.20895022334</v>
      </c>
      <c r="P451" s="48" t="str">
        <f t="shared" si="281"/>
        <v>304.285714285714</v>
      </c>
      <c r="Q451" s="17" t="str">
        <f t="shared" si="282"/>
        <v>1+69948.6538521511i</v>
      </c>
      <c r="R451" s="17">
        <f t="shared" si="291"/>
        <v>69948.6538592992</v>
      </c>
      <c r="S451" s="17">
        <f t="shared" si="292"/>
        <v>1.5707820305941143</v>
      </c>
      <c r="T451" s="17" t="str">
        <f t="shared" si="283"/>
        <v>1+1.45078689471128i</v>
      </c>
      <c r="U451" s="17">
        <f t="shared" si="293"/>
        <v>1.7620393338021709</v>
      </c>
      <c r="V451" s="17">
        <f t="shared" si="294"/>
        <v>0.96730053260998372</v>
      </c>
      <c r="W451" s="31" t="str">
        <f t="shared" si="284"/>
        <v>1-4.53370904597275i</v>
      </c>
      <c r="X451" s="17">
        <f t="shared" si="295"/>
        <v>4.642684321977443</v>
      </c>
      <c r="Y451" s="17">
        <f t="shared" si="296"/>
        <v>-1.3537024442446435</v>
      </c>
      <c r="Z451" s="31" t="str">
        <f t="shared" si="285"/>
        <v>-1.86999599166465+39.9938837355231i</v>
      </c>
      <c r="AA451" s="17">
        <f t="shared" si="297"/>
        <v>40.037577614778108</v>
      </c>
      <c r="AB451" s="17">
        <f t="shared" si="298"/>
        <v>1.6175193469166265</v>
      </c>
      <c r="AC451" s="66" t="str">
        <f t="shared" si="299"/>
        <v>-0.000806760395992573+0.000373039004412405i</v>
      </c>
      <c r="AD451" s="64">
        <f t="shared" si="300"/>
        <v>-61.023616747258025</v>
      </c>
      <c r="AE451" s="61">
        <f t="shared" si="301"/>
        <v>155.18458852043494</v>
      </c>
      <c r="AF451" s="31" t="str">
        <f t="shared" si="286"/>
        <v>-1512.12121212121</v>
      </c>
      <c r="AG451" s="31" t="str">
        <f t="shared" si="302"/>
        <v>1343321.19880674i</v>
      </c>
      <c r="AH451" s="31">
        <f t="shared" si="303"/>
        <v>1343321.1988067401</v>
      </c>
      <c r="AI451" s="31">
        <f t="shared" si="304"/>
        <v>1.5707963267948966</v>
      </c>
      <c r="AJ451" s="31" t="str">
        <f t="shared" si="287"/>
        <v>-7843.73268164291+1851.45527871577i</v>
      </c>
      <c r="AK451" s="31">
        <f t="shared" si="305"/>
        <v>8059.2821659349756</v>
      </c>
      <c r="AL451" s="31">
        <f t="shared" si="306"/>
        <v>2.9097928602285288</v>
      </c>
      <c r="AM451" s="31" t="str">
        <f t="shared" si="288"/>
        <v>1+9220.55670860944i</v>
      </c>
      <c r="AN451" s="31">
        <f t="shared" si="307"/>
        <v>9220.5567628361005</v>
      </c>
      <c r="AO451" s="31">
        <f t="shared" si="308"/>
        <v>1.5706878734739442</v>
      </c>
      <c r="AP451" s="31" t="str">
        <f t="shared" si="289"/>
        <v>1+354.636796484979i</v>
      </c>
      <c r="AQ451" s="31">
        <f t="shared" si="309"/>
        <v>354.6382063753544</v>
      </c>
      <c r="AR451" s="31">
        <f t="shared" si="310"/>
        <v>1.5679765479125982</v>
      </c>
      <c r="AS451" s="58" t="str">
        <f t="shared" si="311"/>
        <v>-0.103620738654076+0.444813214634164i</v>
      </c>
      <c r="AT451" s="49">
        <f t="shared" si="312"/>
        <v>-6.8069391262146848</v>
      </c>
      <c r="AU451" s="61">
        <f t="shared" si="313"/>
        <v>103.11337450492448</v>
      </c>
      <c r="AV451" s="58" t="str">
        <f t="shared" si="290"/>
        <v>-0.0000823355705870047-0.000397512262364982i</v>
      </c>
      <c r="AW451" s="64">
        <f t="shared" si="314"/>
        <v>-67.830555873472719</v>
      </c>
      <c r="AX451" s="61">
        <f t="shared" si="315"/>
        <v>-101.70203697464056</v>
      </c>
    </row>
    <row r="452" spans="14:50" x14ac:dyDescent="0.25">
      <c r="N452" s="10">
        <v>34</v>
      </c>
      <c r="O452" s="50">
        <f t="shared" si="316"/>
        <v>218776.16239495538</v>
      </c>
      <c r="P452" s="48" t="str">
        <f t="shared" si="281"/>
        <v>304.285714285714</v>
      </c>
      <c r="Q452" s="17" t="str">
        <f t="shared" si="282"/>
        <v>1+71577.9673063785i</v>
      </c>
      <c r="R452" s="17">
        <f t="shared" si="291"/>
        <v>71577.967313363886</v>
      </c>
      <c r="S452" s="17">
        <f t="shared" si="292"/>
        <v>1.5707823560153737</v>
      </c>
      <c r="T452" s="17" t="str">
        <f t="shared" si="283"/>
        <v>1+1.48458006265081i</v>
      </c>
      <c r="U452" s="17">
        <f t="shared" si="293"/>
        <v>1.7899659109659836</v>
      </c>
      <c r="V452" s="17">
        <f t="shared" si="294"/>
        <v>0.97801515468709321</v>
      </c>
      <c r="W452" s="31" t="str">
        <f t="shared" si="284"/>
        <v>1-4.63931269578378i</v>
      </c>
      <c r="X452" s="17">
        <f t="shared" si="295"/>
        <v>4.7458637031904498</v>
      </c>
      <c r="Y452" s="17">
        <f t="shared" si="296"/>
        <v>-1.3584953200391732</v>
      </c>
      <c r="Z452" s="31" t="str">
        <f t="shared" si="285"/>
        <v>-2.00525473566371+40.925460960652i</v>
      </c>
      <c r="AA452" s="17">
        <f t="shared" si="297"/>
        <v>40.974557976831825</v>
      </c>
      <c r="AB452" s="17">
        <f t="shared" si="298"/>
        <v>1.619754903500761</v>
      </c>
      <c r="AC452" s="66" t="str">
        <f t="shared" si="299"/>
        <v>-0.000801327322703788+0.000366947805103562i</v>
      </c>
      <c r="AD452" s="64">
        <f t="shared" si="300"/>
        <v>-61.097041063376338</v>
      </c>
      <c r="AE452" s="61">
        <f t="shared" si="301"/>
        <v>155.39577298737575</v>
      </c>
      <c r="AF452" s="31" t="str">
        <f t="shared" si="286"/>
        <v>-1512.12121212121</v>
      </c>
      <c r="AG452" s="31" t="str">
        <f t="shared" si="302"/>
        <v>1374611.16912112i</v>
      </c>
      <c r="AH452" s="31">
        <f t="shared" si="303"/>
        <v>1374611.1691211199</v>
      </c>
      <c r="AI452" s="31">
        <f t="shared" si="304"/>
        <v>1.5707963267948966</v>
      </c>
      <c r="AJ452" s="31" t="str">
        <f t="shared" si="287"/>
        <v>-8213.44354277617+1894.58121223106i</v>
      </c>
      <c r="AK452" s="31">
        <f t="shared" si="305"/>
        <v>8429.1217098883117</v>
      </c>
      <c r="AL452" s="31">
        <f t="shared" si="306"/>
        <v>2.9148896174875434</v>
      </c>
      <c r="AM452" s="31" t="str">
        <f t="shared" si="288"/>
        <v>1+9435.33106484735i</v>
      </c>
      <c r="AN452" s="31">
        <f t="shared" si="307"/>
        <v>9435.3311178396616</v>
      </c>
      <c r="AO452" s="31">
        <f t="shared" si="308"/>
        <v>1.5706903421729068</v>
      </c>
      <c r="AP452" s="31" t="str">
        <f t="shared" si="289"/>
        <v>1+362.897348647975i</v>
      </c>
      <c r="AQ452" s="31">
        <f t="shared" si="309"/>
        <v>362.89872644545051</v>
      </c>
      <c r="AR452" s="31">
        <f t="shared" si="310"/>
        <v>1.5680407335875437</v>
      </c>
      <c r="AS452" s="58" t="str">
        <f t="shared" si="311"/>
        <v>-0.0991915625180351+0.435707212407932i</v>
      </c>
      <c r="AT452" s="49">
        <f t="shared" si="312"/>
        <v>-6.9966599526923501</v>
      </c>
      <c r="AU452" s="61">
        <f t="shared" si="313"/>
        <v>102.82517083909127</v>
      </c>
      <c r="AV452" s="58" t="str">
        <f t="shared" si="290"/>
        <v>-0.0000803968960334997-0.000385542220152364i</v>
      </c>
      <c r="AW452" s="64">
        <f t="shared" si="314"/>
        <v>-68.093701016068692</v>
      </c>
      <c r="AX452" s="61">
        <f t="shared" si="315"/>
        <v>-101.77905617353298</v>
      </c>
    </row>
    <row r="453" spans="14:50" x14ac:dyDescent="0.25">
      <c r="N453" s="10">
        <v>35</v>
      </c>
      <c r="O453" s="50">
        <f t="shared" si="316"/>
        <v>223872.11385683404</v>
      </c>
      <c r="P453" s="48" t="str">
        <f t="shared" si="281"/>
        <v>304.285714285714</v>
      </c>
      <c r="Q453" s="17" t="str">
        <f t="shared" si="282"/>
        <v>1+73245.2323463182i</v>
      </c>
      <c r="R453" s="17">
        <f t="shared" si="291"/>
        <v>73245.232353144573</v>
      </c>
      <c r="S453" s="17">
        <f t="shared" si="292"/>
        <v>1.5707826740291411</v>
      </c>
      <c r="T453" s="17" t="str">
        <f t="shared" si="283"/>
        <v>1+1.5191603745903i</v>
      </c>
      <c r="U453" s="17">
        <f t="shared" si="293"/>
        <v>1.8187490876218579</v>
      </c>
      <c r="V453" s="17">
        <f t="shared" si="294"/>
        <v>0.9886374782265962</v>
      </c>
      <c r="W453" s="31" t="str">
        <f t="shared" si="284"/>
        <v>1-4.74737617059469i</v>
      </c>
      <c r="X453" s="17">
        <f t="shared" si="295"/>
        <v>4.8515544421484442</v>
      </c>
      <c r="Y453" s="17">
        <f t="shared" si="296"/>
        <v>-1.3631886852729327</v>
      </c>
      <c r="Z453" s="31" t="str">
        <f t="shared" si="285"/>
        <v>-2.14688802787865+41.8787374068949i</v>
      </c>
      <c r="AA453" s="17">
        <f t="shared" si="297"/>
        <v>41.93373075460741</v>
      </c>
      <c r="AB453" s="17">
        <f t="shared" si="298"/>
        <v>1.6220158816243346</v>
      </c>
      <c r="AC453" s="66" t="str">
        <f t="shared" si="299"/>
        <v>-0.000796123192814081+0.000361038408138368i</v>
      </c>
      <c r="AD453" s="64">
        <f t="shared" si="300"/>
        <v>-61.168152046131581</v>
      </c>
      <c r="AE453" s="61">
        <f t="shared" si="301"/>
        <v>155.60591455030502</v>
      </c>
      <c r="AF453" s="31" t="str">
        <f t="shared" si="286"/>
        <v>-1512.12121212121</v>
      </c>
      <c r="AG453" s="31" t="str">
        <f t="shared" si="302"/>
        <v>1406629.9764725i</v>
      </c>
      <c r="AH453" s="31">
        <f t="shared" si="303"/>
        <v>1406629.9764725</v>
      </c>
      <c r="AI453" s="31">
        <f t="shared" si="304"/>
        <v>1.5707963267948966</v>
      </c>
      <c r="AJ453" s="31" t="str">
        <f t="shared" si="287"/>
        <v>-8600.57833999337+1938.71167778282i</v>
      </c>
      <c r="AK453" s="31">
        <f t="shared" si="305"/>
        <v>8816.3796851051393</v>
      </c>
      <c r="AL453" s="31">
        <f t="shared" si="306"/>
        <v>2.9198818811619445</v>
      </c>
      <c r="AM453" s="31" t="str">
        <f t="shared" si="288"/>
        <v>1+9655.10815850722i</v>
      </c>
      <c r="AN453" s="31">
        <f t="shared" si="307"/>
        <v>9655.1082102932796</v>
      </c>
      <c r="AO453" s="31">
        <f t="shared" si="308"/>
        <v>1.5706927546774219</v>
      </c>
      <c r="AP453" s="31" t="str">
        <f t="shared" si="289"/>
        <v>1+371.35031378874i</v>
      </c>
      <c r="AQ453" s="31">
        <f t="shared" si="309"/>
        <v>371.351660223831</v>
      </c>
      <c r="AR453" s="31">
        <f t="shared" si="310"/>
        <v>1.5681034582400921</v>
      </c>
      <c r="AS453" s="58" t="str">
        <f t="shared" si="311"/>
        <v>-0.0949420897345324+0.426744879089344i</v>
      </c>
      <c r="AT453" s="49">
        <f t="shared" si="312"/>
        <v>-7.1868206476960292</v>
      </c>
      <c r="AU453" s="61">
        <f t="shared" si="313"/>
        <v>102.54286728452082</v>
      </c>
      <c r="AV453" s="58" t="str">
        <f t="shared" si="290"/>
        <v>-0.0000784856922157201-0.000374019236600753i</v>
      </c>
      <c r="AW453" s="64">
        <f t="shared" si="314"/>
        <v>-68.354972693827619</v>
      </c>
      <c r="AX453" s="61">
        <f t="shared" si="315"/>
        <v>-101.85121816517415</v>
      </c>
    </row>
    <row r="454" spans="14:50" x14ac:dyDescent="0.25">
      <c r="N454" s="10">
        <v>36</v>
      </c>
      <c r="O454" s="50">
        <f t="shared" si="316"/>
        <v>229086.76527677779</v>
      </c>
      <c r="P454" s="48" t="str">
        <f t="shared" si="281"/>
        <v>304.285714285714</v>
      </c>
      <c r="Q454" s="17" t="str">
        <f t="shared" si="282"/>
        <v>1+74951.332977963i</v>
      </c>
      <c r="R454" s="17">
        <f t="shared" si="291"/>
        <v>74951.332984633991</v>
      </c>
      <c r="S454" s="17">
        <f t="shared" si="292"/>
        <v>1.5707829848040313</v>
      </c>
      <c r="T454" s="17" t="str">
        <f t="shared" si="283"/>
        <v>1+1.55454616546886i</v>
      </c>
      <c r="U454" s="17">
        <f t="shared" si="293"/>
        <v>1.8484084452777032</v>
      </c>
      <c r="V454" s="17">
        <f t="shared" si="294"/>
        <v>0.99916354677407104</v>
      </c>
      <c r="W454" s="31" t="str">
        <f t="shared" si="284"/>
        <v>1-4.85795676709019i</v>
      </c>
      <c r="X454" s="17">
        <f t="shared" si="295"/>
        <v>4.9598128947488904</v>
      </c>
      <c r="Y454" s="17">
        <f t="shared" si="296"/>
        <v>-1.3677842009748293</v>
      </c>
      <c r="Z454" s="31" t="str">
        <f t="shared" si="285"/>
        <v>-2.29519629151132+42.8542185140414i</v>
      </c>
      <c r="AA454" s="17">
        <f t="shared" si="297"/>
        <v>42.915637831282162</v>
      </c>
      <c r="AB454" s="17">
        <f t="shared" si="298"/>
        <v>1.6243034390941806</v>
      </c>
      <c r="AC454" s="66" t="str">
        <f t="shared" si="299"/>
        <v>-0.000791137017359301+0.000355308372571226i</v>
      </c>
      <c r="AD454" s="64">
        <f t="shared" si="300"/>
        <v>-61.237002634328761</v>
      </c>
      <c r="AE454" s="61">
        <f t="shared" si="301"/>
        <v>155.81462500403046</v>
      </c>
      <c r="AF454" s="31" t="str">
        <f t="shared" si="286"/>
        <v>-1512.12121212121</v>
      </c>
      <c r="AG454" s="31" t="str">
        <f t="shared" si="302"/>
        <v>1439394.59765635i</v>
      </c>
      <c r="AH454" s="31">
        <f t="shared" si="303"/>
        <v>1439394.5976563499</v>
      </c>
      <c r="AI454" s="31">
        <f t="shared" si="304"/>
        <v>1.5707963267948966</v>
      </c>
      <c r="AJ454" s="31" t="str">
        <f t="shared" si="287"/>
        <v>-9005.95823810331+1983.87007392802i</v>
      </c>
      <c r="AK454" s="31">
        <f t="shared" si="305"/>
        <v>9221.8774800301944</v>
      </c>
      <c r="AL454" s="31">
        <f t="shared" si="306"/>
        <v>2.9247713095912191</v>
      </c>
      <c r="AM454" s="31" t="str">
        <f t="shared" si="288"/>
        <v>1+9880.00451831316i</v>
      </c>
      <c r="AN454" s="31">
        <f t="shared" si="307"/>
        <v>9880.0045689204253</v>
      </c>
      <c r="AO454" s="31">
        <f t="shared" si="308"/>
        <v>1.5706951122666308</v>
      </c>
      <c r="AP454" s="31" t="str">
        <f t="shared" si="289"/>
        <v>1+380.000173781276i</v>
      </c>
      <c r="AQ454" s="31">
        <f t="shared" si="309"/>
        <v>380.0014895678699</v>
      </c>
      <c r="AR454" s="31">
        <f t="shared" si="310"/>
        <v>1.5681647551257092</v>
      </c>
      <c r="AS454" s="58" t="str">
        <f t="shared" si="311"/>
        <v>-0.0908658383751994+0.417926736520434i</v>
      </c>
      <c r="AT454" s="49">
        <f t="shared" si="312"/>
        <v>-7.3774033230526923</v>
      </c>
      <c r="AU454" s="61">
        <f t="shared" si="313"/>
        <v>102.26637080404682</v>
      </c>
      <c r="AV454" s="58" t="str">
        <f t="shared" si="290"/>
        <v>-0.0000766055402550714-0.000362922704960895i</v>
      </c>
      <c r="AW454" s="64">
        <f t="shared" si="314"/>
        <v>-68.614405957381436</v>
      </c>
      <c r="AX454" s="61">
        <f t="shared" si="315"/>
        <v>-101.91900419192268</v>
      </c>
    </row>
    <row r="455" spans="14:50" x14ac:dyDescent="0.25">
      <c r="N455" s="10">
        <v>37</v>
      </c>
      <c r="O455" s="50">
        <f t="shared" si="316"/>
        <v>234422.88153199267</v>
      </c>
      <c r="P455" s="48" t="str">
        <f t="shared" si="281"/>
        <v>304.285714285714</v>
      </c>
      <c r="Q455" s="17" t="str">
        <f t="shared" si="282"/>
        <v>1+76697.173798451i</v>
      </c>
      <c r="R455" s="17">
        <f t="shared" si="291"/>
        <v>76697.173804970138</v>
      </c>
      <c r="S455" s="17">
        <f t="shared" si="292"/>
        <v>1.5707832885048212</v>
      </c>
      <c r="T455" s="17" t="str">
        <f t="shared" si="283"/>
        <v>1+1.5907561973012i</v>
      </c>
      <c r="U455" s="17">
        <f t="shared" si="293"/>
        <v>1.8789638844991605</v>
      </c>
      <c r="V455" s="17">
        <f t="shared" si="294"/>
        <v>1.0095896110517724</v>
      </c>
      <c r="W455" s="31" t="str">
        <f t="shared" si="284"/>
        <v>1-4.97111311656626i</v>
      </c>
      <c r="X455" s="17">
        <f t="shared" si="295"/>
        <v>5.0706967586020282</v>
      </c>
      <c r="Y455" s="17">
        <f t="shared" si="296"/>
        <v>-1.372283526971205</v>
      </c>
      <c r="Z455" s="31" t="str">
        <f t="shared" si="285"/>
        <v>-2.45049410827296+43.8524214950867i</v>
      </c>
      <c r="AA455" s="17">
        <f t="shared" si="297"/>
        <v>43.920835515247468</v>
      </c>
      <c r="AB455" s="17">
        <f t="shared" si="298"/>
        <v>1.6266187451021086</v>
      </c>
      <c r="AC455" s="66" t="str">
        <f t="shared" si="299"/>
        <v>-0.000786358267553777+0.000349755295292485i</v>
      </c>
      <c r="AD455" s="64">
        <f t="shared" si="300"/>
        <v>-61.30364637692238</v>
      </c>
      <c r="AE455" s="61">
        <f t="shared" si="301"/>
        <v>156.02152743052017</v>
      </c>
      <c r="AF455" s="31" t="str">
        <f t="shared" si="286"/>
        <v>-1512.12121212121</v>
      </c>
      <c r="AG455" s="31" t="str">
        <f t="shared" si="302"/>
        <v>1472922.40490852i</v>
      </c>
      <c r="AH455" s="31">
        <f t="shared" si="303"/>
        <v>1472922.4049085199</v>
      </c>
      <c r="AI455" s="31">
        <f t="shared" si="304"/>
        <v>1.5707963267948966</v>
      </c>
      <c r="AJ455" s="31" t="str">
        <f t="shared" si="287"/>
        <v>-9430.44310222021+2030.08034424605i</v>
      </c>
      <c r="AK455" s="31">
        <f t="shared" si="305"/>
        <v>9646.4751753325381</v>
      </c>
      <c r="AL455" s="31">
        <f t="shared" si="306"/>
        <v>2.9295595664146563</v>
      </c>
      <c r="AM455" s="31" t="str">
        <f t="shared" si="288"/>
        <v>1+10110.1393872921i</v>
      </c>
      <c r="AN455" s="31">
        <f t="shared" si="307"/>
        <v>10110.1394367474</v>
      </c>
      <c r="AO455" s="31">
        <f t="shared" si="308"/>
        <v>1.5706974161905585</v>
      </c>
      <c r="AP455" s="31" t="str">
        <f t="shared" si="289"/>
        <v>1+388.851514895849i</v>
      </c>
      <c r="AQ455" s="31">
        <f t="shared" si="309"/>
        <v>388.85280073158356</v>
      </c>
      <c r="AR455" s="31">
        <f t="shared" si="310"/>
        <v>1.5682246567429714</v>
      </c>
      <c r="AS455" s="58" t="str">
        <f t="shared" si="311"/>
        <v>-0.0869564917581082+0.40925308707527i</v>
      </c>
      <c r="AT455" s="49">
        <f t="shared" si="312"/>
        <v>-7.5683907393332923</v>
      </c>
      <c r="AU455" s="61">
        <f t="shared" si="313"/>
        <v>101.99558801181161</v>
      </c>
      <c r="AV455" s="58" t="str">
        <f t="shared" si="290"/>
        <v>-0.0000747594781079119-0.000352233041996i</v>
      </c>
      <c r="AW455" s="64">
        <f t="shared" si="314"/>
        <v>-68.872037116255683</v>
      </c>
      <c r="AX455" s="61">
        <f t="shared" si="315"/>
        <v>-101.98288455766826</v>
      </c>
    </row>
    <row r="456" spans="14:50" x14ac:dyDescent="0.25">
      <c r="N456" s="10">
        <v>38</v>
      </c>
      <c r="O456" s="50">
        <f t="shared" si="316"/>
        <v>239883.29190194907</v>
      </c>
      <c r="P456" s="48" t="str">
        <f t="shared" si="281"/>
        <v>304.285714285714</v>
      </c>
      <c r="Q456" s="17" t="str">
        <f t="shared" si="282"/>
        <v>1+78483.6804756937i</v>
      </c>
      <c r="R456" s="17">
        <f t="shared" si="291"/>
        <v>78483.680482064447</v>
      </c>
      <c r="S456" s="17">
        <f t="shared" si="292"/>
        <v>1.5707835852925374</v>
      </c>
      <c r="T456" s="17" t="str">
        <f t="shared" si="283"/>
        <v>1+1.6278096691255i</v>
      </c>
      <c r="U456" s="17">
        <f t="shared" si="293"/>
        <v>1.9104356358952452</v>
      </c>
      <c r="V456" s="17">
        <f t="shared" si="294"/>
        <v>1.0199121320771427</v>
      </c>
      <c r="W456" s="31" t="str">
        <f t="shared" si="284"/>
        <v>1-5.08690521601718i</v>
      </c>
      <c r="X456" s="17">
        <f t="shared" si="295"/>
        <v>5.1842651047899544</v>
      </c>
      <c r="Y456" s="17">
        <f t="shared" si="296"/>
        <v>-1.3766883198469677</v>
      </c>
      <c r="Z456" s="31" t="str">
        <f t="shared" si="285"/>
        <v>-2.61311088565403+44.873875610464i</v>
      </c>
      <c r="AA456" s="17">
        <f t="shared" si="297"/>
        <v>44.949895003260231</v>
      </c>
      <c r="AB456" s="17">
        <f t="shared" si="298"/>
        <v>1.6289629806424295</v>
      </c>
      <c r="AC456" s="66" t="str">
        <f t="shared" si="299"/>
        <v>-0.000781776852857012+0.000344376812789771i</v>
      </c>
      <c r="AD456" s="64">
        <f t="shared" si="300"/>
        <v>-61.368137339733657</v>
      </c>
      <c r="AE456" s="61">
        <f t="shared" si="301"/>
        <v>156.22625647046976</v>
      </c>
      <c r="AF456" s="31" t="str">
        <f t="shared" si="286"/>
        <v>-1512.12121212121</v>
      </c>
      <c r="AG456" s="31" t="str">
        <f t="shared" si="302"/>
        <v>1507231.1751162i</v>
      </c>
      <c r="AH456" s="31">
        <f t="shared" si="303"/>
        <v>1507231.1751162</v>
      </c>
      <c r="AI456" s="31">
        <f t="shared" si="304"/>
        <v>1.5707963267948966</v>
      </c>
      <c r="AJ456" s="31" t="str">
        <f t="shared" si="287"/>
        <v>-9874.93332165246+2077.36699003388i</v>
      </c>
      <c r="AK456" s="31">
        <f t="shared" si="305"/>
        <v>10091.07336800028</v>
      </c>
      <c r="AL456" s="31">
        <f t="shared" si="306"/>
        <v>2.9342483180825929</v>
      </c>
      <c r="AM456" s="31" t="str">
        <f t="shared" si="288"/>
        <v>1+10345.6347859976i</v>
      </c>
      <c r="AN456" s="31">
        <f t="shared" si="307"/>
        <v>10345.634834327162</v>
      </c>
      <c r="AO456" s="31">
        <f t="shared" si="308"/>
        <v>1.5706996676707761</v>
      </c>
      <c r="AP456" s="31" t="str">
        <f t="shared" si="289"/>
        <v>1+397.909030230677i</v>
      </c>
      <c r="AQ456" s="31">
        <f t="shared" si="309"/>
        <v>397.91028679731039</v>
      </c>
      <c r="AR456" s="31">
        <f t="shared" si="310"/>
        <v>1.5682831948507887</v>
      </c>
      <c r="AS456" s="58" t="str">
        <f t="shared" si="311"/>
        <v>-0.0832079003779674+0.400724028089786i</v>
      </c>
      <c r="AT456" s="49">
        <f t="shared" si="312"/>
        <v>-7.7597662889996899</v>
      </c>
      <c r="AU456" s="61">
        <f t="shared" si="313"/>
        <v>101.73042531688664</v>
      </c>
      <c r="AV456" s="58" t="str">
        <f t="shared" si="290"/>
        <v>-0.0000729500531115121-0.000341931641075311i</v>
      </c>
      <c r="AW456" s="64">
        <f t="shared" si="314"/>
        <v>-69.12790362873335</v>
      </c>
      <c r="AX456" s="61">
        <f t="shared" si="315"/>
        <v>-102.04331821264358</v>
      </c>
    </row>
    <row r="457" spans="14:50" x14ac:dyDescent="0.25">
      <c r="N457" s="10">
        <v>39</v>
      </c>
      <c r="O457" s="50">
        <f t="shared" si="316"/>
        <v>245470.89156850305</v>
      </c>
      <c r="P457" s="48" t="str">
        <f t="shared" si="281"/>
        <v>304.285714285714</v>
      </c>
      <c r="Q457" s="17" t="str">
        <f t="shared" si="282"/>
        <v>1+80311.8002391791i</v>
      </c>
      <c r="R457" s="17">
        <f t="shared" si="291"/>
        <v>80311.800245404826</v>
      </c>
      <c r="S457" s="17">
        <f t="shared" si="292"/>
        <v>1.5707838753245402</v>
      </c>
      <c r="T457" s="17" t="str">
        <f t="shared" si="283"/>
        <v>1+1.66572622718297i</v>
      </c>
      <c r="U457" s="17">
        <f t="shared" si="293"/>
        <v>1.9428442716608072</v>
      </c>
      <c r="V457" s="17">
        <f t="shared" si="294"/>
        <v>1.0301277833381663</v>
      </c>
      <c r="W457" s="31" t="str">
        <f t="shared" si="284"/>
        <v>1-5.20539445994678i</v>
      </c>
      <c r="X457" s="17">
        <f t="shared" si="295"/>
        <v>5.3005784102911484</v>
      </c>
      <c r="Y457" s="17">
        <f t="shared" si="296"/>
        <v>-1.3810002310538105</v>
      </c>
      <c r="Z457" s="31" t="str">
        <f t="shared" si="285"/>
        <v>-2.78339155564179+45.919122448666i</v>
      </c>
      <c r="AA457" s="17">
        <f t="shared" si="297"/>
        <v>46.003402863349137</v>
      </c>
      <c r="AB457" s="17">
        <f t="shared" si="298"/>
        <v>1.6313373389225982</v>
      </c>
      <c r="AC457" s="66" t="str">
        <f t="shared" si="299"/>
        <v>-0.000777383099954897+0.000339170602675836i</v>
      </c>
      <c r="AD457" s="64">
        <f t="shared" si="300"/>
        <v>-61.430530012942739</v>
      </c>
      <c r="AE457" s="61">
        <f t="shared" si="301"/>
        <v>156.42845853280136</v>
      </c>
      <c r="AF457" s="31" t="str">
        <f t="shared" si="286"/>
        <v>-1512.12121212121</v>
      </c>
      <c r="AG457" s="31" t="str">
        <f t="shared" si="302"/>
        <v>1542339.09924349i</v>
      </c>
      <c r="AH457" s="31">
        <f t="shared" si="303"/>
        <v>1542339.09924349</v>
      </c>
      <c r="AI457" s="31">
        <f t="shared" si="304"/>
        <v>1.5707963267948966</v>
      </c>
      <c r="AJ457" s="31" t="str">
        <f t="shared" si="287"/>
        <v>-10340.3717197494+2125.75508329703i</v>
      </c>
      <c r="AK457" s="31">
        <f t="shared" si="305"/>
        <v>10556.615081395945</v>
      </c>
      <c r="AL457" s="31">
        <f t="shared" si="306"/>
        <v>2.9388392315331813</v>
      </c>
      <c r="AM457" s="31" t="str">
        <f t="shared" si="288"/>
        <v>1+10586.6155772073i</v>
      </c>
      <c r="AN457" s="31">
        <f t="shared" si="307"/>
        <v>10586.615624436747</v>
      </c>
      <c r="AO457" s="31">
        <f t="shared" si="308"/>
        <v>1.5707018679010478</v>
      </c>
      <c r="AP457" s="31" t="str">
        <f t="shared" si="289"/>
        <v>1+407.177522200281i</v>
      </c>
      <c r="AQ457" s="31">
        <f t="shared" si="309"/>
        <v>407.17875016405304</v>
      </c>
      <c r="AR457" s="31">
        <f t="shared" si="310"/>
        <v>1.568340400485235</v>
      </c>
      <c r="AS457" s="58" t="str">
        <f t="shared" si="311"/>
        <v>-0.0796140831288289+0.39233946574201i</v>
      </c>
      <c r="AT457" s="49">
        <f t="shared" si="312"/>
        <v>-7.9515139793922653</v>
      </c>
      <c r="AU457" s="61">
        <f t="shared" si="313"/>
        <v>101.47078905738481</v>
      </c>
      <c r="AV457" s="58" t="str">
        <f t="shared" si="290"/>
        <v>-0.0000711793703064772-0.000332000826669461i</v>
      </c>
      <c r="AW457" s="64">
        <f t="shared" si="314"/>
        <v>-69.382043992334999</v>
      </c>
      <c r="AX457" s="61">
        <f t="shared" si="315"/>
        <v>-102.10075240981384</v>
      </c>
    </row>
    <row r="458" spans="14:50" x14ac:dyDescent="0.25">
      <c r="N458" s="10">
        <v>40</v>
      </c>
      <c r="O458" s="50">
        <f t="shared" si="316"/>
        <v>251188.64315095844</v>
      </c>
      <c r="P458" s="48" t="str">
        <f t="shared" si="281"/>
        <v>304.285714285714</v>
      </c>
      <c r="Q458" s="17" t="str">
        <f t="shared" si="282"/>
        <v>1+82182.502382204i</v>
      </c>
      <c r="R458" s="17">
        <f t="shared" si="291"/>
        <v>82182.502388288005</v>
      </c>
      <c r="S458" s="17">
        <f t="shared" si="292"/>
        <v>1.5707841587546088</v>
      </c>
      <c r="T458" s="17" t="str">
        <f t="shared" si="283"/>
        <v>1+1.7045259753346i</v>
      </c>
      <c r="U458" s="17">
        <f t="shared" si="293"/>
        <v>1.9762107176590176</v>
      </c>
      <c r="V458" s="17">
        <f t="shared" si="294"/>
        <v>1.040233452055777</v>
      </c>
      <c r="W458" s="31" t="str">
        <f t="shared" si="284"/>
        <v>1-5.32664367292063i</v>
      </c>
      <c r="X458" s="17">
        <f t="shared" si="295"/>
        <v>5.419698591090226</v>
      </c>
      <c r="Y458" s="17">
        <f t="shared" si="296"/>
        <v>-1.385220905158971</v>
      </c>
      <c r="Z458" s="31" t="str">
        <f t="shared" si="285"/>
        <v>-2.96169730636725+46.988716213402i</v>
      </c>
      <c r="AA458" s="17">
        <f t="shared" si="297"/>
        <v>47.08196153855711</v>
      </c>
      <c r="AB458" s="17">
        <f t="shared" si="298"/>
        <v>1.6337430257662415</v>
      </c>
      <c r="AC458" s="66" t="str">
        <f t="shared" si="299"/>
        <v>-0.000773167732614024+0.000334134384997162i</v>
      </c>
      <c r="AD458" s="64">
        <f t="shared" si="300"/>
        <v>-61.490879219945363</v>
      </c>
      <c r="AE458" s="61">
        <f t="shared" si="301"/>
        <v>156.62779194423445</v>
      </c>
      <c r="AF458" s="31" t="str">
        <f t="shared" si="286"/>
        <v>-1512.12121212121</v>
      </c>
      <c r="AG458" s="31" t="str">
        <f t="shared" si="302"/>
        <v>1578264.79197648i</v>
      </c>
      <c r="AH458" s="31">
        <f t="shared" si="303"/>
        <v>1578264.79197648</v>
      </c>
      <c r="AI458" s="31">
        <f t="shared" si="304"/>
        <v>1.5707963267948966</v>
      </c>
      <c r="AJ458" s="31" t="str">
        <f t="shared" si="287"/>
        <v>-10827.7455537558+2175.27028004305i</v>
      </c>
      <c r="AK458" s="31">
        <f t="shared" si="305"/>
        <v>11044.087765321185</v>
      </c>
      <c r="AL458" s="31">
        <f t="shared" si="306"/>
        <v>2.9433339720281988</v>
      </c>
      <c r="AM458" s="31" t="str">
        <f t="shared" si="288"/>
        <v>1+10833.2095321265i</v>
      </c>
      <c r="AN458" s="31">
        <f t="shared" si="307"/>
        <v>10833.209578280874</v>
      </c>
      <c r="AO458" s="31">
        <f t="shared" si="308"/>
        <v>1.5707040180479648</v>
      </c>
      <c r="AP458" s="31" t="str">
        <f t="shared" si="289"/>
        <v>1+416.661905081791i</v>
      </c>
      <c r="AQ458" s="31">
        <f t="shared" si="309"/>
        <v>416.66310509377644</v>
      </c>
      <c r="AR458" s="31">
        <f t="shared" si="310"/>
        <v>1.5683963039759963</v>
      </c>
      <c r="AS458" s="58" t="str">
        <f t="shared" si="311"/>
        <v>-0.0761692278831668+0.384099128375182i</v>
      </c>
      <c r="AT458" s="49">
        <f t="shared" si="312"/>
        <v>-8.1436184156263742</v>
      </c>
      <c r="AU458" s="61">
        <f t="shared" si="313"/>
        <v>101.21658562543807</v>
      </c>
      <c r="AV458" s="58" t="str">
        <f t="shared" si="290"/>
        <v>-0.0000694491368201985-0.000322423810299313i</v>
      </c>
      <c r="AW458" s="64">
        <f t="shared" si="314"/>
        <v>-69.634497635571734</v>
      </c>
      <c r="AX458" s="61">
        <f t="shared" si="315"/>
        <v>-102.15562243032748</v>
      </c>
    </row>
    <row r="459" spans="14:50" x14ac:dyDescent="0.25">
      <c r="N459" s="10">
        <v>41</v>
      </c>
      <c r="O459" s="50">
        <f t="shared" si="316"/>
        <v>257039.57827688678</v>
      </c>
      <c r="P459" s="48" t="str">
        <f t="shared" si="281"/>
        <v>304.285714285714</v>
      </c>
      <c r="Q459" s="17" t="str">
        <f t="shared" si="282"/>
        <v>1+84096.7787758056i</v>
      </c>
      <c r="R459" s="17">
        <f t="shared" si="291"/>
        <v>84096.778781751113</v>
      </c>
      <c r="S459" s="17">
        <f t="shared" si="292"/>
        <v>1.5707844357330212</v>
      </c>
      <c r="T459" s="17" t="str">
        <f t="shared" si="283"/>
        <v>1+1.74422948572041i</v>
      </c>
      <c r="U459" s="17">
        <f t="shared" si="293"/>
        <v>2.0105562660260183</v>
      </c>
      <c r="V459" s="17">
        <f t="shared" si="294"/>
        <v>1.0502262395691691</v>
      </c>
      <c r="W459" s="31" t="str">
        <f t="shared" si="284"/>
        <v>1-5.45071714287628i</v>
      </c>
      <c r="X459" s="17">
        <f t="shared" si="295"/>
        <v>5.5416890359930289</v>
      </c>
      <c r="Y459" s="17">
        <f t="shared" si="296"/>
        <v>-1.3893519782280379</v>
      </c>
      <c r="Z459" s="31" t="str">
        <f t="shared" si="285"/>
        <v>-3.14840634823348+48.0832240174432i</v>
      </c>
      <c r="AA459" s="17">
        <f t="shared" si="297"/>
        <v>48.186189872672273</v>
      </c>
      <c r="AB459" s="17">
        <f t="shared" si="298"/>
        <v>1.6361812600077943</v>
      </c>
      <c r="AC459" s="66" t="str">
        <f t="shared" si="299"/>
        <v>-0.000769121852369399+0.000329265923336255i</v>
      </c>
      <c r="AD459" s="64">
        <f t="shared" si="300"/>
        <v>-61.549240028125034</v>
      </c>
      <c r="AE459" s="61">
        <f t="shared" si="301"/>
        <v>156.82392704140582</v>
      </c>
      <c r="AF459" s="31" t="str">
        <f t="shared" si="286"/>
        <v>-1512.12121212121</v>
      </c>
      <c r="AG459" s="31" t="str">
        <f t="shared" si="302"/>
        <v>1615027.30159297i</v>
      </c>
      <c r="AH459" s="31">
        <f t="shared" si="303"/>
        <v>1615027.30159297</v>
      </c>
      <c r="AI459" s="31">
        <f t="shared" si="304"/>
        <v>1.5707963267948966</v>
      </c>
      <c r="AJ459" s="31" t="str">
        <f t="shared" si="287"/>
        <v>-11338.088608917+2225.93883388464i</v>
      </c>
      <c r="AK459" s="31">
        <f t="shared" si="305"/>
        <v>11554.525390332965</v>
      </c>
      <c r="AL459" s="31">
        <f t="shared" si="306"/>
        <v>2.947734201141377</v>
      </c>
      <c r="AM459" s="31" t="str">
        <f t="shared" si="288"/>
        <v>1+11085.5473981341i</v>
      </c>
      <c r="AN459" s="31">
        <f t="shared" si="307"/>
        <v>11085.547443237872</v>
      </c>
      <c r="AO459" s="31">
        <f t="shared" si="308"/>
        <v>1.5707061192515637</v>
      </c>
      <c r="AP459" s="31" t="str">
        <f t="shared" si="289"/>
        <v>1+426.367207620544i</v>
      </c>
      <c r="AQ459" s="31">
        <f t="shared" si="309"/>
        <v>426.36838031699779</v>
      </c>
      <c r="AR459" s="31">
        <f t="shared" si="310"/>
        <v>1.5684509349624451</v>
      </c>
      <c r="AS459" s="58" t="str">
        <f t="shared" si="311"/>
        <v>-0.0728676914878353+0.376002579260307i</v>
      </c>
      <c r="AT459" s="49">
        <f t="shared" si="312"/>
        <v>-8.3360647834595145</v>
      </c>
      <c r="AU459" s="61">
        <f t="shared" si="313"/>
        <v>100.96772158341463</v>
      </c>
      <c r="AV459" s="58" t="str">
        <f t="shared" si="290"/>
        <v>-0.0000677607025819526-0.000313184647975483i</v>
      </c>
      <c r="AW459" s="64">
        <f t="shared" si="314"/>
        <v>-69.885304811584547</v>
      </c>
      <c r="AX459" s="61">
        <f t="shared" si="315"/>
        <v>-102.20835137517952</v>
      </c>
    </row>
    <row r="460" spans="14:50" x14ac:dyDescent="0.25">
      <c r="N460" s="10">
        <v>42</v>
      </c>
      <c r="O460" s="50">
        <f t="shared" si="316"/>
        <v>263026.79918953858</v>
      </c>
      <c r="P460" s="48" t="str">
        <f t="shared" si="281"/>
        <v>304.285714285714</v>
      </c>
      <c r="Q460" s="17" t="str">
        <f t="shared" si="282"/>
        <v>1+86055.6443946666i</v>
      </c>
      <c r="R460" s="17">
        <f t="shared" si="291"/>
        <v>86055.644400476784</v>
      </c>
      <c r="S460" s="17">
        <f t="shared" si="292"/>
        <v>1.5707847064066351</v>
      </c>
      <c r="T460" s="17" t="str">
        <f t="shared" si="283"/>
        <v>1+1.78485780966715i</v>
      </c>
      <c r="U460" s="17">
        <f t="shared" si="293"/>
        <v>2.0459025882797586</v>
      </c>
      <c r="V460" s="17">
        <f t="shared" si="294"/>
        <v>1.0601034608849926</v>
      </c>
      <c r="W460" s="31" t="str">
        <f t="shared" si="284"/>
        <v>1-5.57768065520986i</v>
      </c>
      <c r="X460" s="17">
        <f t="shared" si="295"/>
        <v>5.6666146411682421</v>
      </c>
      <c r="Y460" s="17">
        <f t="shared" si="296"/>
        <v>-1.3933950763354148</v>
      </c>
      <c r="Z460" s="31" t="str">
        <f t="shared" si="285"/>
        <v>-3.34391471615085+49.2032261833152i</v>
      </c>
      <c r="AA460" s="17">
        <f t="shared" si="297"/>
        <v>49.316723659174329</v>
      </c>
      <c r="AB460" s="17">
        <f t="shared" si="298"/>
        <v>1.6386532738779007</v>
      </c>
      <c r="AC460" s="66" t="str">
        <f t="shared" si="299"/>
        <v>-0.000765236920007661+0.000324563025719469i</v>
      </c>
      <c r="AD460" s="64">
        <f t="shared" si="300"/>
        <v>-61.605667662048361</v>
      </c>
      <c r="AE460" s="61">
        <f t="shared" si="301"/>
        <v>157.01654620829851</v>
      </c>
      <c r="AF460" s="31" t="str">
        <f t="shared" si="286"/>
        <v>-1512.12121212121</v>
      </c>
      <c r="AG460" s="31" t="str">
        <f t="shared" si="302"/>
        <v>1652646.12006218i</v>
      </c>
      <c r="AH460" s="31">
        <f t="shared" si="303"/>
        <v>1652646.1200621801</v>
      </c>
      <c r="AI460" s="31">
        <f t="shared" si="304"/>
        <v>1.5707963267948966</v>
      </c>
      <c r="AJ460" s="31" t="str">
        <f t="shared" si="287"/>
        <v>-11872.4833912757+2277.78760995975i</v>
      </c>
      <c r="AK460" s="31">
        <f t="shared" si="305"/>
        <v>12089.010640751521</v>
      </c>
      <c r="AL460" s="31">
        <f t="shared" si="306"/>
        <v>2.9520415748926707</v>
      </c>
      <c r="AM460" s="31" t="str">
        <f t="shared" si="288"/>
        <v>1+11343.7629681068i</v>
      </c>
      <c r="AN460" s="31">
        <f t="shared" si="307"/>
        <v>11343.763012183883</v>
      </c>
      <c r="AO460" s="31">
        <f t="shared" si="308"/>
        <v>1.5707081726259298</v>
      </c>
      <c r="AP460" s="31" t="str">
        <f t="shared" si="289"/>
        <v>1+436.298575696415i</v>
      </c>
      <c r="AQ460" s="31">
        <f t="shared" si="309"/>
        <v>436.29972169910945</v>
      </c>
      <c r="AR460" s="31">
        <f t="shared" si="310"/>
        <v>1.5685043224093482</v>
      </c>
      <c r="AS460" s="58" t="str">
        <f t="shared" si="311"/>
        <v>-0.0697039992340528+0.368049228798203i</v>
      </c>
      <c r="AT460" s="49">
        <f t="shared" si="312"/>
        <v>-8.5288388321862971</v>
      </c>
      <c r="AU460" s="61">
        <f t="shared" si="313"/>
        <v>100.72410377175153</v>
      </c>
      <c r="AV460" s="58" t="str">
        <f t="shared" si="290"/>
        <v>-0.000066115097626379-0.000304268199152884i</v>
      </c>
      <c r="AW460" s="64">
        <f t="shared" si="314"/>
        <v>-70.134506494234643</v>
      </c>
      <c r="AX460" s="61">
        <f t="shared" si="315"/>
        <v>-102.25935001994993</v>
      </c>
    </row>
    <row r="461" spans="14:50" x14ac:dyDescent="0.25">
      <c r="N461" s="10">
        <v>43</v>
      </c>
      <c r="O461" s="50">
        <f t="shared" si="316"/>
        <v>269153.48039269145</v>
      </c>
      <c r="P461" s="48" t="str">
        <f t="shared" si="281"/>
        <v>304.285714285714</v>
      </c>
      <c r="Q461" s="17" t="str">
        <f t="shared" si="282"/>
        <v>1+88060.137855267i</v>
      </c>
      <c r="R461" s="17">
        <f t="shared" si="291"/>
        <v>88060.137860944946</v>
      </c>
      <c r="S461" s="17">
        <f t="shared" si="292"/>
        <v>1.5707849709189656</v>
      </c>
      <c r="T461" s="17" t="str">
        <f t="shared" si="283"/>
        <v>1+1.82643248884998i</v>
      </c>
      <c r="U461" s="17">
        <f t="shared" si="293"/>
        <v>2.0822717489143274</v>
      </c>
      <c r="V461" s="17">
        <f t="shared" si="294"/>
        <v>1.069862643435485</v>
      </c>
      <c r="W461" s="31" t="str">
        <f t="shared" si="284"/>
        <v>1-5.70760152765619i</v>
      </c>
      <c r="X461" s="17">
        <f t="shared" si="295"/>
        <v>5.7945418454355195</v>
      </c>
      <c r="Y461" s="17">
        <f t="shared" si="296"/>
        <v>-1.397351814196103</v>
      </c>
      <c r="Z461" s="31" t="str">
        <f t="shared" si="285"/>
        <v>-3.54863710957998+50.3493165509914i</v>
      </c>
      <c r="AA461" s="17">
        <f t="shared" si="297"/>
        <v>50.474216214691481</v>
      </c>
      <c r="AB461" s="17">
        <f t="shared" si="298"/>
        <v>1.6411603133786572</v>
      </c>
      <c r="AC461" s="66" t="str">
        <f t="shared" si="299"/>
        <v>-0.000761504737809393+0.000320023545341138i</v>
      </c>
      <c r="AD461" s="64">
        <f t="shared" si="300"/>
        <v>-61.660217419546854</v>
      </c>
      <c r="AE461" s="61">
        <f t="shared" si="301"/>
        <v>157.2053438619763</v>
      </c>
      <c r="AF461" s="31" t="str">
        <f t="shared" si="286"/>
        <v>-1512.12121212121</v>
      </c>
      <c r="AG461" s="31" t="str">
        <f t="shared" si="302"/>
        <v>1691141.19337961i</v>
      </c>
      <c r="AH461" s="31">
        <f t="shared" si="303"/>
        <v>1691141.1933796101</v>
      </c>
      <c r="AI461" s="31">
        <f t="shared" si="304"/>
        <v>1.5707963267948966</v>
      </c>
      <c r="AJ461" s="31" t="str">
        <f t="shared" si="287"/>
        <v>-12432.063423813+2330.84409917573i</v>
      </c>
      <c r="AK461" s="31">
        <f t="shared" si="305"/>
        <v>12648.677211011882</v>
      </c>
      <c r="AL461" s="31">
        <f t="shared" si="306"/>
        <v>2.9562577420219855</v>
      </c>
      <c r="AM461" s="31" t="str">
        <f t="shared" si="288"/>
        <v>1+11607.9931513576i</v>
      </c>
      <c r="AN461" s="31">
        <f t="shared" si="307"/>
        <v>11607.993194431367</v>
      </c>
      <c r="AO461" s="31">
        <f t="shared" si="308"/>
        <v>1.5707101792597897</v>
      </c>
      <c r="AP461" s="31" t="str">
        <f t="shared" si="289"/>
        <v>1+446.461275052217i</v>
      </c>
      <c r="AQ461" s="31">
        <f t="shared" si="309"/>
        <v>446.46239496877155</v>
      </c>
      <c r="AR461" s="31">
        <f t="shared" si="310"/>
        <v>1.5685564946222188</v>
      </c>
      <c r="AS461" s="58" t="str">
        <f t="shared" si="311"/>
        <v>-0.0666728438552075+0.360238346164316i</v>
      </c>
      <c r="AT461" s="49">
        <f t="shared" si="312"/>
        <v>-8.7219268576110576</v>
      </c>
      <c r="AU461" s="61">
        <f t="shared" si="313"/>
        <v>100.48563940877658</v>
      </c>
      <c r="AV461" s="58" t="str">
        <f t="shared" si="290"/>
        <v>-0.0000645130662283662-0.000295660087213266i</v>
      </c>
      <c r="AW461" s="64">
        <f t="shared" si="314"/>
        <v>-70.38214427715792</v>
      </c>
      <c r="AX461" s="61">
        <f t="shared" si="315"/>
        <v>-102.30901672924713</v>
      </c>
    </row>
    <row r="462" spans="14:50" x14ac:dyDescent="0.25">
      <c r="N462" s="10">
        <v>44</v>
      </c>
      <c r="O462" s="50">
        <f t="shared" si="316"/>
        <v>275422.87033381703</v>
      </c>
      <c r="P462" s="48" t="str">
        <f t="shared" si="281"/>
        <v>304.285714285714</v>
      </c>
      <c r="Q462" s="17" t="str">
        <f t="shared" si="282"/>
        <v>1+90111.3219665721i</v>
      </c>
      <c r="R462" s="17">
        <f t="shared" si="291"/>
        <v>90111.321972120801</v>
      </c>
      <c r="S462" s="17">
        <f t="shared" si="292"/>
        <v>1.5707852294102602</v>
      </c>
      <c r="T462" s="17" t="str">
        <f t="shared" si="283"/>
        <v>1+1.86897556671408i</v>
      </c>
      <c r="U462" s="17">
        <f t="shared" si="293"/>
        <v>2.1196862194613182</v>
      </c>
      <c r="V462" s="17">
        <f t="shared" si="294"/>
        <v>1.0795015250941542</v>
      </c>
      <c r="W462" s="31" t="str">
        <f t="shared" si="284"/>
        <v>1-5.84054864598152i</v>
      </c>
      <c r="X462" s="17">
        <f t="shared" si="295"/>
        <v>5.9255386663219545</v>
      </c>
      <c r="Y462" s="17">
        <f t="shared" si="296"/>
        <v>-1.4012237939126446</v>
      </c>
      <c r="Z462" s="31" t="str">
        <f t="shared" si="285"/>
        <v>-3.76300777216495+51.522102792755i</v>
      </c>
      <c r="AA462" s="17">
        <f t="shared" si="297"/>
        <v>51.659338978354981</v>
      </c>
      <c r="AB462" s="17">
        <f t="shared" si="298"/>
        <v>1.6437036386477148</v>
      </c>
      <c r="AC462" s="66" t="str">
        <f t="shared" si="299"/>
        <v>-0.000757917432515734+0.000315645381113729i</v>
      </c>
      <c r="AD462" s="64">
        <f t="shared" si="300"/>
        <v>-61.712944591100978</v>
      </c>
      <c r="AE462" s="61">
        <f t="shared" si="301"/>
        <v>157.39002638981981</v>
      </c>
      <c r="AF462" s="31" t="str">
        <f t="shared" si="286"/>
        <v>-1512.12121212121</v>
      </c>
      <c r="AG462" s="31" t="str">
        <f t="shared" si="302"/>
        <v>1730532.93214267i</v>
      </c>
      <c r="AH462" s="31">
        <f t="shared" si="303"/>
        <v>1730532.93214267</v>
      </c>
      <c r="AI462" s="31">
        <f t="shared" si="304"/>
        <v>1.5707963267948966</v>
      </c>
      <c r="AJ462" s="31" t="str">
        <f t="shared" si="287"/>
        <v>-13018.0156508022+2385.13643278548i</v>
      </c>
      <c r="AK462" s="31">
        <f t="shared" si="305"/>
        <v>13234.712210227002</v>
      </c>
      <c r="AL462" s="31">
        <f t="shared" si="306"/>
        <v>2.9603843423958165</v>
      </c>
      <c r="AM462" s="31" t="str">
        <f t="shared" si="288"/>
        <v>1+11878.3780462273i</v>
      </c>
      <c r="AN462" s="31">
        <f t="shared" si="307"/>
        <v>11878.378088320591</v>
      </c>
      <c r="AO462" s="31">
        <f t="shared" si="308"/>
        <v>1.5707121402170874</v>
      </c>
      <c r="AP462" s="31" t="str">
        <f t="shared" si="289"/>
        <v>1+456.860694085665i</v>
      </c>
      <c r="AQ462" s="31">
        <f t="shared" si="309"/>
        <v>456.86178850986818</v>
      </c>
      <c r="AR462" s="31">
        <f t="shared" si="310"/>
        <v>1.5686074792623179</v>
      </c>
      <c r="AS462" s="58" t="str">
        <f t="shared" si="311"/>
        <v>-0.0637690841029644+0.352569070402249i</v>
      </c>
      <c r="AT462" s="49">
        <f t="shared" si="312"/>
        <v>-8.9153156851435167</v>
      </c>
      <c r="AU462" s="61">
        <f t="shared" si="313"/>
        <v>100.25223618289357</v>
      </c>
      <c r="AV462" s="58" t="str">
        <f t="shared" si="290"/>
        <v>-0.0000629550980988323-0.000287346661478685i</v>
      </c>
      <c r="AW462" s="64">
        <f t="shared" si="314"/>
        <v>-70.628260276244504</v>
      </c>
      <c r="AX462" s="61">
        <f t="shared" si="315"/>
        <v>-102.35773742728661</v>
      </c>
    </row>
    <row r="463" spans="14:50" x14ac:dyDescent="0.25">
      <c r="N463" s="10">
        <v>45</v>
      </c>
      <c r="O463" s="50">
        <f t="shared" si="316"/>
        <v>281838.29312644573</v>
      </c>
      <c r="P463" s="48" t="str">
        <f t="shared" si="281"/>
        <v>304.285714285714</v>
      </c>
      <c r="Q463" s="17" t="str">
        <f t="shared" si="282"/>
        <v>1+92210.284293548i</v>
      </c>
      <c r="R463" s="17">
        <f t="shared" si="291"/>
        <v>92210.284298970379</v>
      </c>
      <c r="S463" s="17">
        <f t="shared" si="292"/>
        <v>1.5707854820175746</v>
      </c>
      <c r="T463" s="17" t="str">
        <f t="shared" si="283"/>
        <v>1+1.91250960016247i</v>
      </c>
      <c r="U463" s="17">
        <f t="shared" si="293"/>
        <v>2.1581688930001772</v>
      </c>
      <c r="V463" s="17">
        <f t="shared" si="294"/>
        <v>1.0890180515003942</v>
      </c>
      <c r="W463" s="31" t="str">
        <f t="shared" si="284"/>
        <v>1-5.97659250050773i</v>
      </c>
      <c r="X463" s="17">
        <f t="shared" si="295"/>
        <v>6.059674736908347</v>
      </c>
      <c r="Y463" s="17">
        <f t="shared" si="296"/>
        <v>-1.4050126038311925</v>
      </c>
      <c r="Z463" s="31" t="str">
        <f t="shared" si="285"/>
        <v>-3.98748141282223+52.7222067353949i</v>
      </c>
      <c r="AA463" s="17">
        <f t="shared" si="297"/>
        <v>52.87278213851927</v>
      </c>
      <c r="AB463" s="17">
        <f t="shared" si="298"/>
        <v>1.6462845243101731</v>
      </c>
      <c r="AC463" s="66" t="str">
        <f t="shared" si="299"/>
        <v>-0.000754467438986136+0.000311426478052783i</v>
      </c>
      <c r="AD463" s="64">
        <f t="shared" si="300"/>
        <v>-61.763904382892065</v>
      </c>
      <c r="AE463" s="61">
        <f t="shared" si="301"/>
        <v>157.5703120416145</v>
      </c>
      <c r="AF463" s="31" t="str">
        <f t="shared" si="286"/>
        <v>-1512.12121212121</v>
      </c>
      <c r="AG463" s="31" t="str">
        <f t="shared" si="302"/>
        <v>1770842.22237266i</v>
      </c>
      <c r="AH463" s="31">
        <f t="shared" si="303"/>
        <v>1770842.2223726599</v>
      </c>
      <c r="AI463" s="31">
        <f t="shared" si="304"/>
        <v>1.5707963267948966</v>
      </c>
      <c r="AJ463" s="31" t="str">
        <f t="shared" si="287"/>
        <v>-13631.5829554764+2440.6933973029i</v>
      </c>
      <c r="AK463" s="31">
        <f t="shared" si="305"/>
        <v>13848.358680062871</v>
      </c>
      <c r="AL463" s="31">
        <f t="shared" si="306"/>
        <v>2.9644230055404641</v>
      </c>
      <c r="AM463" s="31" t="str">
        <f t="shared" si="288"/>
        <v>1+12155.0610143659i</v>
      </c>
      <c r="AN463" s="31">
        <f t="shared" si="307"/>
        <v>12155.061055501028</v>
      </c>
      <c r="AO463" s="31">
        <f t="shared" si="308"/>
        <v>1.5707140565375477</v>
      </c>
      <c r="AP463" s="31" t="str">
        <f t="shared" si="289"/>
        <v>1+467.502346706382i</v>
      </c>
      <c r="AQ463" s="31">
        <f t="shared" si="309"/>
        <v>467.50341621850663</v>
      </c>
      <c r="AR463" s="31">
        <f t="shared" si="310"/>
        <v>1.5686573033613156</v>
      </c>
      <c r="AS463" s="58" t="str">
        <f t="shared" si="311"/>
        <v>-0.0609877429488556+0.345040420974304i</v>
      </c>
      <c r="AT463" s="49">
        <f t="shared" si="312"/>
        <v>-9.1089926530579053</v>
      </c>
      <c r="AU463" s="61">
        <f t="shared" si="313"/>
        <v>100.0238023374954</v>
      </c>
      <c r="AV463" s="58" t="str">
        <f t="shared" si="290"/>
        <v>-0.0000614414568577092-0.000279314960750132i</v>
      </c>
      <c r="AW463" s="64">
        <f t="shared" si="314"/>
        <v>-70.872897035949961</v>
      </c>
      <c r="AX463" s="61">
        <f t="shared" si="315"/>
        <v>-102.4058856208901</v>
      </c>
    </row>
    <row r="464" spans="14:50" x14ac:dyDescent="0.25">
      <c r="N464" s="10">
        <v>46</v>
      </c>
      <c r="O464" s="50">
        <f t="shared" si="316"/>
        <v>288403.1503126609</v>
      </c>
      <c r="P464" s="48" t="str">
        <f t="shared" si="281"/>
        <v>304.285714285714</v>
      </c>
      <c r="Q464" s="17" t="str">
        <f t="shared" si="282"/>
        <v>1+94358.1377338038i</v>
      </c>
      <c r="R464" s="17">
        <f t="shared" si="291"/>
        <v>94358.137739102764</v>
      </c>
      <c r="S464" s="17">
        <f t="shared" si="292"/>
        <v>1.5707857288748446</v>
      </c>
      <c r="T464" s="17" t="str">
        <f t="shared" si="283"/>
        <v>1+1.95705767151593i</v>
      </c>
      <c r="U464" s="17">
        <f t="shared" si="293"/>
        <v>2.1977430990994726</v>
      </c>
      <c r="V464" s="17">
        <f t="shared" si="294"/>
        <v>1.0984103727462942</v>
      </c>
      <c r="W464" s="31" t="str">
        <f t="shared" si="284"/>
        <v>1-6.11580522348727i</v>
      </c>
      <c r="X464" s="17">
        <f t="shared" si="295"/>
        <v>6.1970213434870614</v>
      </c>
      <c r="Y464" s="17">
        <f t="shared" si="296"/>
        <v>-1.4087198175008289</v>
      </c>
      <c r="Z464" s="31" t="str">
        <f t="shared" si="285"/>
        <v>-4.22253417023939+53.9502646899068i</v>
      </c>
      <c r="AA464" s="17">
        <f t="shared" si="297"/>
        <v>54.11525528841053</v>
      </c>
      <c r="AB464" s="17">
        <f t="shared" si="298"/>
        <v>1.6489042598171204</v>
      </c>
      <c r="AC464" s="66" t="str">
        <f t="shared" si="299"/>
        <v>-0.000751147484515337+0.000307364827504503i</v>
      </c>
      <c r="AD464" s="64">
        <f t="shared" si="300"/>
        <v>-61.813151843841048</v>
      </c>
      <c r="AE464" s="61">
        <f t="shared" si="301"/>
        <v>157.7459307799439</v>
      </c>
      <c r="AF464" s="31" t="str">
        <f t="shared" si="286"/>
        <v>-1512.12121212121</v>
      </c>
      <c r="AG464" s="31" t="str">
        <f t="shared" si="302"/>
        <v>1812090.43658882i</v>
      </c>
      <c r="AH464" s="31">
        <f t="shared" si="303"/>
        <v>1812090.4365888201</v>
      </c>
      <c r="AI464" s="31">
        <f t="shared" si="304"/>
        <v>1.5707963267948966</v>
      </c>
      <c r="AJ464" s="31" t="str">
        <f t="shared" si="287"/>
        <v>-14274.0667963514+2497.54444976596i</v>
      </c>
      <c r="AK464" s="31">
        <f t="shared" si="305"/>
        <v>14490.918231266724</v>
      </c>
      <c r="AL464" s="31">
        <f t="shared" si="306"/>
        <v>2.9683753492955192</v>
      </c>
      <c r="AM464" s="31" t="str">
        <f t="shared" si="288"/>
        <v>1+12438.1887567456i</v>
      </c>
      <c r="AN464" s="31">
        <f t="shared" si="307"/>
        <v>12438.188796944378</v>
      </c>
      <c r="AO464" s="31">
        <f t="shared" si="308"/>
        <v>1.5707159292372295</v>
      </c>
      <c r="AP464" s="31" t="str">
        <f t="shared" si="289"/>
        <v>1+478.391875259448i</v>
      </c>
      <c r="AQ464" s="31">
        <f t="shared" si="309"/>
        <v>478.39292042655819</v>
      </c>
      <c r="AR464" s="31">
        <f t="shared" si="310"/>
        <v>1.5687059933356187</v>
      </c>
      <c r="AS464" s="58" t="str">
        <f t="shared" si="311"/>
        <v>-0.0583240054553513+0.337651307779316i</v>
      </c>
      <c r="AT464" s="49">
        <f t="shared" si="312"/>
        <v>-9.3029455959517229</v>
      </c>
      <c r="AU464" s="61">
        <f t="shared" si="313"/>
        <v>99.800246748966075</v>
      </c>
      <c r="AV464" s="58" t="str">
        <f t="shared" si="290"/>
        <v>-0.0000599722059876134-0.000271552678357903i</v>
      </c>
      <c r="AW464" s="64">
        <f t="shared" si="314"/>
        <v>-71.116097439792767</v>
      </c>
      <c r="AX464" s="61">
        <f t="shared" si="315"/>
        <v>-102.45382247108999</v>
      </c>
    </row>
    <row r="465" spans="14:50" x14ac:dyDescent="0.25">
      <c r="N465" s="10">
        <v>47</v>
      </c>
      <c r="O465" s="50">
        <f t="shared" si="316"/>
        <v>295120.92266663886</v>
      </c>
      <c r="P465" s="48" t="str">
        <f t="shared" si="281"/>
        <v>304.285714285714</v>
      </c>
      <c r="Q465" s="17" t="str">
        <f t="shared" si="282"/>
        <v>1+96556.0211076635i</v>
      </c>
      <c r="R465" s="17">
        <f t="shared" si="291"/>
        <v>96556.021112841845</v>
      </c>
      <c r="S465" s="17">
        <f t="shared" si="292"/>
        <v>1.570785970112957</v>
      </c>
      <c r="T465" s="17" t="str">
        <f t="shared" si="283"/>
        <v>1+2.00264340075154i</v>
      </c>
      <c r="U465" s="17">
        <f t="shared" si="293"/>
        <v>2.2384326191721056</v>
      </c>
      <c r="V465" s="17">
        <f t="shared" si="294"/>
        <v>1.1076768394803418</v>
      </c>
      <c r="W465" s="31" t="str">
        <f t="shared" si="284"/>
        <v>1-6.25826062734855i</v>
      </c>
      <c r="X465" s="17">
        <f t="shared" si="295"/>
        <v>6.337651464053625</v>
      </c>
      <c r="Y465" s="17">
        <f t="shared" si="296"/>
        <v>-1.4123469927304311</v>
      </c>
      <c r="Z465" s="31" t="str">
        <f t="shared" si="285"/>
        <v>-4.46866462282897+55.2069277888733i</v>
      </c>
      <c r="AA465" s="17">
        <f t="shared" si="297"/>
        <v>55.387488112363378</v>
      </c>
      <c r="AB465" s="17">
        <f t="shared" si="298"/>
        <v>1.6515641497695814</v>
      </c>
      <c r="AC465" s="66" t="str">
        <f t="shared" si="299"/>
        <v>-0.000747950573779289+0.000303458467222943i</v>
      </c>
      <c r="AD465" s="64">
        <f t="shared" si="300"/>
        <v>-61.86074179690182</v>
      </c>
      <c r="AE465" s="61">
        <f t="shared" si="301"/>
        <v>157.91662409242153</v>
      </c>
      <c r="AF465" s="31" t="str">
        <f t="shared" si="286"/>
        <v>-1512.12121212121</v>
      </c>
      <c r="AG465" s="31" t="str">
        <f t="shared" si="302"/>
        <v>1854299.44514031i</v>
      </c>
      <c r="AH465" s="31">
        <f t="shared" si="303"/>
        <v>1854299.4451403101</v>
      </c>
      <c r="AI465" s="31">
        <f t="shared" si="304"/>
        <v>1.5707963267948966</v>
      </c>
      <c r="AJ465" s="31" t="str">
        <f t="shared" si="287"/>
        <v>-14946.8299677931+2555.7197333552i</v>
      </c>
      <c r="AK465" s="31">
        <f t="shared" si="305"/>
        <v>15163.75380443705</v>
      </c>
      <c r="AL465" s="31">
        <f t="shared" si="306"/>
        <v>2.9722429785814435</v>
      </c>
      <c r="AM465" s="31" t="str">
        <f t="shared" si="288"/>
        <v>1+12727.9113914431i</v>
      </c>
      <c r="AN465" s="31">
        <f t="shared" si="307"/>
        <v>12727.911430726843</v>
      </c>
      <c r="AO465" s="31">
        <f t="shared" si="308"/>
        <v>1.5707177593090627</v>
      </c>
      <c r="AP465" s="31" t="str">
        <f t="shared" si="289"/>
        <v>1+489.535053517042i</v>
      </c>
      <c r="AQ465" s="31">
        <f t="shared" si="309"/>
        <v>489.53607489329443</v>
      </c>
      <c r="AR465" s="31">
        <f t="shared" si="310"/>
        <v>1.568753575000372</v>
      </c>
      <c r="AS465" s="58" t="str">
        <f t="shared" si="311"/>
        <v>-0.0557732163573265+0.33040054064979i</v>
      </c>
      <c r="AT465" s="49">
        <f t="shared" si="312"/>
        <v>-9.4971628284347602</v>
      </c>
      <c r="AU465" s="61">
        <f t="shared" si="313"/>
        <v>99.581478998126286</v>
      </c>
      <c r="AV465" s="58" t="str">
        <f t="shared" si="290"/>
        <v>-0.0000585472324592382-0.000264048128703886i</v>
      </c>
      <c r="AW465" s="64">
        <f t="shared" si="314"/>
        <v>-71.357904625336573</v>
      </c>
      <c r="AX465" s="61">
        <f t="shared" si="315"/>
        <v>-102.50189690945216</v>
      </c>
    </row>
    <row r="466" spans="14:50" x14ac:dyDescent="0.25">
      <c r="N466" s="10">
        <v>48</v>
      </c>
      <c r="O466" s="50">
        <f t="shared" si="316"/>
        <v>301995.17204020242</v>
      </c>
      <c r="P466" s="48" t="str">
        <f t="shared" si="281"/>
        <v>304.285714285714</v>
      </c>
      <c r="Q466" s="17" t="str">
        <f t="shared" si="282"/>
        <v>1+98805.0997619847i</v>
      </c>
      <c r="R466" s="17">
        <f t="shared" si="291"/>
        <v>98805.099767045191</v>
      </c>
      <c r="S466" s="17">
        <f t="shared" si="292"/>
        <v>1.5707862058598197</v>
      </c>
      <c r="T466" s="17" t="str">
        <f t="shared" si="283"/>
        <v>1+2.04929095802634i</v>
      </c>
      <c r="U466" s="17">
        <f t="shared" si="293"/>
        <v>2.2802617022281706</v>
      </c>
      <c r="V466" s="17">
        <f t="shared" si="294"/>
        <v>1.1168159984833488</v>
      </c>
      <c r="W466" s="31" t="str">
        <f t="shared" si="284"/>
        <v>1-6.40403424383233i</v>
      </c>
      <c r="X466" s="17">
        <f t="shared" si="295"/>
        <v>6.4816398076549362</v>
      </c>
      <c r="Y466" s="17">
        <f t="shared" si="296"/>
        <v>-1.4158956707375785</v>
      </c>
      <c r="Z466" s="31" t="str">
        <f t="shared" si="285"/>
        <v>-4.72639484628023+56.4928623317037i</v>
      </c>
      <c r="AA466" s="17">
        <f t="shared" si="297"/>
        <v>56.690231104413144</v>
      </c>
      <c r="AB466" s="17">
        <f t="shared" si="298"/>
        <v>1.6542655142265503</v>
      </c>
      <c r="AC466" s="66" t="str">
        <f t="shared" si="299"/>
        <v>-0.000744869974381034+0.000299705481302954i</v>
      </c>
      <c r="AD466" s="64">
        <f t="shared" si="300"/>
        <v>-61.906728774829922</v>
      </c>
      <c r="AE466" s="61">
        <f t="shared" si="301"/>
        <v>158.08214476932125</v>
      </c>
      <c r="AF466" s="31" t="str">
        <f t="shared" si="286"/>
        <v>-1512.12121212121</v>
      </c>
      <c r="AG466" s="31" t="str">
        <f t="shared" si="302"/>
        <v>1897491.62780217i</v>
      </c>
      <c r="AH466" s="31">
        <f t="shared" si="303"/>
        <v>1897491.6278021701</v>
      </c>
      <c r="AI466" s="31">
        <f t="shared" si="304"/>
        <v>1.5707963267948966</v>
      </c>
      <c r="AJ466" s="31" t="str">
        <f t="shared" si="287"/>
        <v>-15651.2994906869+2615.25009337602i</v>
      </c>
      <c r="AK466" s="31">
        <f t="shared" si="305"/>
        <v>15868.292560892596</v>
      </c>
      <c r="AL466" s="31">
        <f t="shared" si="306"/>
        <v>2.9760274842752672</v>
      </c>
      <c r="AM466" s="31" t="str">
        <f t="shared" si="288"/>
        <v>1+13024.3825332341i</v>
      </c>
      <c r="AN466" s="31">
        <f t="shared" si="307"/>
        <v>13024.382571623635</v>
      </c>
      <c r="AO466" s="31">
        <f t="shared" si="308"/>
        <v>1.5707195477233757</v>
      </c>
      <c r="AP466" s="31" t="str">
        <f t="shared" si="289"/>
        <v>1+500.937789739773i</v>
      </c>
      <c r="AQ466" s="31">
        <f t="shared" si="309"/>
        <v>500.93878786671036</v>
      </c>
      <c r="AR466" s="31">
        <f t="shared" si="310"/>
        <v>1.5688000735831418</v>
      </c>
      <c r="AS466" s="58" t="str">
        <f t="shared" si="311"/>
        <v>-0.0533308773918099+0.323286838341682i</v>
      </c>
      <c r="AT466" s="49">
        <f t="shared" si="312"/>
        <v>-9.6916331290765427</v>
      </c>
      <c r="AU466" s="61">
        <f t="shared" si="313"/>
        <v>99.367409435465149</v>
      </c>
      <c r="AV466" s="58" t="str">
        <f t="shared" si="290"/>
        <v>-0.0000571662682075486-0.000256790215270315i</v>
      </c>
      <c r="AW466" s="64">
        <f t="shared" si="314"/>
        <v>-71.598361903906479</v>
      </c>
      <c r="AX466" s="61">
        <f t="shared" si="315"/>
        <v>-102.55044579521363</v>
      </c>
    </row>
    <row r="467" spans="14:50" x14ac:dyDescent="0.25">
      <c r="N467" s="10">
        <v>49</v>
      </c>
      <c r="O467" s="50">
        <f t="shared" si="316"/>
        <v>309029.54325135931</v>
      </c>
      <c r="P467" s="48" t="str">
        <f t="shared" ref="P467:P530" si="317">COMPLEX(Adc,0)</f>
        <v>304.285714285714</v>
      </c>
      <c r="Q467" s="17" t="str">
        <f t="shared" ref="Q467:Q530" si="318">IMSUM(COMPLEX(1,0),IMDIV(COMPLEX(0,2*PI()*O467),COMPLEX(wp_lf,0)))</f>
        <v>1+101106.56618804i</v>
      </c>
      <c r="R467" s="17">
        <f t="shared" si="291"/>
        <v>101106.56619298528</v>
      </c>
      <c r="S467" s="17">
        <f t="shared" si="292"/>
        <v>1.5707864362404285</v>
      </c>
      <c r="T467" s="17" t="str">
        <f t="shared" ref="T467:T530" si="319">IMSUM(COMPLEX(1,0),IMDIV(COMPLEX(0,2*PI()*O467),COMPLEX(wz_esr,0)))</f>
        <v>1+2.09702507649267i</v>
      </c>
      <c r="U467" s="17">
        <f t="shared" si="293"/>
        <v>2.3232550810100658</v>
      </c>
      <c r="V467" s="17">
        <f t="shared" si="294"/>
        <v>1.1258265877719797</v>
      </c>
      <c r="W467" s="31" t="str">
        <f t="shared" ref="W467:W530" si="320">IMSUB(COMPLEX(1,0),IMDIV(COMPLEX(0,2*PI()*O467),COMPLEX(wz_rhp,0)))</f>
        <v>1-6.5532033640396i</v>
      </c>
      <c r="X467" s="17">
        <f t="shared" si="295"/>
        <v>6.6290628546167767</v>
      </c>
      <c r="Y467" s="17">
        <f t="shared" si="296"/>
        <v>-1.4193673753841631</v>
      </c>
      <c r="Z467" s="31" t="str">
        <f t="shared" ref="Z467:Z530" si="321">IMSUM(COMPLEX(1,0),IMDIV(COMPLEX(0,2*PI()*O467),COMPLEX(Q*(wsl/2),0)),IMDIV(IMPOWER(COMPLEX(0,2*PI()*O467),2),IMPOWER(COMPLEX(wsl/2,0),2)))</f>
        <v>-4.99627152095156+57.8087501379138i</v>
      </c>
      <c r="AA467" s="17">
        <f t="shared" si="297"/>
        <v>58.024256321118159</v>
      </c>
      <c r="AB467" s="17">
        <f t="shared" si="298"/>
        <v>1.6570096889956818</v>
      </c>
      <c r="AC467" s="66" t="str">
        <f t="shared" si="299"/>
        <v>-0.000741899202968891+0.000296103999974269i</v>
      </c>
      <c r="AD467" s="64">
        <f t="shared" si="300"/>
        <v>-61.951166960600482</v>
      </c>
      <c r="AE467" s="61">
        <f t="shared" si="301"/>
        <v>158.24225665016615</v>
      </c>
      <c r="AF467" s="31" t="str">
        <f t="shared" ref="AF467:AF530" si="322">COMPLEX(Adc_ea_iso,0)</f>
        <v>-1512.12121212121</v>
      </c>
      <c r="AG467" s="31" t="str">
        <f t="shared" si="302"/>
        <v>1941689.88564136i</v>
      </c>
      <c r="AH467" s="31">
        <f t="shared" si="303"/>
        <v>1941689.88564136</v>
      </c>
      <c r="AI467" s="31">
        <f t="shared" si="304"/>
        <v>1.5707963267948966</v>
      </c>
      <c r="AJ467" s="31" t="str">
        <f t="shared" ref="AJ467:AJ530" si="323">IMSUM(IMPRODUCT(COMPLEX(wpA_ea_iso,0),IMPOWER(COMPLEX(0,2*PI()*O467),2)),COMPLEX(0,wpB_ea_iso*2*PI()*O467),COMPLEX(1,0))</f>
        <v>-16388.9696393408+2676.16709361326i</v>
      </c>
      <c r="AK467" s="31">
        <f t="shared" si="305"/>
        <v>16606.028909771685</v>
      </c>
      <c r="AL467" s="31">
        <f t="shared" si="306"/>
        <v>2.9797304421885515</v>
      </c>
      <c r="AM467" s="31" t="str">
        <f t="shared" ref="AM467:AM530" si="324">IMSUM(COMPLEX(1,0),IMDIV(COMPLEX(0,2*PI()*O467),COMPLEX(wz1_ea_iso,0)))</f>
        <v>1+13327.7593750423i</v>
      </c>
      <c r="AN467" s="31">
        <f t="shared" si="307"/>
        <v>13327.759412557984</v>
      </c>
      <c r="AO467" s="31">
        <f t="shared" si="308"/>
        <v>1.5707212954284093</v>
      </c>
      <c r="AP467" s="31" t="str">
        <f t="shared" ref="AP467:AP530" si="325">IMSUM(COMPLEX(1,0),IMDIV(COMPLEX(0,2*PI()*O467),COMPLEX(wz2_ea_iso,0)))</f>
        <v>1+512.606129809319i</v>
      </c>
      <c r="AQ467" s="31">
        <f t="shared" si="309"/>
        <v>512.60710521615715</v>
      </c>
      <c r="AR467" s="31">
        <f t="shared" si="310"/>
        <v>1.5688455137372874</v>
      </c>
      <c r="AS467" s="58" t="str">
        <f t="shared" si="311"/>
        <v>-0.0509926444110499+0.316308837031358i</v>
      </c>
      <c r="AT467" s="49">
        <f t="shared" si="312"/>
        <v>-9.8863457246351985</v>
      </c>
      <c r="AU467" s="61">
        <f t="shared" si="313"/>
        <v>99.157949240494617</v>
      </c>
      <c r="AV467" s="58" t="str">
        <f t="shared" ref="AV467:AV530" si="326">IMPRODUCT(AC467,AS467)</f>
        <v>-0.0000558289096263603-0.000249768400064959i</v>
      </c>
      <c r="AW467" s="64">
        <f t="shared" si="314"/>
        <v>-71.837512685235666</v>
      </c>
      <c r="AX467" s="61">
        <f t="shared" si="315"/>
        <v>-102.59979410933921</v>
      </c>
    </row>
    <row r="468" spans="14:50" x14ac:dyDescent="0.25">
      <c r="N468" s="10">
        <v>50</v>
      </c>
      <c r="O468" s="50">
        <f t="shared" si="316"/>
        <v>316227.7660168382</v>
      </c>
      <c r="P468" s="48" t="str">
        <f t="shared" si="317"/>
        <v>304.285714285714</v>
      </c>
      <c r="Q468" s="17" t="str">
        <f t="shared" si="318"/>
        <v>1+103461.640653791i</v>
      </c>
      <c r="R468" s="17">
        <f t="shared" ref="R468:R531" si="327">IMABS(Q468)</f>
        <v>103461.64065862371</v>
      </c>
      <c r="S468" s="17">
        <f t="shared" ref="S468:S531" si="328">IMARGUMENT(Q468)</f>
        <v>1.5707866613769346</v>
      </c>
      <c r="T468" s="17" t="str">
        <f t="shared" si="319"/>
        <v>1+2.14587106541196i</v>
      </c>
      <c r="U468" s="17">
        <f t="shared" ref="U468:U531" si="329">IMABS(T468)</f>
        <v>2.3674379884956349</v>
      </c>
      <c r="V468" s="17">
        <f t="shared" ref="V468:V531" si="330">IMARGUMENT(T468)</f>
        <v>1.1347075312848038</v>
      </c>
      <c r="W468" s="31" t="str">
        <f t="shared" si="320"/>
        <v>1-6.70584707941237i</v>
      </c>
      <c r="X468" s="17">
        <f t="shared" ref="X468:X531" si="331">IMABS(W468)</f>
        <v>6.7799988976742043</v>
      </c>
      <c r="Y468" s="17">
        <f t="shared" ref="Y468:Y531" si="332">IMARGUMENT(W468)</f>
        <v>-1.422763612493581</v>
      </c>
      <c r="Z468" s="31" t="str">
        <f t="shared" si="321"/>
        <v>-5.27886709145294+59.1552889086362i</v>
      </c>
      <c r="AA468" s="17">
        <f t="shared" ref="AA468:AA531" si="333">IMABS(Z468)</f>
        <v>59.390358170610845</v>
      </c>
      <c r="AB468" s="17">
        <f t="shared" ref="AB468:AB531" si="334">IMARGUMENT(Z468)</f>
        <v>1.659798025905121</v>
      </c>
      <c r="AC468" s="66" t="str">
        <f t="shared" ref="AC468:AC531" si="335">(IMDIV(IMPRODUCT(P468,T468,W468),IMPRODUCT(Q468,Z468)))</f>
        <v>-0.000739032011900595+0.000292652199261276i</v>
      </c>
      <c r="AD468" s="64">
        <f t="shared" ref="AD468:AD531" si="336">20*LOG(IMABS(AC468))</f>
        <v>-61.994110132605286</v>
      </c>
      <c r="AE468" s="61">
        <f t="shared" ref="AE468:AE531" si="337">(180/PI())*IMARGUMENT(AC468)</f>
        <v>158.3967343428067</v>
      </c>
      <c r="AF468" s="31" t="str">
        <f t="shared" si="322"/>
        <v>-1512.12121212121</v>
      </c>
      <c r="AG468" s="31" t="str">
        <f t="shared" ref="AG468:AG531" si="338">COMPLEX(0,1*2*PI()*O468)</f>
        <v>1986917.65315922i</v>
      </c>
      <c r="AH468" s="31">
        <f t="shared" ref="AH468:AH531" si="339">IMABS(AG468)</f>
        <v>1986917.65315922</v>
      </c>
      <c r="AI468" s="31">
        <f t="shared" ref="AI468:AI531" si="340">IMARGUMENT(AG468)</f>
        <v>1.5707963267948966</v>
      </c>
      <c r="AJ468" s="31" t="str">
        <f t="shared" si="323"/>
        <v>-17161.4051110412+2738.5030330668i</v>
      </c>
      <c r="AK468" s="31">
        <f t="shared" ref="AK468:AK531" si="341">IMABS(AJ468)</f>
        <v>17378.527677780621</v>
      </c>
      <c r="AL468" s="31">
        <f t="shared" ref="AL468:AL531" si="342">IMARGUMENT(AJ468)</f>
        <v>2.9833534121419327</v>
      </c>
      <c r="AM468" s="31" t="str">
        <f t="shared" si="324"/>
        <v>1+13638.2027712849i</v>
      </c>
      <c r="AN468" s="31">
        <f t="shared" ref="AN468:AN531" si="343">IMABS(AM468)</f>
        <v>13638.202807946622</v>
      </c>
      <c r="AO468" s="31">
        <f t="shared" ref="AO468:AO531" si="344">IMARGUMENT(AM468)</f>
        <v>1.5707230033508199</v>
      </c>
      <c r="AP468" s="31" t="str">
        <f t="shared" si="325"/>
        <v>1+524.546260434034i</v>
      </c>
      <c r="AQ468" s="31">
        <f t="shared" ref="AQ468:AQ531" si="345">IMABS(AP468)</f>
        <v>524.5472136379426</v>
      </c>
      <c r="AR468" s="31">
        <f t="shared" ref="AR468:AR531" si="346">IMARGUMENT(AP468)</f>
        <v>1.5688899195550292</v>
      </c>
      <c r="AS468" s="58" t="str">
        <f t="shared" ref="AS468:AS531" si="347">IMDIV(IMPRODUCT(AF468,AM468,AP468),IMPRODUCT(AG468,AJ468))</f>
        <v>-0.0487543243111664+0.309465098335109i</v>
      </c>
      <c r="AT468" s="49">
        <f t="shared" ref="AT468:AT531" si="348">20*LOG(IMABS(AS468))</f>
        <v>-10.081290274588719</v>
      </c>
      <c r="AU468" s="61">
        <f t="shared" ref="AU468:AU531" si="349">(180/PI())*IMARGUMENT(AS468)</f>
        <v>98.953010475551437</v>
      </c>
      <c r="AV468" s="58" t="str">
        <f t="shared" si="326"/>
        <v>-0.0000545346352378413-0.000242972674468771i</v>
      </c>
      <c r="AW468" s="64">
        <f t="shared" ref="AW468:AW531" si="350">20*LOG(IMABS(AV468))</f>
        <v>-72.075400407194024</v>
      </c>
      <c r="AX468" s="61">
        <f t="shared" ref="AX468:AX531" si="351">(180/PI())*IMARGUMENT(AV468)</f>
        <v>-102.65025518164187</v>
      </c>
    </row>
    <row r="469" spans="14:50" x14ac:dyDescent="0.25">
      <c r="N469" s="10">
        <v>51</v>
      </c>
      <c r="O469" s="50">
        <f t="shared" si="316"/>
        <v>323593.65692962846</v>
      </c>
      <c r="P469" s="48" t="str">
        <f t="shared" si="317"/>
        <v>304.285714285714</v>
      </c>
      <c r="Q469" s="17" t="str">
        <f t="shared" si="318"/>
        <v>1+105871.571850894i</v>
      </c>
      <c r="R469" s="17">
        <f t="shared" si="327"/>
        <v>105871.57185561671</v>
      </c>
      <c r="S469" s="17">
        <f t="shared" si="328"/>
        <v>1.5707868813887078</v>
      </c>
      <c r="T469" s="17" t="str">
        <f t="shared" si="319"/>
        <v>1+2.19585482357409i</v>
      </c>
      <c r="U469" s="17">
        <f t="shared" si="329"/>
        <v>2.4128361747565039</v>
      </c>
      <c r="V469" s="17">
        <f t="shared" si="330"/>
        <v>1.1434579332048589</v>
      </c>
      <c r="W469" s="31" t="str">
        <f t="shared" si="320"/>
        <v>1-6.86204632366904i</v>
      </c>
      <c r="X469" s="17">
        <f t="shared" si="331"/>
        <v>6.9345280840284866</v>
      </c>
      <c r="Y469" s="17">
        <f t="shared" si="332"/>
        <v>-1.4260858692445708</v>
      </c>
      <c r="Z469" s="31" t="str">
        <f t="shared" si="321"/>
        <v>-5.57478098087769+60.5331925965507i</v>
      </c>
      <c r="AA469" s="17">
        <f t="shared" si="333"/>
        <v>60.789354239997117</v>
      </c>
      <c r="AB469" s="17">
        <f t="shared" si="334"/>
        <v>1.6626318930548301</v>
      </c>
      <c r="AC469" s="66" t="str">
        <f t="shared" si="335"/>
        <v>-0.000736262376428365+0.00028934830051242i</v>
      </c>
      <c r="AD469" s="64">
        <f t="shared" si="336"/>
        <v>-62.035611614715123</v>
      </c>
      <c r="AE469" s="61">
        <f t="shared" si="337"/>
        <v>158.54536291845332</v>
      </c>
      <c r="AF469" s="31" t="str">
        <f t="shared" si="322"/>
        <v>-1512.12121212121</v>
      </c>
      <c r="AG469" s="31" t="str">
        <f t="shared" si="338"/>
        <v>2033198.91071675i</v>
      </c>
      <c r="AH469" s="31">
        <f t="shared" si="339"/>
        <v>2033198.91071675</v>
      </c>
      <c r="AI469" s="31">
        <f t="shared" si="340"/>
        <v>1.5707963267948966</v>
      </c>
      <c r="AJ469" s="31" t="str">
        <f t="shared" si="323"/>
        <v>-17970.2443449859+2802.29096307685i</v>
      </c>
      <c r="AK469" s="31">
        <f t="shared" si="341"/>
        <v>18187.427428315415</v>
      </c>
      <c r="AL469" s="31">
        <f t="shared" si="342"/>
        <v>2.9868979371307876</v>
      </c>
      <c r="AM469" s="31" t="str">
        <f t="shared" si="324"/>
        <v>1+13955.8773231597i</v>
      </c>
      <c r="AN469" s="31">
        <f t="shared" si="343"/>
        <v>13955.8773589869</v>
      </c>
      <c r="AO469" s="31">
        <f t="shared" si="344"/>
        <v>1.5707246723961703</v>
      </c>
      <c r="AP469" s="31" t="str">
        <f t="shared" si="325"/>
        <v>1+536.764512429222i</v>
      </c>
      <c r="AQ469" s="31">
        <f t="shared" si="345"/>
        <v>536.7654439355988</v>
      </c>
      <c r="AR469" s="31">
        <f t="shared" si="346"/>
        <v>1.5689333145802182</v>
      </c>
      <c r="AS469" s="58" t="str">
        <f t="shared" si="347"/>
        <v>-0.0466118718060321+0.302754116867304i</v>
      </c>
      <c r="AT469" s="49">
        <f t="shared" si="348"/>
        <v>-10.276456855986156</v>
      </c>
      <c r="AU469" s="61">
        <f t="shared" si="349"/>
        <v>98.752506134360971</v>
      </c>
      <c r="AV469" s="58" t="str">
        <f t="shared" si="326"/>
        <v>-0.0000532828216830095-0.00023639353144897i</v>
      </c>
      <c r="AW469" s="64">
        <f t="shared" si="350"/>
        <v>-72.312068470701291</v>
      </c>
      <c r="AX469" s="61">
        <f t="shared" si="351"/>
        <v>-102.70213094718572</v>
      </c>
    </row>
    <row r="470" spans="14:50" x14ac:dyDescent="0.25">
      <c r="N470" s="10">
        <v>52</v>
      </c>
      <c r="O470" s="50">
        <f t="shared" si="316"/>
        <v>331131.12148259126</v>
      </c>
      <c r="P470" s="48" t="str">
        <f t="shared" si="317"/>
        <v>304.285714285714</v>
      </c>
      <c r="Q470" s="17" t="str">
        <f t="shared" si="318"/>
        <v>1+108337.637556768i</v>
      </c>
      <c r="R470" s="17">
        <f t="shared" si="327"/>
        <v>108337.63756138319</v>
      </c>
      <c r="S470" s="17">
        <f t="shared" si="328"/>
        <v>1.570787096392402</v>
      </c>
      <c r="T470" s="17" t="str">
        <f t="shared" si="319"/>
        <v>1+2.24700285302927i</v>
      </c>
      <c r="U470" s="17">
        <f t="shared" si="329"/>
        <v>2.4594759241597952</v>
      </c>
      <c r="V470" s="17">
        <f t="shared" si="330"/>
        <v>1.1520770719712419</v>
      </c>
      <c r="W470" s="31" t="str">
        <f t="shared" si="320"/>
        <v>1-7.02188391571646i</v>
      </c>
      <c r="X470" s="17">
        <f t="shared" si="331"/>
        <v>7.0927324583546447</v>
      </c>
      <c r="Y470" s="17">
        <f t="shared" si="332"/>
        <v>-1.4293356136369642</v>
      </c>
      <c r="Z470" s="31" t="str">
        <f t="shared" si="321"/>
        <v>-5.88464086225917+61.9431917844318i</v>
      </c>
      <c r="AA470" s="17">
        <f t="shared" si="333"/>
        <v>62.222086163360594</v>
      </c>
      <c r="AB470" s="17">
        <f t="shared" si="334"/>
        <v>1.6655126750456684</v>
      </c>
      <c r="AC470" s="66" t="str">
        <f t="shared" si="335"/>
        <v>-0.000733584482381081+0.000286190569802405i</v>
      </c>
      <c r="AD470" s="64">
        <f t="shared" si="336"/>
        <v>-62.075724231254945</v>
      </c>
      <c r="AE470" s="61">
        <f t="shared" si="337"/>
        <v>158.68793758604767</v>
      </c>
      <c r="AF470" s="31" t="str">
        <f t="shared" si="322"/>
        <v>-1512.12121212121</v>
      </c>
      <c r="AG470" s="31" t="str">
        <f t="shared" si="338"/>
        <v>2080558.19724932i</v>
      </c>
      <c r="AH470" s="31">
        <f t="shared" si="339"/>
        <v>2080558.1972493201</v>
      </c>
      <c r="AI470" s="31">
        <f t="shared" si="340"/>
        <v>1.5707963267948966</v>
      </c>
      <c r="AJ470" s="31" t="str">
        <f t="shared" si="323"/>
        <v>-18817.2029976331+2867.56470484822i</v>
      </c>
      <c r="AK470" s="31">
        <f t="shared" si="341"/>
        <v>19034.443936995463</v>
      </c>
      <c r="AL470" s="31">
        <f t="shared" si="342"/>
        <v>2.9903655425767024</v>
      </c>
      <c r="AM470" s="31" t="str">
        <f t="shared" si="324"/>
        <v>1+14280.9514659193i</v>
      </c>
      <c r="AN470" s="31">
        <f t="shared" si="343"/>
        <v>14280.951500930973</v>
      </c>
      <c r="AO470" s="31">
        <f t="shared" si="344"/>
        <v>1.5707263034494108</v>
      </c>
      <c r="AP470" s="31" t="str">
        <f t="shared" si="325"/>
        <v>1+549.26736407382i</v>
      </c>
      <c r="AQ470" s="31">
        <f t="shared" si="345"/>
        <v>549.26827437655845</v>
      </c>
      <c r="AR470" s="31">
        <f t="shared" si="346"/>
        <v>1.5689757218208173</v>
      </c>
      <c r="AS470" s="58" t="str">
        <f t="shared" si="347"/>
        <v>-0.0445613860735604+0.296174327353858i</v>
      </c>
      <c r="AT470" s="49">
        <f t="shared" si="348"/>
        <v>-10.471835948630783</v>
      </c>
      <c r="AU470" s="61">
        <f t="shared" si="349"/>
        <v>98.556350185667483</v>
      </c>
      <c r="AV470" s="58" t="str">
        <f t="shared" si="326"/>
        <v>-0.0000520727581692883-0.000230021939098022i</v>
      </c>
      <c r="AW470" s="64">
        <f t="shared" si="350"/>
        <v>-72.547560179885721</v>
      </c>
      <c r="AX470" s="61">
        <f t="shared" si="351"/>
        <v>-102.75571222828484</v>
      </c>
    </row>
    <row r="471" spans="14:50" x14ac:dyDescent="0.25">
      <c r="N471" s="10">
        <v>53</v>
      </c>
      <c r="O471" s="50">
        <f t="shared" si="316"/>
        <v>338844.15613920329</v>
      </c>
      <c r="P471" s="48" t="str">
        <f t="shared" si="317"/>
        <v>304.285714285714</v>
      </c>
      <c r="Q471" s="17" t="str">
        <f t="shared" si="318"/>
        <v>1+110861.145312093i</v>
      </c>
      <c r="R471" s="17">
        <f t="shared" si="327"/>
        <v>110861.14531660314</v>
      </c>
      <c r="S471" s="17">
        <f t="shared" si="328"/>
        <v>1.5707873065020144</v>
      </c>
      <c r="T471" s="17" t="str">
        <f t="shared" si="319"/>
        <v>1+2.29934227313971i</v>
      </c>
      <c r="U471" s="17">
        <f t="shared" si="329"/>
        <v>2.5073840729029304</v>
      </c>
      <c r="V471" s="17">
        <f t="shared" si="330"/>
        <v>1.1605643940305035</v>
      </c>
      <c r="W471" s="31" t="str">
        <f t="shared" si="320"/>
        <v>1-7.1854446035616i</v>
      </c>
      <c r="X471" s="17">
        <f t="shared" si="331"/>
        <v>7.2546960067843314</v>
      </c>
      <c r="Y471" s="17">
        <f t="shared" si="332"/>
        <v>-1.432514294024819</v>
      </c>
      <c r="Z471" s="31" t="str">
        <f t="shared" si="321"/>
        <v>-6.20910398994935+63.3860340725119i</v>
      </c>
      <c r="AA471" s="17">
        <f t="shared" si="333"/>
        <v>63.689420532767009</v>
      </c>
      <c r="AB471" s="17">
        <f t="shared" si="334"/>
        <v>1.6684417731843613</v>
      </c>
      <c r="AC471" s="66" t="str">
        <f t="shared" si="335"/>
        <v>-0.000730992714320912+0.000283177317209766i</v>
      </c>
      <c r="AD471" s="64">
        <f t="shared" si="336"/>
        <v>-62.114500266902333</v>
      </c>
      <c r="AE471" s="61">
        <f t="shared" si="337"/>
        <v>158.82426334924574</v>
      </c>
      <c r="AF471" s="31" t="str">
        <f t="shared" si="322"/>
        <v>-1512.12121212121</v>
      </c>
      <c r="AG471" s="31" t="str">
        <f t="shared" si="338"/>
        <v>2129020.62327751i</v>
      </c>
      <c r="AH471" s="31">
        <f t="shared" si="339"/>
        <v>2129020.6232775101</v>
      </c>
      <c r="AI471" s="31">
        <f t="shared" si="340"/>
        <v>1.5707963267948966</v>
      </c>
      <c r="AJ471" s="31" t="str">
        <f t="shared" si="323"/>
        <v>-19704.0775818387+2934.35886738282i</v>
      </c>
      <c r="AK471" s="31">
        <f t="shared" si="341"/>
        <v>19921.373830981302</v>
      </c>
      <c r="AL471" s="31">
        <f t="shared" si="342"/>
        <v>2.9937577356596603</v>
      </c>
      <c r="AM471" s="31" t="str">
        <f t="shared" si="324"/>
        <v>1+14613.5975581768i</v>
      </c>
      <c r="AN471" s="31">
        <f t="shared" si="343"/>
        <v>14613.597592391508</v>
      </c>
      <c r="AO471" s="31">
        <f t="shared" si="344"/>
        <v>1.5707278973753469</v>
      </c>
      <c r="AP471" s="31" t="str">
        <f t="shared" si="325"/>
        <v>1+562.061444545262i</v>
      </c>
      <c r="AQ471" s="31">
        <f t="shared" si="345"/>
        <v>562.06233412701351</v>
      </c>
      <c r="AR471" s="31">
        <f t="shared" si="346"/>
        <v>1.5690171637610961</v>
      </c>
      <c r="AS471" s="58" t="str">
        <f t="shared" si="347"/>
        <v>-0.0425991072991771+0.289724111317821i</v>
      </c>
      <c r="AT471" s="49">
        <f t="shared" si="348"/>
        <v>-10.667418420610508</v>
      </c>
      <c r="AU471" s="61">
        <f t="shared" si="349"/>
        <v>98.364457612222338</v>
      </c>
      <c r="AV471" s="58" t="str">
        <f t="shared" si="326"/>
        <v>-0.0000509036595016909-0.00022384931545694i</v>
      </c>
      <c r="AW471" s="64">
        <f t="shared" si="350"/>
        <v>-72.781918687512842</v>
      </c>
      <c r="AX471" s="61">
        <f t="shared" si="351"/>
        <v>-102.81127903853189</v>
      </c>
    </row>
    <row r="472" spans="14:50" x14ac:dyDescent="0.25">
      <c r="N472" s="10">
        <v>54</v>
      </c>
      <c r="O472" s="50">
        <f t="shared" si="316"/>
        <v>346736.85045253241</v>
      </c>
      <c r="P472" s="48" t="str">
        <f t="shared" si="317"/>
        <v>304.285714285714</v>
      </c>
      <c r="Q472" s="17" t="str">
        <f t="shared" si="318"/>
        <v>1+113443.433114084i</v>
      </c>
      <c r="R472" s="17">
        <f t="shared" si="327"/>
        <v>113443.43311849148</v>
      </c>
      <c r="S472" s="17">
        <f t="shared" si="328"/>
        <v>1.5707875118289483</v>
      </c>
      <c r="T472" s="17" t="str">
        <f t="shared" si="319"/>
        <v>1+2.35290083495877i</v>
      </c>
      <c r="U472" s="17">
        <f t="shared" si="329"/>
        <v>2.5565880268728631</v>
      </c>
      <c r="V472" s="17">
        <f t="shared" si="330"/>
        <v>1.1689195073765541</v>
      </c>
      <c r="W472" s="31" t="str">
        <f t="shared" si="320"/>
        <v>1-7.35281510924615i</v>
      </c>
      <c r="X472" s="17">
        <f t="shared" si="331"/>
        <v>7.420504701889115</v>
      </c>
      <c r="Y472" s="17">
        <f t="shared" si="332"/>
        <v>-1.4356233387126096</v>
      </c>
      <c r="Z472" s="31" t="str">
        <f t="shared" si="321"/>
        <v>-6.54885859374362+64.8624844748706i</v>
      </c>
      <c r="AA472" s="17">
        <f t="shared" si="333"/>
        <v>65.192249854823075</v>
      </c>
      <c r="AB472" s="17">
        <f t="shared" si="334"/>
        <v>1.6714206056623639</v>
      </c>
      <c r="AC472" s="66" t="str">
        <f t="shared" si="335"/>
        <v>-0.000728481644153049+0.000280306895971711i</v>
      </c>
      <c r="AD472" s="64">
        <f t="shared" si="336"/>
        <v>-62.15199143148547</v>
      </c>
      <c r="AE472" s="61">
        <f t="shared" si="337"/>
        <v>158.95415464916715</v>
      </c>
      <c r="AF472" s="31" t="str">
        <f t="shared" si="322"/>
        <v>-1512.12121212121</v>
      </c>
      <c r="AG472" s="31" t="str">
        <f t="shared" si="338"/>
        <v>2178611.88422108i</v>
      </c>
      <c r="AH472" s="31">
        <f t="shared" si="339"/>
        <v>2178611.8842210802</v>
      </c>
      <c r="AI472" s="31">
        <f t="shared" si="340"/>
        <v>1.5707963267948966</v>
      </c>
      <c r="AJ472" s="31" t="str">
        <f t="shared" si="323"/>
        <v>-20632.7492775011+3002.70886582973i</v>
      </c>
      <c r="AK472" s="31">
        <f t="shared" si="341"/>
        <v>20850.098399795494</v>
      </c>
      <c r="AL472" s="31">
        <f t="shared" si="342"/>
        <v>2.9970760047260563</v>
      </c>
      <c r="AM472" s="31" t="str">
        <f t="shared" si="324"/>
        <v>1+14953.9919732935i</v>
      </c>
      <c r="AN472" s="31">
        <f t="shared" si="343"/>
        <v>14953.992006729388</v>
      </c>
      <c r="AO472" s="31">
        <f t="shared" si="344"/>
        <v>1.5707294550190996</v>
      </c>
      <c r="AP472" s="31" t="str">
        <f t="shared" si="325"/>
        <v>1+575.153537434365i</v>
      </c>
      <c r="AQ472" s="31">
        <f t="shared" si="345"/>
        <v>575.15440676679475</v>
      </c>
      <c r="AR472" s="31">
        <f t="shared" si="346"/>
        <v>1.5690576623735506</v>
      </c>
      <c r="AS472" s="58" t="str">
        <f t="shared" si="347"/>
        <v>-0.0407214131390791+0.283401803354323i</v>
      </c>
      <c r="AT472" s="49">
        <f t="shared" si="348"/>
        <v>-10.863195514181783</v>
      </c>
      <c r="AU472" s="61">
        <f t="shared" si="349"/>
        <v>98.176744445411785</v>
      </c>
      <c r="AV472" s="58" t="str">
        <f t="shared" si="326"/>
        <v>-0.0000497746778152436-0.000217867504580093i</v>
      </c>
      <c r="AW472" s="64">
        <f t="shared" si="350"/>
        <v>-73.015186945667267</v>
      </c>
      <c r="AX472" s="61">
        <f t="shared" si="351"/>
        <v>-102.86910090542109</v>
      </c>
    </row>
    <row r="473" spans="14:50" x14ac:dyDescent="0.25">
      <c r="N473" s="10">
        <v>55</v>
      </c>
      <c r="O473" s="50">
        <f t="shared" si="316"/>
        <v>354813.38923357555</v>
      </c>
      <c r="P473" s="48" t="str">
        <f t="shared" si="317"/>
        <v>304.285714285714</v>
      </c>
      <c r="Q473" s="17" t="str">
        <f t="shared" si="318"/>
        <v>1+116085.870125912i</v>
      </c>
      <c r="R473" s="17">
        <f t="shared" si="327"/>
        <v>116085.87013021916</v>
      </c>
      <c r="S473" s="17">
        <f t="shared" si="328"/>
        <v>1.5707877124820704</v>
      </c>
      <c r="T473" s="17" t="str">
        <f t="shared" si="319"/>
        <v>1+2.40770693594483i</v>
      </c>
      <c r="U473" s="17">
        <f t="shared" si="329"/>
        <v>2.6071157798219935</v>
      </c>
      <c r="V473" s="17">
        <f t="shared" si="330"/>
        <v>1.1771421749253346</v>
      </c>
      <c r="W473" s="31" t="str">
        <f t="shared" si="320"/>
        <v>1-7.5240841748276i</v>
      </c>
      <c r="X473" s="17">
        <f t="shared" si="331"/>
        <v>7.5902465486893851</v>
      </c>
      <c r="Y473" s="17">
        <f t="shared" si="332"/>
        <v>-1.438664155610331</v>
      </c>
      <c r="Z473" s="31" t="str">
        <f t="shared" si="321"/>
        <v>-6.90462533870822+66.3733258250539i</v>
      </c>
      <c r="AA473" s="17">
        <f t="shared" si="333"/>
        <v>66.731493555492207</v>
      </c>
      <c r="AB473" s="17">
        <f t="shared" si="334"/>
        <v>1.6744506077064931</v>
      </c>
      <c r="AC473" s="66" t="str">
        <f t="shared" si="335"/>
        <v>-0.000726046020168211+0.000277577701517591i</v>
      </c>
      <c r="AD473" s="64">
        <f t="shared" si="336"/>
        <v>-62.1882488296269</v>
      </c>
      <c r="AE473" s="61">
        <f t="shared" si="337"/>
        <v>159.07743499591828</v>
      </c>
      <c r="AF473" s="31" t="str">
        <f t="shared" si="322"/>
        <v>-1512.12121212121</v>
      </c>
      <c r="AG473" s="31" t="str">
        <f t="shared" si="338"/>
        <v>2229358.27402299i</v>
      </c>
      <c r="AH473" s="31">
        <f t="shared" si="339"/>
        <v>2229358.2740229899</v>
      </c>
      <c r="AI473" s="31">
        <f t="shared" si="340"/>
        <v>1.5707963267948966</v>
      </c>
      <c r="AJ473" s="31" t="str">
        <f t="shared" si="323"/>
        <v>-21605.1879217958+3072.65094026285i</v>
      </c>
      <c r="AK473" s="31">
        <f t="shared" si="341"/>
        <v>21822.587585728903</v>
      </c>
      <c r="AL473" s="31">
        <f t="shared" si="342"/>
        <v>3.0003218187678193</v>
      </c>
      <c r="AM473" s="31" t="str">
        <f t="shared" si="324"/>
        <v>1+15302.3151928938i</v>
      </c>
      <c r="AN473" s="31">
        <f t="shared" si="343"/>
        <v>15302.315225568595</v>
      </c>
      <c r="AO473" s="31">
        <f t="shared" si="344"/>
        <v>1.5707309772065519</v>
      </c>
      <c r="AP473" s="31" t="str">
        <f t="shared" si="325"/>
        <v>1+588.550584342069i</v>
      </c>
      <c r="AQ473" s="31">
        <f t="shared" si="345"/>
        <v>588.55143388610554</v>
      </c>
      <c r="AR473" s="31">
        <f t="shared" si="346"/>
        <v>1.5690972391305491</v>
      </c>
      <c r="AS473" s="58" t="str">
        <f t="shared" si="347"/>
        <v>-0.0389248151237701+0.277205697012023i</v>
      </c>
      <c r="AT473" s="49">
        <f t="shared" si="348"/>
        <v>-11.059158832015289</v>
      </c>
      <c r="AU473" s="61">
        <f t="shared" si="349"/>
        <v>97.993127795793967</v>
      </c>
      <c r="AV473" s="58" t="str">
        <f t="shared" si="326"/>
        <v>-0.0000486849131177824-0.000212068753797588i</v>
      </c>
      <c r="AW473" s="64">
        <f t="shared" si="350"/>
        <v>-73.247407661642171</v>
      </c>
      <c r="AX473" s="61">
        <f t="shared" si="351"/>
        <v>-102.92943720828771</v>
      </c>
    </row>
    <row r="474" spans="14:50" x14ac:dyDescent="0.25">
      <c r="N474" s="10">
        <v>56</v>
      </c>
      <c r="O474" s="50">
        <f t="shared" si="316"/>
        <v>363078.05477010203</v>
      </c>
      <c r="P474" s="48" t="str">
        <f t="shared" si="317"/>
        <v>304.285714285714</v>
      </c>
      <c r="Q474" s="17" t="str">
        <f t="shared" si="318"/>
        <v>1+118789.85740266i</v>
      </c>
      <c r="R474" s="17">
        <f t="shared" si="327"/>
        <v>118789.85740686912</v>
      </c>
      <c r="S474" s="17">
        <f t="shared" si="328"/>
        <v>1.5707879085677698</v>
      </c>
      <c r="T474" s="17" t="str">
        <f t="shared" si="319"/>
        <v>1+2.46378963501812i</v>
      </c>
      <c r="U474" s="17">
        <f t="shared" si="329"/>
        <v>2.658995931855241</v>
      </c>
      <c r="V474" s="17">
        <f t="shared" si="330"/>
        <v>1.1852323077680578</v>
      </c>
      <c r="W474" s="31" t="str">
        <f t="shared" si="320"/>
        <v>1-7.69934260943163i</v>
      </c>
      <c r="X474" s="17">
        <f t="shared" si="331"/>
        <v>7.7640116317152348</v>
      </c>
      <c r="Y474" s="17">
        <f t="shared" si="332"/>
        <v>-1.4416381319435885</v>
      </c>
      <c r="Z474" s="31" t="str">
        <f t="shared" si="321"/>
        <v>-7.27715885380795+67.9193591911451i</v>
      </c>
      <c r="AA474" s="17">
        <f t="shared" si="333"/>
        <v>68.308099036053875</v>
      </c>
      <c r="AB474" s="17">
        <f t="shared" si="334"/>
        <v>1.677533231699075</v>
      </c>
      <c r="AC474" s="66" t="str">
        <f t="shared" si="335"/>
        <v>-0.000723680756498825+0.000274988170381699i</v>
      </c>
      <c r="AD474" s="64">
        <f t="shared" si="336"/>
        <v>-62.223322935151813</v>
      </c>
      <c r="AE474" s="61">
        <f t="shared" si="337"/>
        <v>159.19393659175535</v>
      </c>
      <c r="AF474" s="31" t="str">
        <f t="shared" si="322"/>
        <v>-1512.12121212121</v>
      </c>
      <c r="AG474" s="31" t="str">
        <f t="shared" si="338"/>
        <v>2281286.69909085i</v>
      </c>
      <c r="AH474" s="31">
        <f t="shared" si="339"/>
        <v>2281286.6990908501</v>
      </c>
      <c r="AI474" s="31">
        <f t="shared" si="340"/>
        <v>1.5707963267948966</v>
      </c>
      <c r="AJ474" s="31" t="str">
        <f t="shared" si="323"/>
        <v>-22623.4561874651+3144.22217489585i</v>
      </c>
      <c r="AK474" s="31">
        <f t="shared" si="341"/>
        <v>22840.904162297509</v>
      </c>
      <c r="AL474" s="31">
        <f t="shared" si="342"/>
        <v>3.0034966269681695</v>
      </c>
      <c r="AM474" s="31" t="str">
        <f t="shared" si="324"/>
        <v>1+15658.7519025596i</v>
      </c>
      <c r="AN474" s="31">
        <f t="shared" si="343"/>
        <v>15658.751934490623</v>
      </c>
      <c r="AO474" s="31">
        <f t="shared" si="344"/>
        <v>1.570732464744788</v>
      </c>
      <c r="AP474" s="31" t="str">
        <f t="shared" si="325"/>
        <v>1+602.259688559984i</v>
      </c>
      <c r="AQ474" s="31">
        <f t="shared" si="345"/>
        <v>602.26051876606437</v>
      </c>
      <c r="AR474" s="31">
        <f t="shared" si="346"/>
        <v>1.5691359150157158</v>
      </c>
      <c r="AS474" s="58" t="str">
        <f t="shared" si="347"/>
        <v>-0.0372059550204059+0.271134050298207i</v>
      </c>
      <c r="AT474" s="49">
        <f t="shared" si="348"/>
        <v>-11.255300323808559</v>
      </c>
      <c r="AU474" s="61">
        <f t="shared" si="349"/>
        <v>97.813525879802171</v>
      </c>
      <c r="AV474" s="58" t="str">
        <f t="shared" si="326"/>
        <v>-0.0000476334227442549-0.000206445692130762i</v>
      </c>
      <c r="AW474" s="64">
        <f t="shared" si="350"/>
        <v>-73.478623258960383</v>
      </c>
      <c r="AX474" s="61">
        <f t="shared" si="351"/>
        <v>-102.9925375284425</v>
      </c>
    </row>
    <row r="475" spans="14:50" x14ac:dyDescent="0.25">
      <c r="N475" s="10">
        <v>57</v>
      </c>
      <c r="O475" s="50">
        <f t="shared" si="316"/>
        <v>371535.2290971732</v>
      </c>
      <c r="P475" s="48" t="str">
        <f t="shared" si="317"/>
        <v>304.285714285714</v>
      </c>
      <c r="Q475" s="17" t="str">
        <f t="shared" si="318"/>
        <v>1+121556.828634172i</v>
      </c>
      <c r="R475" s="17">
        <f t="shared" si="327"/>
        <v>121556.8286382853</v>
      </c>
      <c r="S475" s="17">
        <f t="shared" si="328"/>
        <v>1.5707881001900139</v>
      </c>
      <c r="T475" s="17" t="str">
        <f t="shared" si="319"/>
        <v>1+2.521178667968i</v>
      </c>
      <c r="U475" s="17">
        <f t="shared" si="329"/>
        <v>2.7122577082233357</v>
      </c>
      <c r="V475" s="17">
        <f t="shared" si="330"/>
        <v>1.193189958343964</v>
      </c>
      <c r="W475" s="31" t="str">
        <f t="shared" si="320"/>
        <v>1-7.8786833374i</v>
      </c>
      <c r="X475" s="17">
        <f t="shared" si="331"/>
        <v>7.9418921631450274</v>
      </c>
      <c r="Y475" s="17">
        <f t="shared" si="332"/>
        <v>-1.4445466340149127</v>
      </c>
      <c r="Z475" s="31" t="str">
        <f t="shared" si="321"/>
        <v>-7.66724933257456+69.5014043004982i</v>
      </c>
      <c r="AA475" s="17">
        <f t="shared" si="333"/>
        <v>69.923042783256903</v>
      </c>
      <c r="AB475" s="17">
        <f t="shared" si="334"/>
        <v>1.6806699472651867</v>
      </c>
      <c r="AC475" s="66" t="str">
        <f t="shared" si="335"/>
        <v>-0.000721380922970973+0.000272536778995674i</v>
      </c>
      <c r="AD475" s="64">
        <f t="shared" si="336"/>
        <v>-62.25726357015408</v>
      </c>
      <c r="AE475" s="61">
        <f t="shared" si="337"/>
        <v>159.30349994858574</v>
      </c>
      <c r="AF475" s="31" t="str">
        <f t="shared" si="322"/>
        <v>-1512.12121212121</v>
      </c>
      <c r="AG475" s="31" t="str">
        <f t="shared" si="338"/>
        <v>2334424.69256296i</v>
      </c>
      <c r="AH475" s="31">
        <f t="shared" si="339"/>
        <v>2334424.6925629601</v>
      </c>
      <c r="AI475" s="31">
        <f t="shared" si="340"/>
        <v>1.5707963267948966</v>
      </c>
      <c r="AJ475" s="31" t="str">
        <f t="shared" si="323"/>
        <v>-23689.7139580215+3217.46051774467i</v>
      </c>
      <c r="AK475" s="31">
        <f t="shared" si="341"/>
        <v>23907.208109608375</v>
      </c>
      <c r="AL475" s="31">
        <f t="shared" si="342"/>
        <v>3.0066018583096819</v>
      </c>
      <c r="AM475" s="31" t="str">
        <f t="shared" si="324"/>
        <v>1+16023.4910897521i</v>
      </c>
      <c r="AN475" s="31">
        <f t="shared" si="343"/>
        <v>16023.491120956287</v>
      </c>
      <c r="AO475" s="31">
        <f t="shared" si="344"/>
        <v>1.57073391842252</v>
      </c>
      <c r="AP475" s="31" t="str">
        <f t="shared" si="325"/>
        <v>1+616.288118836621i</v>
      </c>
      <c r="AQ475" s="31">
        <f t="shared" si="345"/>
        <v>616.28893014492894</v>
      </c>
      <c r="AR475" s="31">
        <f t="shared" si="346"/>
        <v>1.5691737105350543</v>
      </c>
      <c r="AS475" s="58" t="str">
        <f t="shared" si="347"/>
        <v>-0.035561601170675+0.265185090824553i</v>
      </c>
      <c r="AT475" s="49">
        <f t="shared" si="348"/>
        <v>-11.451612273268438</v>
      </c>
      <c r="AU475" s="61">
        <f t="shared" si="349"/>
        <v>97.637858042863158</v>
      </c>
      <c r="AV475" s="58" t="str">
        <f t="shared" si="326"/>
        <v>-0.0000466192298161718-0.000200991309816142i</v>
      </c>
      <c r="AW475" s="64">
        <f t="shared" si="350"/>
        <v>-73.708875843422518</v>
      </c>
      <c r="AX475" s="61">
        <f t="shared" si="351"/>
        <v>-103.05864200855112</v>
      </c>
    </row>
    <row r="476" spans="14:50" x14ac:dyDescent="0.25">
      <c r="N476" s="10">
        <v>58</v>
      </c>
      <c r="O476" s="50">
        <f t="shared" si="316"/>
        <v>380189.39632056188</v>
      </c>
      <c r="P476" s="48" t="str">
        <f t="shared" si="317"/>
        <v>304.285714285714</v>
      </c>
      <c r="Q476" s="17" t="str">
        <f t="shared" si="318"/>
        <v>1+124388.25090522i</v>
      </c>
      <c r="R476" s="17">
        <f t="shared" si="327"/>
        <v>124388.25090923966</v>
      </c>
      <c r="S476" s="17">
        <f t="shared" si="328"/>
        <v>1.5707882874504031</v>
      </c>
      <c r="T476" s="17" t="str">
        <f t="shared" si="319"/>
        <v>1+2.57990446321938i</v>
      </c>
      <c r="U476" s="17">
        <f t="shared" si="329"/>
        <v>2.7669309784198228</v>
      </c>
      <c r="V476" s="17">
        <f t="shared" si="330"/>
        <v>1.2010153135708386</v>
      </c>
      <c r="W476" s="31" t="str">
        <f t="shared" si="320"/>
        <v>1-8.06220144756056i</v>
      </c>
      <c r="X476" s="17">
        <f t="shared" si="331"/>
        <v>8.1239825320496344</v>
      </c>
      <c r="Y476" s="17">
        <f t="shared" si="332"/>
        <v>-1.4473910070127587</v>
      </c>
      <c r="Z476" s="31" t="str">
        <f t="shared" si="321"/>
        <v>-8.07572420921393+71.1202999743713i</v>
      </c>
      <c r="AA476" s="17">
        <f t="shared" si="333"/>
        <v>71.577331536931752</v>
      </c>
      <c r="AB476" s="17">
        <f t="shared" si="334"/>
        <v>1.6838622413244635</v>
      </c>
      <c r="AC476" s="66" t="str">
        <f t="shared" si="335"/>
        <v>-0.000719141735335135+0.000270222042360138i</v>
      </c>
      <c r="AD476" s="64">
        <f t="shared" si="336"/>
        <v>-62.29011988859434</v>
      </c>
      <c r="AE476" s="61">
        <f t="shared" si="337"/>
        <v>159.40597350234739</v>
      </c>
      <c r="AF476" s="31" t="str">
        <f t="shared" si="322"/>
        <v>-1512.12121212121</v>
      </c>
      <c r="AG476" s="31" t="str">
        <f t="shared" si="338"/>
        <v>2388800.42890683i</v>
      </c>
      <c r="AH476" s="31">
        <f t="shared" si="339"/>
        <v>2388800.42890683</v>
      </c>
      <c r="AI476" s="31">
        <f t="shared" si="340"/>
        <v>1.5707963267948966</v>
      </c>
      <c r="AJ476" s="31" t="str">
        <f t="shared" si="323"/>
        <v>-24806.2229091522+3292.40480074813i</v>
      </c>
      <c r="AK476" s="31">
        <f t="shared" si="341"/>
        <v>25023.761195922099</v>
      </c>
      <c r="AL476" s="31">
        <f t="shared" si="342"/>
        <v>3.0096389212405952</v>
      </c>
      <c r="AM476" s="31" t="str">
        <f t="shared" si="324"/>
        <v>1+16396.7261440164i</v>
      </c>
      <c r="AN476" s="31">
        <f t="shared" si="343"/>
        <v>16396.726174510291</v>
      </c>
      <c r="AO476" s="31">
        <f t="shared" si="344"/>
        <v>1.5707353390105074</v>
      </c>
      <c r="AP476" s="31" t="str">
        <f t="shared" si="325"/>
        <v>1+630.643313231403i</v>
      </c>
      <c r="AQ476" s="31">
        <f t="shared" si="345"/>
        <v>630.64410607210266</v>
      </c>
      <c r="AR476" s="31">
        <f t="shared" si="346"/>
        <v>1.5692106457278165</v>
      </c>
      <c r="AS476" s="58" t="str">
        <f t="shared" si="347"/>
        <v>-0.0339886448192033+0.259357020610322i</v>
      </c>
      <c r="AT476" s="49">
        <f t="shared" si="348"/>
        <v>-11.648087285465845</v>
      </c>
      <c r="AU476" s="61">
        <f t="shared" si="349"/>
        <v>97.466044779163099</v>
      </c>
      <c r="AV476" s="58" t="str">
        <f t="shared" si="326"/>
        <v>-0.0000456413307927902-0.000195698938893156i</v>
      </c>
      <c r="AW476" s="64">
        <f t="shared" si="350"/>
        <v>-73.938207174060182</v>
      </c>
      <c r="AX476" s="61">
        <f t="shared" si="351"/>
        <v>-103.12798171848948</v>
      </c>
    </row>
    <row r="477" spans="14:50" x14ac:dyDescent="0.25">
      <c r="N477" s="10">
        <v>59</v>
      </c>
      <c r="O477" s="50">
        <f t="shared" si="316"/>
        <v>389045.14499428123</v>
      </c>
      <c r="P477" s="48" t="str">
        <f t="shared" si="317"/>
        <v>304.285714285714</v>
      </c>
      <c r="Q477" s="17" t="str">
        <f t="shared" si="318"/>
        <v>1+127285.625473372i</v>
      </c>
      <c r="R477" s="17">
        <f t="shared" si="327"/>
        <v>127285.62547730017</v>
      </c>
      <c r="S477" s="17">
        <f t="shared" si="328"/>
        <v>1.5707884704482253</v>
      </c>
      <c r="T477" s="17" t="str">
        <f t="shared" si="319"/>
        <v>1+2.63999815796623i</v>
      </c>
      <c r="U477" s="17">
        <f t="shared" si="329"/>
        <v>2.8230462755798191</v>
      </c>
      <c r="V477" s="17">
        <f t="shared" si="330"/>
        <v>1.2087086879685023</v>
      </c>
      <c r="W477" s="31" t="str">
        <f t="shared" si="320"/>
        <v>1-8.24999424364448i</v>
      </c>
      <c r="X477" s="17">
        <f t="shared" si="331"/>
        <v>8.3103793547687737</v>
      </c>
      <c r="Y477" s="17">
        <f t="shared" si="332"/>
        <v>-1.4501725748647925</v>
      </c>
      <c r="Z477" s="31" t="str">
        <f t="shared" si="321"/>
        <v>-8.50344991370458+72.7769045726792i</v>
      </c>
      <c r="AA477" s="17">
        <f t="shared" si="333"/>
        <v>73.272003518504519</v>
      </c>
      <c r="AB477" s="17">
        <f t="shared" si="334"/>
        <v>1.6871116181047354</v>
      </c>
      <c r="AC477" s="66" t="str">
        <f t="shared" si="335"/>
        <v>-0.000716958545860037+0.000268042512594763i</v>
      </c>
      <c r="AD477" s="64">
        <f t="shared" si="336"/>
        <v>-62.321940364284814</v>
      </c>
      <c r="AE477" s="61">
        <f t="shared" si="337"/>
        <v>159.50121322663645</v>
      </c>
      <c r="AF477" s="31" t="str">
        <f t="shared" si="322"/>
        <v>-1512.12121212121</v>
      </c>
      <c r="AG477" s="31" t="str">
        <f t="shared" si="338"/>
        <v>2444442.73885762i</v>
      </c>
      <c r="AH477" s="31">
        <f t="shared" si="339"/>
        <v>2444442.7388576199</v>
      </c>
      <c r="AI477" s="31">
        <f t="shared" si="340"/>
        <v>1.5707963267948966</v>
      </c>
      <c r="AJ477" s="31" t="str">
        <f t="shared" si="323"/>
        <v>-25975.3513060355+3369.09476035708i</v>
      </c>
      <c r="AK477" s="31">
        <f t="shared" si="341"/>
        <v>26192.931775122572</v>
      </c>
      <c r="AL477" s="31">
        <f t="shared" si="342"/>
        <v>3.0126092033954235</v>
      </c>
      <c r="AM477" s="31" t="str">
        <f t="shared" si="324"/>
        <v>1+16778.6549595187i</v>
      </c>
      <c r="AN477" s="31">
        <f t="shared" si="343"/>
        <v>16778.654989318467</v>
      </c>
      <c r="AO477" s="31">
        <f t="shared" si="344"/>
        <v>1.5707367272619646</v>
      </c>
      <c r="AP477" s="31" t="str">
        <f t="shared" si="325"/>
        <v>1+645.332883058411i</v>
      </c>
      <c r="AQ477" s="31">
        <f t="shared" si="345"/>
        <v>645.33365785187493</v>
      </c>
      <c r="AR477" s="31">
        <f t="shared" si="346"/>
        <v>1.5692467401771275</v>
      </c>
      <c r="AS477" s="58" t="str">
        <f t="shared" si="347"/>
        <v>-0.0324840964459215+0.253648020559498i</v>
      </c>
      <c r="AT477" s="49">
        <f t="shared" si="348"/>
        <v>-11.844718274561979</v>
      </c>
      <c r="AU477" s="61">
        <f t="shared" si="349"/>
        <v>97.298007748287162</v>
      </c>
      <c r="AV477" s="58" t="str">
        <f t="shared" si="326"/>
        <v>-0.0000446987021940109-0.00019056223481135i</v>
      </c>
      <c r="AW477" s="64">
        <f t="shared" si="350"/>
        <v>-74.166658638846783</v>
      </c>
      <c r="AX477" s="61">
        <f t="shared" si="351"/>
        <v>-103.20077902507639</v>
      </c>
    </row>
    <row r="478" spans="14:50" x14ac:dyDescent="0.25">
      <c r="N478" s="10">
        <v>60</v>
      </c>
      <c r="O478" s="50">
        <f t="shared" si="316"/>
        <v>398107.17055349716</v>
      </c>
      <c r="P478" s="48" t="str">
        <f t="shared" si="317"/>
        <v>304.285714285714</v>
      </c>
      <c r="Q478" s="17" t="str">
        <f t="shared" si="318"/>
        <v>1+130250.488564974i</v>
      </c>
      <c r="R478" s="17">
        <f t="shared" si="327"/>
        <v>130250.48856881274</v>
      </c>
      <c r="S478" s="17">
        <f t="shared" si="328"/>
        <v>1.5707886492805088</v>
      </c>
      <c r="T478" s="17" t="str">
        <f t="shared" si="319"/>
        <v>1+2.70149161468094i</v>
      </c>
      <c r="U478" s="17">
        <f t="shared" si="329"/>
        <v>2.8806348161805295</v>
      </c>
      <c r="V478" s="17">
        <f t="shared" si="330"/>
        <v>1.2162705168076415</v>
      </c>
      <c r="W478" s="31" t="str">
        <f t="shared" si="320"/>
        <v>1-8.44216129587793i</v>
      </c>
      <c r="X478" s="17">
        <f t="shared" si="331"/>
        <v>8.5011815264479171</v>
      </c>
      <c r="Y478" s="17">
        <f t="shared" si="332"/>
        <v>-1.4528926401322728</v>
      </c>
      <c r="Z478" s="31" t="str">
        <f t="shared" si="321"/>
        <v>-8.95133370961188+74.4720964491077i</v>
      </c>
      <c r="AA478" s="17">
        <f t="shared" si="333"/>
        <v>75.008129724090807</v>
      </c>
      <c r="AB478" s="17">
        <f t="shared" si="334"/>
        <v>1.6904195991146327</v>
      </c>
      <c r="AC478" s="66" t="str">
        <f t="shared" si="335"/>
        <v>-0.000714826834274959+0.000265996777365522i</v>
      </c>
      <c r="AD478" s="64">
        <f t="shared" si="336"/>
        <v>-62.352772783100079</v>
      </c>
      <c r="AE478" s="61">
        <f t="shared" si="337"/>
        <v>159.58908224778108</v>
      </c>
      <c r="AF478" s="31" t="str">
        <f t="shared" si="322"/>
        <v>-1512.12121212121</v>
      </c>
      <c r="AG478" s="31" t="str">
        <f t="shared" si="338"/>
        <v>2501381.12470457i</v>
      </c>
      <c r="AH478" s="31">
        <f t="shared" si="339"/>
        <v>2501381.12470457</v>
      </c>
      <c r="AI478" s="31">
        <f t="shared" si="340"/>
        <v>1.5707963267948966</v>
      </c>
      <c r="AJ478" s="31" t="str">
        <f t="shared" si="323"/>
        <v>-27199.579026749+3447.5710586032i</v>
      </c>
      <c r="AK478" s="31">
        <f t="shared" si="341"/>
        <v>27417.199810273891</v>
      </c>
      <c r="AL478" s="31">
        <f t="shared" si="342"/>
        <v>3.0155140713661752</v>
      </c>
      <c r="AM478" s="31" t="str">
        <f t="shared" si="324"/>
        <v>1+17169.4800399721i</v>
      </c>
      <c r="AN478" s="31">
        <f t="shared" si="343"/>
        <v>17169.480069093537</v>
      </c>
      <c r="AO478" s="31">
        <f t="shared" si="344"/>
        <v>1.5707380839129608</v>
      </c>
      <c r="AP478" s="31" t="str">
        <f t="shared" si="325"/>
        <v>1+660.364616922006i</v>
      </c>
      <c r="AQ478" s="31">
        <f t="shared" si="345"/>
        <v>660.36537407903791</v>
      </c>
      <c r="AR478" s="31">
        <f t="shared" si="346"/>
        <v>1.5692820130203657</v>
      </c>
      <c r="AS478" s="58" t="str">
        <f t="shared" si="347"/>
        <v>-0.0310450821143404+0.248056254627975i</v>
      </c>
      <c r="AT478" s="49">
        <f t="shared" si="348"/>
        <v>-12.041498451906367</v>
      </c>
      <c r="AU478" s="61">
        <f t="shared" si="349"/>
        <v>97.133669788945681</v>
      </c>
      <c r="AV478" s="58" t="str">
        <f t="shared" si="326"/>
        <v>-0.0000437903065688026-0.000185575159013281i</v>
      </c>
      <c r="AW478" s="64">
        <f t="shared" si="350"/>
        <v>-74.394271235006443</v>
      </c>
      <c r="AX478" s="61">
        <f t="shared" si="351"/>
        <v>-103.27724796327323</v>
      </c>
    </row>
    <row r="479" spans="14:50" x14ac:dyDescent="0.25">
      <c r="N479" s="10">
        <v>61</v>
      </c>
      <c r="O479" s="50">
        <f t="shared" si="316"/>
        <v>407380.27780411334</v>
      </c>
      <c r="P479" s="48" t="str">
        <f t="shared" si="317"/>
        <v>304.285714285714</v>
      </c>
      <c r="Q479" s="17" t="str">
        <f t="shared" si="318"/>
        <v>1+133284.412189683i</v>
      </c>
      <c r="R479" s="17">
        <f t="shared" si="327"/>
        <v>133284.41219343437</v>
      </c>
      <c r="S479" s="17">
        <f t="shared" si="328"/>
        <v>1.5707888240420724</v>
      </c>
      <c r="T479" s="17" t="str">
        <f t="shared" si="319"/>
        <v>1+2.76441743800822i</v>
      </c>
      <c r="U479" s="17">
        <f t="shared" si="329"/>
        <v>2.9397285200446537</v>
      </c>
      <c r="V479" s="17">
        <f t="shared" si="330"/>
        <v>1.2237013493133777</v>
      </c>
      <c r="W479" s="31" t="str">
        <f t="shared" si="320"/>
        <v>1-8.63880449377571i</v>
      </c>
      <c r="X479" s="17">
        <f t="shared" si="331"/>
        <v>8.6964902737644341</v>
      </c>
      <c r="Y479" s="17">
        <f t="shared" si="332"/>
        <v>-1.4555524839425031</v>
      </c>
      <c r="Z479" s="31" t="str">
        <f t="shared" si="321"/>
        <v>-9.4203256185159+76.2067744168284i</v>
      </c>
      <c r="AA479" s="17">
        <f t="shared" si="333"/>
        <v>76.786815286064822</v>
      </c>
      <c r="AB479" s="17">
        <f t="shared" si="334"/>
        <v>1.693787723072123</v>
      </c>
      <c r="AC479" s="66" t="str">
        <f t="shared" si="335"/>
        <v>-0.000712742199046892+0.000264083458187339i</v>
      </c>
      <c r="AD479" s="64">
        <f t="shared" si="336"/>
        <v>-62.382664239242402</v>
      </c>
      <c r="AE479" s="61">
        <f t="shared" si="337"/>
        <v>159.66945046339717</v>
      </c>
      <c r="AF479" s="31" t="str">
        <f t="shared" si="322"/>
        <v>-1512.12121212121</v>
      </c>
      <c r="AG479" s="31" t="str">
        <f t="shared" si="338"/>
        <v>2559645.77593354i</v>
      </c>
      <c r="AH479" s="31">
        <f t="shared" si="339"/>
        <v>2559645.77593354</v>
      </c>
      <c r="AI479" s="31">
        <f t="shared" si="340"/>
        <v>1.5707963267948966</v>
      </c>
      <c r="AJ479" s="31" t="str">
        <f t="shared" si="323"/>
        <v>-28481.5028224234+3527.8753046586i</v>
      </c>
      <c r="AK479" s="31">
        <f t="shared" si="341"/>
        <v>28699.162133918337</v>
      </c>
      <c r="AL479" s="31">
        <f t="shared" si="342"/>
        <v>3.0183548705206427</v>
      </c>
      <c r="AM479" s="31" t="str">
        <f t="shared" si="324"/>
        <v>1+17569.4086060078i</v>
      </c>
      <c r="AN479" s="31">
        <f t="shared" si="343"/>
        <v>17569.408634466356</v>
      </c>
      <c r="AO479" s="31">
        <f t="shared" si="344"/>
        <v>1.5707394096828102</v>
      </c>
      <c r="AP479" s="31" t="str">
        <f t="shared" si="325"/>
        <v>1+675.746484846454i</v>
      </c>
      <c r="AQ479" s="31">
        <f t="shared" si="345"/>
        <v>675.74722476850684</v>
      </c>
      <c r="AR479" s="31">
        <f t="shared" si="346"/>
        <v>1.569316482959308</v>
      </c>
      <c r="AS479" s="58" t="str">
        <f t="shared" si="347"/>
        <v>-0.029668839846334+0.242579873696586i</v>
      </c>
      <c r="AT479" s="49">
        <f t="shared" si="348"/>
        <v>-12.238421314502787</v>
      </c>
      <c r="AU479" s="61">
        <f t="shared" si="349"/>
        <v>96.972954929988816</v>
      </c>
      <c r="AV479" s="58" t="str">
        <f t="shared" si="326"/>
        <v>-0.0000429150977771962-0.000180731962450048i</v>
      </c>
      <c r="AW479" s="64">
        <f t="shared" si="350"/>
        <v>-74.621085553745203</v>
      </c>
      <c r="AX479" s="61">
        <f t="shared" si="351"/>
        <v>-103.35759460661401</v>
      </c>
    </row>
    <row r="480" spans="14:50" x14ac:dyDescent="0.25">
      <c r="N480" s="10">
        <v>62</v>
      </c>
      <c r="O480" s="50">
        <f t="shared" si="316"/>
        <v>416869.38347033598</v>
      </c>
      <c r="P480" s="48" t="str">
        <f t="shared" si="317"/>
        <v>304.285714285714</v>
      </c>
      <c r="Q480" s="17" t="str">
        <f t="shared" si="318"/>
        <v>1+136389.004973962i</v>
      </c>
      <c r="R480" s="17">
        <f t="shared" si="327"/>
        <v>136389.00497762801</v>
      </c>
      <c r="S480" s="17">
        <f t="shared" si="328"/>
        <v>1.5707889948255771</v>
      </c>
      <c r="T480" s="17" t="str">
        <f t="shared" si="319"/>
        <v>1+2.82880899205254i</v>
      </c>
      <c r="U480" s="17">
        <f t="shared" si="329"/>
        <v>3.0003600306492064</v>
      </c>
      <c r="V480" s="17">
        <f t="shared" si="330"/>
        <v>1.2310018419501063</v>
      </c>
      <c r="W480" s="31" t="str">
        <f t="shared" si="320"/>
        <v>1-8.84002810016418i</v>
      </c>
      <c r="X480" s="17">
        <f t="shared" si="331"/>
        <v>8.8964092088714271</v>
      </c>
      <c r="Y480" s="17">
        <f t="shared" si="332"/>
        <v>-1.4581533659564747</v>
      </c>
      <c r="Z480" s="31" t="str">
        <f t="shared" si="321"/>
        <v>-9.9114204351342+77.9818582250609i</v>
      </c>
      <c r="AA480" s="17">
        <f t="shared" si="333"/>
        <v>78.609200907244286</v>
      </c>
      <c r="AB480" s="17">
        <f t="shared" si="334"/>
        <v>1.6972175457857515</v>
      </c>
      <c r="AC480" s="66" t="str">
        <f t="shared" si="335"/>
        <v>-0.000710700348980177+0.000262301208600016i</v>
      </c>
      <c r="AD480" s="64">
        <f t="shared" si="336"/>
        <v>-62.411661135377756</v>
      </c>
      <c r="AE480" s="61">
        <f t="shared" si="337"/>
        <v>159.7421941662929</v>
      </c>
      <c r="AF480" s="31" t="str">
        <f t="shared" si="322"/>
        <v>-1512.12121212121</v>
      </c>
      <c r="AG480" s="31" t="str">
        <f t="shared" si="338"/>
        <v>2619267.58523383i</v>
      </c>
      <c r="AH480" s="31">
        <f t="shared" si="339"/>
        <v>2619267.5852338299</v>
      </c>
      <c r="AI480" s="31">
        <f t="shared" si="340"/>
        <v>1.5707963267948966</v>
      </c>
      <c r="AJ480" s="31" t="str">
        <f t="shared" si="323"/>
        <v>-29823.8418253+3610.05007689747i</v>
      </c>
      <c r="AK480" s="31">
        <f t="shared" si="341"/>
        <v>30041.537956273496</v>
      </c>
      <c r="AL480" s="31">
        <f t="shared" si="342"/>
        <v>3.0211329248644176</v>
      </c>
      <c r="AM480" s="31" t="str">
        <f t="shared" si="324"/>
        <v>1+17978.652705045i</v>
      </c>
      <c r="AN480" s="31">
        <f t="shared" si="343"/>
        <v>17978.652732855757</v>
      </c>
      <c r="AO480" s="31">
        <f t="shared" si="344"/>
        <v>1.5707407052744538</v>
      </c>
      <c r="AP480" s="31" t="str">
        <f t="shared" si="325"/>
        <v>1+691.486642501731i</v>
      </c>
      <c r="AQ480" s="31">
        <f t="shared" si="345"/>
        <v>691.48736558111943</v>
      </c>
      <c r="AR480" s="31">
        <f t="shared" si="346"/>
        <v>1.5693501682700448</v>
      </c>
      <c r="AS480" s="58" t="str">
        <f t="shared" si="347"/>
        <v>-0.0283527160327639+0.237217019165222i</v>
      </c>
      <c r="AT480" s="49">
        <f t="shared" si="348"/>
        <v>-12.435480633841799</v>
      </c>
      <c r="AU480" s="61">
        <f t="shared" si="349"/>
        <v>96.81578839890247</v>
      </c>
      <c r="AV480" s="58" t="str">
        <f t="shared" si="326"/>
        <v>-0.0000420720256485097-0.000176027169987248i</v>
      </c>
      <c r="AW480" s="64">
        <f t="shared" si="350"/>
        <v>-74.847141769219533</v>
      </c>
      <c r="AX480" s="61">
        <f t="shared" si="351"/>
        <v>-103.4420174348046</v>
      </c>
    </row>
    <row r="481" spans="14:50" x14ac:dyDescent="0.25">
      <c r="N481" s="10">
        <v>63</v>
      </c>
      <c r="O481" s="50">
        <f t="shared" si="316"/>
        <v>426579.51880159322</v>
      </c>
      <c r="P481" s="48" t="str">
        <f t="shared" si="317"/>
        <v>304.285714285714</v>
      </c>
      <c r="Q481" s="17" t="str">
        <f t="shared" si="318"/>
        <v>1+139565.913014i</v>
      </c>
      <c r="R481" s="17">
        <f t="shared" si="327"/>
        <v>139565.91301758256</v>
      </c>
      <c r="S481" s="17">
        <f t="shared" si="328"/>
        <v>1.5707891617215748</v>
      </c>
      <c r="T481" s="17" t="str">
        <f t="shared" si="319"/>
        <v>1+2.89470041806814i</v>
      </c>
      <c r="U481" s="17">
        <f t="shared" si="329"/>
        <v>3.0625627357433611</v>
      </c>
      <c r="V481" s="17">
        <f t="shared" si="330"/>
        <v>1.2381727518112926</v>
      </c>
      <c r="W481" s="31" t="str">
        <f t="shared" si="320"/>
        <v>1-9.04593880646296i</v>
      </c>
      <c r="X481" s="17">
        <f t="shared" si="331"/>
        <v>9.1010443845897449</v>
      </c>
      <c r="Y481" s="17">
        <f t="shared" si="332"/>
        <v>-1.4606965243690149</v>
      </c>
      <c r="Z481" s="31" t="str">
        <f t="shared" si="321"/>
        <v>-10.4256598374149+79.7982890467361i</v>
      </c>
      <c r="AA481" s="17">
        <f t="shared" si="333"/>
        <v>80.476464372087875</v>
      </c>
      <c r="AB481" s="17">
        <f t="shared" si="334"/>
        <v>1.7007106399852046</v>
      </c>
      <c r="AC481" s="66" t="str">
        <f t="shared" si="335"/>
        <v>-0.000708697095127159+0.000260648712214856i</v>
      </c>
      <c r="AD481" s="64">
        <f t="shared" si="336"/>
        <v>-62.439809186453992</v>
      </c>
      <c r="AE481" s="61">
        <f t="shared" si="337"/>
        <v>159.80719567542934</v>
      </c>
      <c r="AF481" s="31" t="str">
        <f t="shared" si="322"/>
        <v>-1512.12121212121</v>
      </c>
      <c r="AG481" s="31" t="str">
        <f t="shared" si="338"/>
        <v>2680278.16487791i</v>
      </c>
      <c r="AH481" s="31">
        <f t="shared" si="339"/>
        <v>2680278.1648779102</v>
      </c>
      <c r="AI481" s="31">
        <f t="shared" si="340"/>
        <v>1.5707963267948966</v>
      </c>
      <c r="AJ481" s="31" t="str">
        <f t="shared" si="323"/>
        <v>-31229.4433163741+3694.13894547178i</v>
      </c>
      <c r="AK481" s="31">
        <f t="shared" si="341"/>
        <v>31447.174633010745</v>
      </c>
      <c r="AL481" s="31">
        <f t="shared" si="342"/>
        <v>3.0238495369434548</v>
      </c>
      <c r="AM481" s="31" t="str">
        <f t="shared" si="324"/>
        <v>1+18397.4293237219i</v>
      </c>
      <c r="AN481" s="31">
        <f t="shared" si="343"/>
        <v>18397.429350899609</v>
      </c>
      <c r="AO481" s="31">
        <f t="shared" si="344"/>
        <v>1.5707419713748312</v>
      </c>
      <c r="AP481" s="31" t="str">
        <f t="shared" si="325"/>
        <v>1+707.593435527768i</v>
      </c>
      <c r="AQ481" s="31">
        <f t="shared" si="345"/>
        <v>707.5941421478766</v>
      </c>
      <c r="AR481" s="31">
        <f t="shared" si="346"/>
        <v>1.5693830868126672</v>
      </c>
      <c r="AS481" s="58" t="str">
        <f t="shared" si="347"/>
        <v>-0.0270941618881374+0.231965826282913i</v>
      </c>
      <c r="AT481" s="49">
        <f t="shared" si="348"/>
        <v>-12.632670445094751</v>
      </c>
      <c r="AU481" s="61">
        <f t="shared" si="349"/>
        <v>96.662096627967443</v>
      </c>
      <c r="AV481" s="58" t="str">
        <f t="shared" si="326"/>
        <v>-0.0000412600400734683-0.000171455565660155i</v>
      </c>
      <c r="AW481" s="64">
        <f t="shared" si="350"/>
        <v>-75.072479631548759</v>
      </c>
      <c r="AX481" s="61">
        <f t="shared" si="351"/>
        <v>-103.53070769660323</v>
      </c>
    </row>
    <row r="482" spans="14:50" x14ac:dyDescent="0.25">
      <c r="N482" s="10">
        <v>64</v>
      </c>
      <c r="O482" s="50">
        <f t="shared" si="316"/>
        <v>436515.83224016649</v>
      </c>
      <c r="P482" s="48" t="str">
        <f t="shared" si="317"/>
        <v>304.285714285714</v>
      </c>
      <c r="Q482" s="17" t="str">
        <f t="shared" si="318"/>
        <v>1+142816.820748491i</v>
      </c>
      <c r="R482" s="17">
        <f t="shared" si="327"/>
        <v>142816.82075199197</v>
      </c>
      <c r="S482" s="17">
        <f t="shared" si="328"/>
        <v>1.5707893248185556</v>
      </c>
      <c r="T482" s="17" t="str">
        <f t="shared" si="319"/>
        <v>1+2.96212665256129i</v>
      </c>
      <c r="U482" s="17">
        <f t="shared" si="329"/>
        <v>3.1263707882805507</v>
      </c>
      <c r="V482" s="17">
        <f t="shared" si="330"/>
        <v>1.2452149301352224</v>
      </c>
      <c r="W482" s="31" t="str">
        <f t="shared" si="320"/>
        <v>1-9.25664578925405i</v>
      </c>
      <c r="X482" s="17">
        <f t="shared" si="331"/>
        <v>9.3105043508778138</v>
      </c>
      <c r="Y482" s="17">
        <f t="shared" si="332"/>
        <v>-1.4631831759388747</v>
      </c>
      <c r="Z482" s="31" t="str">
        <f t="shared" si="321"/>
        <v>-10.9641345960757+81.6570299775189i</v>
      </c>
      <c r="AA482" s="17">
        <f t="shared" si="333"/>
        <v>82.389822139571862</v>
      </c>
      <c r="AB482" s="17">
        <f t="shared" si="334"/>
        <v>1.7042685950976166</v>
      </c>
      <c r="AC482" s="66" t="str">
        <f t="shared" si="335"/>
        <v>-0.000706728342999745+0.000259124680629106i</v>
      </c>
      <c r="AD482" s="64">
        <f t="shared" si="336"/>
        <v>-62.467153427004035</v>
      </c>
      <c r="AE482" s="61">
        <f t="shared" si="337"/>
        <v>159.86434297548965</v>
      </c>
      <c r="AF482" s="31" t="str">
        <f t="shared" si="322"/>
        <v>-1512.12121212121</v>
      </c>
      <c r="AG482" s="31" t="str">
        <f t="shared" si="338"/>
        <v>2742709.86348268i</v>
      </c>
      <c r="AH482" s="31">
        <f t="shared" si="339"/>
        <v>2742709.8634826802</v>
      </c>
      <c r="AI482" s="31">
        <f t="shared" si="340"/>
        <v>1.5707963267948966</v>
      </c>
      <c r="AJ482" s="31" t="str">
        <f t="shared" si="323"/>
        <v>-32701.2887648606+3780.18649541269i</v>
      </c>
      <c r="AK482" s="31">
        <f t="shared" si="341"/>
        <v>32919.053704851525</v>
      </c>
      <c r="AL482" s="31">
        <f t="shared" si="342"/>
        <v>3.0265059877841938</v>
      </c>
      <c r="AM482" s="31" t="str">
        <f t="shared" si="324"/>
        <v>1+18825.9605029451i</v>
      </c>
      <c r="AN482" s="31">
        <f t="shared" si="343"/>
        <v>18825.960529504173</v>
      </c>
      <c r="AO482" s="31">
        <f t="shared" si="344"/>
        <v>1.5707432086552455</v>
      </c>
      <c r="AP482" s="31" t="str">
        <f t="shared" si="325"/>
        <v>1+724.075403959427i</v>
      </c>
      <c r="AQ482" s="31">
        <f t="shared" si="345"/>
        <v>724.07609449491383</v>
      </c>
      <c r="AR482" s="31">
        <f t="shared" si="346"/>
        <v>1.5694152560407373</v>
      </c>
      <c r="AS482" s="58" t="str">
        <f t="shared" si="347"/>
        <v>-0.0258907299564179+0.226824427228223i</v>
      </c>
      <c r="AT482" s="49">
        <f t="shared" si="348"/>
        <v>-12.829985036664231</v>
      </c>
      <c r="AU482" s="61">
        <f t="shared" si="349"/>
        <v>96.51180725825354</v>
      </c>
      <c r="AV482" s="58" t="str">
        <f t="shared" si="326"/>
        <v>-0.0000404780945832401-0.000167012178738079i</v>
      </c>
      <c r="AW482" s="64">
        <f t="shared" si="350"/>
        <v>-75.29713846366829</v>
      </c>
      <c r="AX482" s="61">
        <f t="shared" si="351"/>
        <v>-103.62384976625682</v>
      </c>
    </row>
    <row r="483" spans="14:50" x14ac:dyDescent="0.25">
      <c r="N483" s="10">
        <v>65</v>
      </c>
      <c r="O483" s="50">
        <f t="shared" si="316"/>
        <v>446683.59215096442</v>
      </c>
      <c r="P483" s="48" t="str">
        <f t="shared" si="317"/>
        <v>304.285714285714</v>
      </c>
      <c r="Q483" s="17" t="str">
        <f t="shared" si="318"/>
        <v>1+146143.451851748i</v>
      </c>
      <c r="R483" s="17">
        <f t="shared" si="327"/>
        <v>146143.45185516929</v>
      </c>
      <c r="S483" s="17">
        <f t="shared" si="328"/>
        <v>1.5707894842029959</v>
      </c>
      <c r="T483" s="17" t="str">
        <f t="shared" si="319"/>
        <v>1+3.03112344581403i</v>
      </c>
      <c r="U483" s="17">
        <f t="shared" si="329"/>
        <v>3.1918191276705388</v>
      </c>
      <c r="V483" s="17">
        <f t="shared" si="330"/>
        <v>1.2521293159650093</v>
      </c>
      <c r="W483" s="31" t="str">
        <f t="shared" si="320"/>
        <v>1-9.47226076816886i</v>
      </c>
      <c r="X483" s="17">
        <f t="shared" si="331"/>
        <v>9.5249002126106781</v>
      </c>
      <c r="Y483" s="17">
        <f t="shared" si="332"/>
        <v>-1.4656145160463629</v>
      </c>
      <c r="Z483" s="31" t="str">
        <f t="shared" si="321"/>
        <v>-11.5279868882744+83.5590665464549i</v>
      </c>
      <c r="AA483" s="17">
        <f t="shared" si="333"/>
        <v>84.350531022697794</v>
      </c>
      <c r="AB483" s="17">
        <f t="shared" si="334"/>
        <v>1.707893016965838</v>
      </c>
      <c r="AC483" s="66" t="str">
        <f t="shared" si="335"/>
        <v>-0.000704790085072707+0.00025772785120494i</v>
      </c>
      <c r="AD483" s="64">
        <f t="shared" si="336"/>
        <v>-62.493738221735597</v>
      </c>
      <c r="AE483" s="61">
        <f t="shared" si="337"/>
        <v>159.91352936646169</v>
      </c>
      <c r="AF483" s="31" t="str">
        <f t="shared" si="322"/>
        <v>-1512.12121212121</v>
      </c>
      <c r="AG483" s="31" t="str">
        <f t="shared" si="338"/>
        <v>2806595.78316114i</v>
      </c>
      <c r="AH483" s="31">
        <f t="shared" si="339"/>
        <v>2806595.78316114</v>
      </c>
      <c r="AI483" s="31">
        <f t="shared" si="340"/>
        <v>1.5707963267948966</v>
      </c>
      <c r="AJ483" s="31" t="str">
        <f t="shared" si="323"/>
        <v>-34242.50015229+3868.23835027015i</v>
      </c>
      <c r="AK483" s="31">
        <f t="shared" si="341"/>
        <v>34460.297221789617</v>
      </c>
      <c r="AL483" s="31">
        <f t="shared" si="342"/>
        <v>3.0291035368683894</v>
      </c>
      <c r="AM483" s="31" t="str">
        <f t="shared" si="324"/>
        <v>1+19264.473455618i</v>
      </c>
      <c r="AN483" s="31">
        <f t="shared" si="343"/>
        <v>19264.47348157251</v>
      </c>
      <c r="AO483" s="31">
        <f t="shared" si="344"/>
        <v>1.5707444177717196</v>
      </c>
      <c r="AP483" s="31" t="str">
        <f t="shared" si="325"/>
        <v>1+740.941286754541i</v>
      </c>
      <c r="AQ483" s="31">
        <f t="shared" si="345"/>
        <v>740.94196157153567</v>
      </c>
      <c r="AR483" s="31">
        <f t="shared" si="346"/>
        <v>1.5694466930105389</v>
      </c>
      <c r="AS483" s="58" t="str">
        <f t="shared" si="347"/>
        <v>-0.0247400706741419+0.221790953953769i</v>
      </c>
      <c r="AT483" s="49">
        <f t="shared" si="348"/>
        <v>-13.027418940086539</v>
      </c>
      <c r="AU483" s="61">
        <f t="shared" si="349"/>
        <v>96.364849141612254</v>
      </c>
      <c r="AV483" s="58" t="str">
        <f t="shared" si="326"/>
        <v>-0.0000397251494640654-0.000162692270558939i</v>
      </c>
      <c r="AW483" s="64">
        <f t="shared" si="350"/>
        <v>-75.521157161822117</v>
      </c>
      <c r="AX483" s="61">
        <f t="shared" si="351"/>
        <v>-103.721621491926</v>
      </c>
    </row>
    <row r="484" spans="14:50" x14ac:dyDescent="0.25">
      <c r="N484" s="10">
        <v>66</v>
      </c>
      <c r="O484" s="50">
        <f t="shared" ref="O484:O518" si="352">10^(5+(N484/100))</f>
        <v>457088.18961487547</v>
      </c>
      <c r="P484" s="48" t="str">
        <f t="shared" si="317"/>
        <v>304.285714285714</v>
      </c>
      <c r="Q484" s="17" t="str">
        <f t="shared" si="318"/>
        <v>1+149547.570147613i</v>
      </c>
      <c r="R484" s="17">
        <f t="shared" si="327"/>
        <v>149547.5701509564</v>
      </c>
      <c r="S484" s="17">
        <f t="shared" si="328"/>
        <v>1.5707896399594035</v>
      </c>
      <c r="T484" s="17" t="str">
        <f t="shared" si="319"/>
        <v>1+3.10172738083938i</v>
      </c>
      <c r="U484" s="17">
        <f t="shared" si="329"/>
        <v>3.2589435013587948</v>
      </c>
      <c r="V484" s="17">
        <f t="shared" si="330"/>
        <v>1.2589169299687064</v>
      </c>
      <c r="W484" s="31" t="str">
        <f t="shared" si="320"/>
        <v>1-9.69289806512307i</v>
      </c>
      <c r="X484" s="17">
        <f t="shared" si="331"/>
        <v>9.7443456886989868</v>
      </c>
      <c r="Y484" s="17">
        <f t="shared" si="332"/>
        <v>-1.4679917187762526</v>
      </c>
      <c r="Z484" s="31" t="str">
        <f t="shared" si="321"/>
        <v>-12.1184127203194+85.5054072385082i</v>
      </c>
      <c r="AA484" s="17">
        <f t="shared" si="333"/>
        <v>86.359889959883162</v>
      </c>
      <c r="AB484" s="17">
        <f t="shared" si="334"/>
        <v>1.7115855275047203</v>
      </c>
      <c r="AC484" s="66" t="str">
        <f t="shared" si="335"/>
        <v>-0.000702878393570644+0.000256456984709394i</v>
      </c>
      <c r="AD484" s="64">
        <f t="shared" si="336"/>
        <v>-62.519607279207733</v>
      </c>
      <c r="AE484" s="61">
        <f t="shared" si="337"/>
        <v>159.9546531244975</v>
      </c>
      <c r="AF484" s="31" t="str">
        <f t="shared" si="322"/>
        <v>-1512.12121212121</v>
      </c>
      <c r="AG484" s="31" t="str">
        <f t="shared" si="338"/>
        <v>2871969.7970735i</v>
      </c>
      <c r="AH484" s="31">
        <f t="shared" si="339"/>
        <v>2871969.7970735002</v>
      </c>
      <c r="AI484" s="31">
        <f t="shared" si="340"/>
        <v>1.5707963267948966</v>
      </c>
      <c r="AJ484" s="31" t="str">
        <f t="shared" si="323"/>
        <v>-35856.3465946479+3958.34119630311i</v>
      </c>
      <c r="AK484" s="31">
        <f t="shared" si="341"/>
        <v>36074.174365352679</v>
      </c>
      <c r="AL484" s="31">
        <f t="shared" si="342"/>
        <v>3.0316434221399704</v>
      </c>
      <c r="AM484" s="31" t="str">
        <f t="shared" si="324"/>
        <v>1+19713.2006871125i</v>
      </c>
      <c r="AN484" s="31">
        <f t="shared" si="343"/>
        <v>19713.200712476213</v>
      </c>
      <c r="AO484" s="31">
        <f t="shared" si="344"/>
        <v>1.5707455993653425</v>
      </c>
      <c r="AP484" s="31" t="str">
        <f t="shared" si="325"/>
        <v>1+758.200026427404i</v>
      </c>
      <c r="AQ484" s="31">
        <f t="shared" si="345"/>
        <v>758.20068588370214</v>
      </c>
      <c r="AR484" s="31">
        <f t="shared" si="346"/>
        <v>1.5694774143901207</v>
      </c>
      <c r="AS484" s="58" t="str">
        <f t="shared" si="347"/>
        <v>-0.0236399289961089+0.216863540808222i</v>
      </c>
      <c r="AT484" s="49">
        <f t="shared" si="348"/>
        <v>-13.224966920278799</v>
      </c>
      <c r="AU484" s="61">
        <f t="shared" si="349"/>
        <v>96.221152340821803</v>
      </c>
      <c r="AV484" s="58" t="str">
        <f t="shared" si="326"/>
        <v>-0.0000390001744521701-0.000158491322096411i</v>
      </c>
      <c r="AW484" s="64">
        <f t="shared" si="350"/>
        <v>-75.74457419948655</v>
      </c>
      <c r="AX484" s="61">
        <f t="shared" si="351"/>
        <v>-103.82419453468071</v>
      </c>
    </row>
    <row r="485" spans="14:50" x14ac:dyDescent="0.25">
      <c r="N485" s="10">
        <v>67</v>
      </c>
      <c r="O485" s="50">
        <f t="shared" si="352"/>
        <v>467735.14128719864</v>
      </c>
      <c r="P485" s="48" t="str">
        <f t="shared" si="317"/>
        <v>304.285714285714</v>
      </c>
      <c r="Q485" s="17" t="str">
        <f t="shared" si="318"/>
        <v>1+153030.980544667i</v>
      </c>
      <c r="R485" s="17">
        <f t="shared" si="327"/>
        <v>153030.9805479343</v>
      </c>
      <c r="S485" s="17">
        <f t="shared" si="328"/>
        <v>1.5707897921703622</v>
      </c>
      <c r="T485" s="17" t="str">
        <f t="shared" si="319"/>
        <v>1+3.17397589277827i</v>
      </c>
      <c r="U485" s="17">
        <f t="shared" si="329"/>
        <v>3.3277804867415179</v>
      </c>
      <c r="V485" s="17">
        <f t="shared" si="330"/>
        <v>1.2655788684330016</v>
      </c>
      <c r="W485" s="31" t="str">
        <f t="shared" si="320"/>
        <v>1-9.91867466493211i</v>
      </c>
      <c r="X485" s="17">
        <f t="shared" si="331"/>
        <v>9.9689571725815984</v>
      </c>
      <c r="Y485" s="17">
        <f t="shared" si="332"/>
        <v>-1.4703159370238494</v>
      </c>
      <c r="Z485" s="31" t="str">
        <f t="shared" si="321"/>
        <v>-12.7366644645605+87.4970840292774i</v>
      </c>
      <c r="AA485" s="17">
        <f t="shared" si="333"/>
        <v>88.419241883818657</v>
      </c>
      <c r="AB485" s="17">
        <f t="shared" si="334"/>
        <v>1.7153477642912633</v>
      </c>
      <c r="AC485" s="66" t="str">
        <f t="shared" si="335"/>
        <v>-0.000700989413531931+0.000255310862811496i</v>
      </c>
      <c r="AD485" s="64">
        <f t="shared" si="336"/>
        <v>-62.544803668390983</v>
      </c>
      <c r="AE485" s="61">
        <f t="shared" si="337"/>
        <v>159.98761717517954</v>
      </c>
      <c r="AF485" s="31" t="str">
        <f t="shared" si="322"/>
        <v>-1512.12121212121</v>
      </c>
      <c r="AG485" s="31" t="str">
        <f t="shared" si="338"/>
        <v>2938866.56738729i</v>
      </c>
      <c r="AH485" s="31">
        <f t="shared" si="339"/>
        <v>2938866.5673872898</v>
      </c>
      <c r="AI485" s="31">
        <f t="shared" si="340"/>
        <v>1.5707963267948966</v>
      </c>
      <c r="AJ485" s="31" t="str">
        <f t="shared" si="323"/>
        <v>-37546.2512766115+4050.54280723319i</v>
      </c>
      <c r="AK485" s="31">
        <f t="shared" si="341"/>
        <v>37764.108382956416</v>
      </c>
      <c r="AL485" s="31">
        <f t="shared" si="342"/>
        <v>3.0341268600414257</v>
      </c>
      <c r="AM485" s="31" t="str">
        <f t="shared" si="324"/>
        <v>1+20172.3801185463i</v>
      </c>
      <c r="AN485" s="31">
        <f t="shared" si="343"/>
        <v>20172.380143332666</v>
      </c>
      <c r="AO485" s="31">
        <f t="shared" si="344"/>
        <v>1.570746754062611</v>
      </c>
      <c r="AP485" s="31" t="str">
        <f t="shared" si="325"/>
        <v>1+775.860773790244i</v>
      </c>
      <c r="AQ485" s="31">
        <f t="shared" si="345"/>
        <v>775.86141823549656</v>
      </c>
      <c r="AR485" s="31">
        <f t="shared" si="346"/>
        <v>1.5695074364681327</v>
      </c>
      <c r="AS485" s="58" t="str">
        <f t="shared" si="347"/>
        <v>-0.0225881410880862+0.212040326948553i</v>
      </c>
      <c r="AT485" s="49">
        <f t="shared" si="348"/>
        <v>-13.422623966125336</v>
      </c>
      <c r="AU485" s="61">
        <f t="shared" si="349"/>
        <v>96.080648128027988</v>
      </c>
      <c r="AV485" s="58" t="str">
        <f t="shared" si="326"/>
        <v>-0.0000383021510499527-0.000154405022223292i</v>
      </c>
      <c r="AW485" s="64">
        <f t="shared" si="350"/>
        <v>-75.967427634516326</v>
      </c>
      <c r="AX485" s="61">
        <f t="shared" si="351"/>
        <v>-103.93173469679247</v>
      </c>
    </row>
    <row r="486" spans="14:50" x14ac:dyDescent="0.25">
      <c r="N486" s="10">
        <v>68</v>
      </c>
      <c r="O486" s="50">
        <f t="shared" si="352"/>
        <v>478630.09232263872</v>
      </c>
      <c r="P486" s="48" t="str">
        <f t="shared" si="317"/>
        <v>304.285714285714</v>
      </c>
      <c r="Q486" s="17" t="str">
        <f t="shared" si="318"/>
        <v>1+156595.52999321i</v>
      </c>
      <c r="R486" s="17">
        <f t="shared" si="327"/>
        <v>156595.52999640291</v>
      </c>
      <c r="S486" s="17">
        <f t="shared" si="328"/>
        <v>1.5707899409165766</v>
      </c>
      <c r="T486" s="17" t="str">
        <f t="shared" si="319"/>
        <v>1+3.24790728874806i</v>
      </c>
      <c r="U486" s="17">
        <f t="shared" si="329"/>
        <v>3.3983675134250522</v>
      </c>
      <c r="V486" s="17">
        <f t="shared" si="330"/>
        <v>1.2721162974416773</v>
      </c>
      <c r="W486" s="31" t="str">
        <f t="shared" si="320"/>
        <v>1-10.1497102773377i</v>
      </c>
      <c r="X486" s="17">
        <f t="shared" si="331"/>
        <v>10.198853794122874</v>
      </c>
      <c r="Y486" s="17">
        <f t="shared" si="332"/>
        <v>-1.4725883026222051</v>
      </c>
      <c r="Z486" s="31" t="str">
        <f t="shared" si="321"/>
        <v>-13.3840535158376+89.5351529321599i</v>
      </c>
      <c r="AA486" s="17">
        <f t="shared" si="333"/>
        <v>90.529975693689806</v>
      </c>
      <c r="AB486" s="17">
        <f t="shared" si="334"/>
        <v>1.7191813800842473</v>
      </c>
      <c r="AC486" s="66" t="str">
        <f t="shared" si="335"/>
        <v>-0.000699119356143883+0.000254288285432463i</v>
      </c>
      <c r="AD486" s="64">
        <f t="shared" si="336"/>
        <v>-62.56936983791234</v>
      </c>
      <c r="AE486" s="61">
        <f t="shared" si="337"/>
        <v>160.01232878020366</v>
      </c>
      <c r="AF486" s="31" t="str">
        <f t="shared" si="322"/>
        <v>-1512.12121212121</v>
      </c>
      <c r="AG486" s="31" t="str">
        <f t="shared" si="338"/>
        <v>3007321.56365561i</v>
      </c>
      <c r="AH486" s="31">
        <f t="shared" si="339"/>
        <v>3007321.5636556102</v>
      </c>
      <c r="AI486" s="31">
        <f t="shared" si="340"/>
        <v>1.5707963267948966</v>
      </c>
      <c r="AJ486" s="31" t="str">
        <f t="shared" si="323"/>
        <v>-39315.7987125805+4144.89206957493i</v>
      </c>
      <c r="AK486" s="31">
        <f t="shared" si="341"/>
        <v>39533.683849049179</v>
      </c>
      <c r="AL486" s="31">
        <f t="shared" si="342"/>
        <v>3.0365550455773009</v>
      </c>
      <c r="AM486" s="31" t="str">
        <f t="shared" si="324"/>
        <v>1+20642.2552129321i</v>
      </c>
      <c r="AN486" s="31">
        <f t="shared" si="343"/>
        <v>20642.255237154259</v>
      </c>
      <c r="AO486" s="31">
        <f t="shared" si="344"/>
        <v>1.5707478824757608</v>
      </c>
      <c r="AP486" s="31" t="str">
        <f t="shared" si="325"/>
        <v>1+793.932892805081i</v>
      </c>
      <c r="AQ486" s="31">
        <f t="shared" si="345"/>
        <v>793.93352258098048</v>
      </c>
      <c r="AR486" s="31">
        <f t="shared" si="346"/>
        <v>1.5695367751624616</v>
      </c>
      <c r="AS486" s="58" t="str">
        <f t="shared" si="347"/>
        <v>-0.0215826310902577+0.207319458554823i</v>
      </c>
      <c r="AT486" s="49">
        <f t="shared" si="348"/>
        <v>-13.620385281395089</v>
      </c>
      <c r="AU486" s="61">
        <f t="shared" si="349"/>
        <v>95.943268981620108</v>
      </c>
      <c r="AV486" s="58" t="str">
        <f t="shared" si="326"/>
        <v>-0.0000376300745009806-0.000150429256636009i</v>
      </c>
      <c r="AW486" s="64">
        <f t="shared" si="350"/>
        <v>-76.189755119307449</v>
      </c>
      <c r="AX486" s="61">
        <f t="shared" si="351"/>
        <v>-104.04440223817623</v>
      </c>
    </row>
    <row r="487" spans="14:50" x14ac:dyDescent="0.25">
      <c r="N487" s="10">
        <v>69</v>
      </c>
      <c r="O487" s="50">
        <f t="shared" si="352"/>
        <v>489778.81936844654</v>
      </c>
      <c r="P487" s="48" t="str">
        <f t="shared" si="317"/>
        <v>304.285714285714</v>
      </c>
      <c r="Q487" s="17" t="str">
        <f t="shared" si="318"/>
        <v>1+160243.108464543i</v>
      </c>
      <c r="R487" s="17">
        <f t="shared" si="327"/>
        <v>160243.10846766326</v>
      </c>
      <c r="S487" s="17">
        <f t="shared" si="328"/>
        <v>1.5707900862769137</v>
      </c>
      <c r="T487" s="17" t="str">
        <f t="shared" si="319"/>
        <v>1+3.32356076815348i</v>
      </c>
      <c r="U487" s="17">
        <f t="shared" si="329"/>
        <v>3.4707428858399969</v>
      </c>
      <c r="V487" s="17">
        <f t="shared" si="330"/>
        <v>1.2785304472480024</v>
      </c>
      <c r="W487" s="31" t="str">
        <f t="shared" si="320"/>
        <v>1-10.3861274004796i</v>
      </c>
      <c r="X487" s="17">
        <f t="shared" si="331"/>
        <v>10.434157482949599</v>
      </c>
      <c r="Y487" s="17">
        <f t="shared" si="332"/>
        <v>-1.4748099264886132</v>
      </c>
      <c r="Z487" s="31" t="str">
        <f t="shared" si="321"/>
        <v>-14.0619530731255+91.620694558265i</v>
      </c>
      <c r="AA487" s="17">
        <f t="shared" si="333"/>
        <v>92.693528337040192</v>
      </c>
      <c r="AB487" s="17">
        <f t="shared" si="334"/>
        <v>1.7230880422688171</v>
      </c>
      <c r="AC487" s="66" t="str">
        <f t="shared" si="335"/>
        <v>-0.00069726449234461+0.00025338806794475i</v>
      </c>
      <c r="AD487" s="64">
        <f t="shared" si="336"/>
        <v>-62.593347637786927</v>
      </c>
      <c r="AE487" s="61">
        <f t="shared" si="337"/>
        <v>160.0286992383669</v>
      </c>
      <c r="AF487" s="31" t="str">
        <f t="shared" si="322"/>
        <v>-1512.12121212121</v>
      </c>
      <c r="AG487" s="31" t="str">
        <f t="shared" si="338"/>
        <v>3077371.08162359i</v>
      </c>
      <c r="AH487" s="31">
        <f t="shared" si="339"/>
        <v>3077371.0816235901</v>
      </c>
      <c r="AI487" s="31">
        <f t="shared" si="340"/>
        <v>1.5707963267948966</v>
      </c>
      <c r="AJ487" s="31" t="str">
        <f t="shared" si="323"/>
        <v>-41168.742349914+4241.43900855611i</v>
      </c>
      <c r="AK487" s="31">
        <f t="shared" si="341"/>
        <v>41386.654268458369</v>
      </c>
      <c r="AL487" s="31">
        <f t="shared" si="342"/>
        <v>3.0389291524025972</v>
      </c>
      <c r="AM487" s="31" t="str">
        <f t="shared" si="324"/>
        <v>1+21123.0751042643i</v>
      </c>
      <c r="AN487" s="31">
        <f t="shared" si="343"/>
        <v>21123.075127935095</v>
      </c>
      <c r="AO487" s="31">
        <f t="shared" si="344"/>
        <v>1.5707489852030916</v>
      </c>
      <c r="AP487" s="31" t="str">
        <f t="shared" si="325"/>
        <v>1+812.425965548627i</v>
      </c>
      <c r="AQ487" s="31">
        <f t="shared" si="345"/>
        <v>812.42658098908771</v>
      </c>
      <c r="AR487" s="31">
        <f t="shared" si="346"/>
        <v>1.5695654460286692</v>
      </c>
      <c r="AS487" s="58" t="str">
        <f t="shared" si="347"/>
        <v>-0.0206214079544485+0.202699090859221i</v>
      </c>
      <c r="AT487" s="49">
        <f t="shared" si="348"/>
        <v>-13.818246275984228</v>
      </c>
      <c r="AU487" s="61">
        <f t="shared" si="349"/>
        <v>95.808948581668119</v>
      </c>
      <c r="AV487" s="58" t="str">
        <f t="shared" si="326"/>
        <v>-0.0000369829554581857-0.000146560097406547i</v>
      </c>
      <c r="AW487" s="64">
        <f t="shared" si="350"/>
        <v>-76.411593913771156</v>
      </c>
      <c r="AX487" s="61">
        <f t="shared" si="351"/>
        <v>-104.16235217996498</v>
      </c>
    </row>
    <row r="488" spans="14:50" x14ac:dyDescent="0.25">
      <c r="N488" s="10">
        <v>70</v>
      </c>
      <c r="O488" s="50">
        <f t="shared" si="352"/>
        <v>501187.23362727347</v>
      </c>
      <c r="P488" s="48" t="str">
        <f t="shared" si="317"/>
        <v>304.285714285714</v>
      </c>
      <c r="Q488" s="17" t="str">
        <f t="shared" si="318"/>
        <v>1+163975.649953052i</v>
      </c>
      <c r="R488" s="17">
        <f t="shared" si="327"/>
        <v>163975.64995610126</v>
      </c>
      <c r="S488" s="17">
        <f t="shared" si="328"/>
        <v>1.5707902283284458</v>
      </c>
      <c r="T488" s="17" t="str">
        <f t="shared" si="319"/>
        <v>1+3.4009764434707i</v>
      </c>
      <c r="U488" s="17">
        <f t="shared" si="329"/>
        <v>3.5449458062208246</v>
      </c>
      <c r="V488" s="17">
        <f t="shared" si="330"/>
        <v>1.2848226068482489</v>
      </c>
      <c r="W488" s="31" t="str">
        <f t="shared" si="320"/>
        <v>1-10.6280513858459i</v>
      </c>
      <c r="X488" s="17">
        <f t="shared" si="331"/>
        <v>10.674993033261471</v>
      </c>
      <c r="Y488" s="17">
        <f t="shared" si="332"/>
        <v>-1.4769818987886278</v>
      </c>
      <c r="Z488" s="31" t="str">
        <f t="shared" si="321"/>
        <v>-14.7718010522728+93.7548146893681i</v>
      </c>
      <c r="AA488" s="17">
        <f t="shared" si="333"/>
        <v>94.911387007912168</v>
      </c>
      <c r="AB488" s="17">
        <f t="shared" si="334"/>
        <v>1.7270694322212439</v>
      </c>
      <c r="AC488" s="66" t="str">
        <f t="shared" si="335"/>
        <v>-0.000695421146688479+0.000252609038215575i</v>
      </c>
      <c r="AD488" s="64">
        <f t="shared" si="336"/>
        <v>-62.616778343439201</v>
      </c>
      <c r="AE488" s="61">
        <f t="shared" si="337"/>
        <v>160.03664360165047</v>
      </c>
      <c r="AF488" s="31" t="str">
        <f t="shared" si="322"/>
        <v>-1512.12121212121</v>
      </c>
      <c r="AG488" s="31" t="str">
        <f t="shared" si="338"/>
        <v>3149052.26247287i</v>
      </c>
      <c r="AH488" s="31">
        <f t="shared" si="339"/>
        <v>3149052.2624728698</v>
      </c>
      <c r="AI488" s="31">
        <f t="shared" si="340"/>
        <v>1.5707963267948966</v>
      </c>
      <c r="AJ488" s="31" t="str">
        <f t="shared" si="323"/>
        <v>-43109.0125304953+4340.2348146417i</v>
      </c>
      <c r="AK488" s="31">
        <f t="shared" si="341"/>
        <v>43326.950038060939</v>
      </c>
      <c r="AL488" s="31">
        <f t="shared" si="342"/>
        <v>3.0412503329339526</v>
      </c>
      <c r="AM488" s="31" t="str">
        <f t="shared" si="324"/>
        <v>1+21615.0947296137i</v>
      </c>
      <c r="AN488" s="31">
        <f t="shared" si="343"/>
        <v>21615.094752745681</v>
      </c>
      <c r="AO488" s="31">
        <f t="shared" si="344"/>
        <v>1.5707500628292839</v>
      </c>
      <c r="AP488" s="31" t="str">
        <f t="shared" si="325"/>
        <v>1+831.349797292837i</v>
      </c>
      <c r="AQ488" s="31">
        <f t="shared" si="345"/>
        <v>831.35039872417281</v>
      </c>
      <c r="AR488" s="31">
        <f t="shared" si="346"/>
        <v>1.5695934642682399</v>
      </c>
      <c r="AS488" s="58" t="str">
        <f t="shared" si="347"/>
        <v>-0.019702562357572+0.198177390000602i</v>
      </c>
      <c r="AT488" s="49">
        <f t="shared" si="348"/>
        <v>-14.016202557474937</v>
      </c>
      <c r="AU488" s="61">
        <f t="shared" si="349"/>
        <v>95.677621804043</v>
      </c>
      <c r="AV488" s="58" t="str">
        <f t="shared" si="326"/>
        <v>-0.000036359821376721-0.000142793793129477i</v>
      </c>
      <c r="AW488" s="64">
        <f t="shared" si="350"/>
        <v>-76.632980900914148</v>
      </c>
      <c r="AX488" s="61">
        <f t="shared" si="351"/>
        <v>-104.28573459430655</v>
      </c>
    </row>
    <row r="489" spans="14:50" x14ac:dyDescent="0.25">
      <c r="N489" s="10">
        <v>71</v>
      </c>
      <c r="O489" s="50">
        <f t="shared" si="352"/>
        <v>512861.38399136515</v>
      </c>
      <c r="P489" s="48" t="str">
        <f t="shared" si="317"/>
        <v>304.285714285714</v>
      </c>
      <c r="Q489" s="17" t="str">
        <f t="shared" si="318"/>
        <v>1+167795.133501639i</v>
      </c>
      <c r="R489" s="17">
        <f t="shared" si="327"/>
        <v>167795.13350461883</v>
      </c>
      <c r="S489" s="17">
        <f t="shared" si="328"/>
        <v>1.5707903671464902</v>
      </c>
      <c r="T489" s="17" t="str">
        <f t="shared" si="319"/>
        <v>1+3.48019536151548i</v>
      </c>
      <c r="U489" s="17">
        <f t="shared" si="329"/>
        <v>3.6210163979625749</v>
      </c>
      <c r="V489" s="17">
        <f t="shared" si="330"/>
        <v>1.2909941187617413</v>
      </c>
      <c r="W489" s="31" t="str">
        <f t="shared" si="320"/>
        <v>1-10.8756105047359i</v>
      </c>
      <c r="X489" s="17">
        <f t="shared" si="331"/>
        <v>10.921488170149791</v>
      </c>
      <c r="Y489" s="17">
        <f t="shared" si="332"/>
        <v>-1.4791052891159526</v>
      </c>
      <c r="Z489" s="31" t="str">
        <f t="shared" si="321"/>
        <v>-15.5151031360139+95.9386448642108i</v>
      </c>
      <c r="AA489" s="17">
        <f t="shared" si="333"/>
        <v>97.185091468302431</v>
      </c>
      <c r="AB489" s="17">
        <f t="shared" si="334"/>
        <v>1.7311272445889083</v>
      </c>
      <c r="AC489" s="66" t="str">
        <f t="shared" si="335"/>
        <v>-0.000693585691472867+0.000251950033490403i</v>
      </c>
      <c r="AD489" s="64">
        <f t="shared" si="336"/>
        <v>-62.639702681824893</v>
      </c>
      <c r="AE489" s="61">
        <f t="shared" si="337"/>
        <v>160.03608040708244</v>
      </c>
      <c r="AF489" s="31" t="str">
        <f t="shared" si="322"/>
        <v>-1512.12121212121</v>
      </c>
      <c r="AG489" s="31" t="str">
        <f t="shared" si="338"/>
        <v>3222403.11251433i</v>
      </c>
      <c r="AH489" s="31">
        <f t="shared" si="339"/>
        <v>3222403.1125143301</v>
      </c>
      <c r="AI489" s="31">
        <f t="shared" si="340"/>
        <v>1.5707963267948966</v>
      </c>
      <c r="AJ489" s="31" t="str">
        <f t="shared" si="323"/>
        <v>-45140.724827513+4441.3318706758i</v>
      </c>
      <c r="AK489" s="31">
        <f t="shared" si="341"/>
        <v>45358.68678366614</v>
      </c>
      <c r="AL489" s="31">
        <f t="shared" si="342"/>
        <v>3.0435197184816287</v>
      </c>
      <c r="AM489" s="31" t="str">
        <f t="shared" si="324"/>
        <v>1+22118.5749642983i</v>
      </c>
      <c r="AN489" s="31">
        <f t="shared" si="343"/>
        <v>22118.574986903735</v>
      </c>
      <c r="AO489" s="31">
        <f t="shared" si="344"/>
        <v>1.5707511159257095</v>
      </c>
      <c r="AP489" s="31" t="str">
        <f t="shared" si="325"/>
        <v>1+850.714421703783i</v>
      </c>
      <c r="AQ489" s="31">
        <f t="shared" si="345"/>
        <v>850.7150094448798</v>
      </c>
      <c r="AR489" s="31">
        <f t="shared" si="346"/>
        <v>1.5696208447366389</v>
      </c>
      <c r="AS489" s="58" t="str">
        <f t="shared" si="347"/>
        <v>-0.0188242636931914+0.193752534715214i</v>
      </c>
      <c r="AT489" s="49">
        <f t="shared" si="348"/>
        <v>-14.214249923003022</v>
      </c>
      <c r="AU489" s="61">
        <f t="shared" si="349"/>
        <v>95.549224713334127</v>
      </c>
      <c r="AV489" s="58" t="str">
        <f t="shared" si="326"/>
        <v>-0.0000357597176602389-0.000139126759633004i</v>
      </c>
      <c r="AW489" s="64">
        <f t="shared" si="350"/>
        <v>-76.85395260482791</v>
      </c>
      <c r="AX489" s="61">
        <f t="shared" si="351"/>
        <v>-104.41469487958342</v>
      </c>
    </row>
    <row r="490" spans="14:50" x14ac:dyDescent="0.25">
      <c r="N490" s="10">
        <v>72</v>
      </c>
      <c r="O490" s="50">
        <f t="shared" si="352"/>
        <v>524807.46024977288</v>
      </c>
      <c r="P490" s="48" t="str">
        <f t="shared" si="317"/>
        <v>304.285714285714</v>
      </c>
      <c r="Q490" s="17" t="str">
        <f t="shared" si="318"/>
        <v>1+171703.584251042i</v>
      </c>
      <c r="R490" s="17">
        <f t="shared" si="327"/>
        <v>171703.58425395397</v>
      </c>
      <c r="S490" s="17">
        <f t="shared" si="328"/>
        <v>1.57079050280465</v>
      </c>
      <c r="T490" s="17" t="str">
        <f t="shared" si="319"/>
        <v>1+3.56125952520678i</v>
      </c>
      <c r="U490" s="17">
        <f t="shared" si="329"/>
        <v>3.698995729367097</v>
      </c>
      <c r="V490" s="17">
        <f t="shared" si="330"/>
        <v>1.2970463740212208</v>
      </c>
      <c r="W490" s="31" t="str">
        <f t="shared" si="320"/>
        <v>1-11.1289360162712i</v>
      </c>
      <c r="X490" s="17">
        <f t="shared" si="331"/>
        <v>11.17377361746059</v>
      </c>
      <c r="Y490" s="17">
        <f t="shared" si="332"/>
        <v>-1.4811811466866618</v>
      </c>
      <c r="Z490" s="31" t="str">
        <f t="shared" si="321"/>
        <v>-16.2934359677251+98.173342978459i</v>
      </c>
      <c r="AA490" s="17">
        <f t="shared" si="333"/>
        <v>99.516236500384707</v>
      </c>
      <c r="AB490" s="17">
        <f t="shared" si="334"/>
        <v>1.7352631864803643</v>
      </c>
      <c r="AC490" s="66" t="str">
        <f t="shared" si="335"/>
        <v>-0.000691754541125639+0.000251409897111911i</v>
      </c>
      <c r="AD490" s="64">
        <f t="shared" si="336"/>
        <v>-62.662160859463825</v>
      </c>
      <c r="AE490" s="61">
        <f t="shared" si="337"/>
        <v>160.02693142498279</v>
      </c>
      <c r="AF490" s="31" t="str">
        <f t="shared" si="322"/>
        <v>-1512.12121212121</v>
      </c>
      <c r="AG490" s="31" t="str">
        <f t="shared" si="338"/>
        <v>3297462.52333961i</v>
      </c>
      <c r="AH490" s="31">
        <f t="shared" si="339"/>
        <v>3297462.5233396101</v>
      </c>
      <c r="AI490" s="31">
        <f t="shared" si="340"/>
        <v>1.5707963267948966</v>
      </c>
      <c r="AJ490" s="31" t="str">
        <f t="shared" si="323"/>
        <v>-47268.1887751473+4544.78377965572i</v>
      </c>
      <c r="AK490" s="31">
        <f t="shared" si="341"/>
        <v>47486.17408979989</v>
      </c>
      <c r="AL490" s="31">
        <f t="shared" si="342"/>
        <v>3.0457384194004584</v>
      </c>
      <c r="AM490" s="31" t="str">
        <f t="shared" si="324"/>
        <v>1+22633.782760203i</v>
      </c>
      <c r="AN490" s="31">
        <f t="shared" si="343"/>
        <v>22633.782782293874</v>
      </c>
      <c r="AO490" s="31">
        <f t="shared" si="344"/>
        <v>1.5707521450507338</v>
      </c>
      <c r="AP490" s="31" t="str">
        <f t="shared" si="325"/>
        <v>1+870.530106161657i</v>
      </c>
      <c r="AQ490" s="31">
        <f t="shared" si="345"/>
        <v>870.53068052414199</v>
      </c>
      <c r="AR490" s="31">
        <f t="shared" si="346"/>
        <v>1.5696476019511885</v>
      </c>
      <c r="AS490" s="58" t="str">
        <f t="shared" si="347"/>
        <v>-0.0179847571425884+0.189422717873778i</v>
      </c>
      <c r="AT490" s="49">
        <f t="shared" si="348"/>
        <v>-14.41238435142772</v>
      </c>
      <c r="AU490" s="61">
        <f t="shared" si="349"/>
        <v>95.423694554669098</v>
      </c>
      <c r="AV490" s="58" t="str">
        <f t="shared" si="326"/>
        <v>-0.0000351817085868778-0.000135555571224348i</v>
      </c>
      <c r="AW490" s="64">
        <f t="shared" si="350"/>
        <v>-77.074545210891515</v>
      </c>
      <c r="AX490" s="61">
        <f t="shared" si="351"/>
        <v>-104.54937402034807</v>
      </c>
    </row>
    <row r="491" spans="14:50" x14ac:dyDescent="0.25">
      <c r="N491" s="10">
        <v>73</v>
      </c>
      <c r="O491" s="50">
        <f t="shared" si="352"/>
        <v>537031.7963702539</v>
      </c>
      <c r="P491" s="48" t="str">
        <f t="shared" si="317"/>
        <v>304.285714285714</v>
      </c>
      <c r="Q491" s="17" t="str">
        <f t="shared" si="318"/>
        <v>1+175703.074513579i</v>
      </c>
      <c r="R491" s="17">
        <f t="shared" si="327"/>
        <v>175703.07451642471</v>
      </c>
      <c r="S491" s="17">
        <f t="shared" si="328"/>
        <v>1.5707906353748531</v>
      </c>
      <c r="T491" s="17" t="str">
        <f t="shared" si="319"/>
        <v>1+3.64421191583719i</v>
      </c>
      <c r="U491" s="17">
        <f t="shared" si="329"/>
        <v>3.7789258377917081</v>
      </c>
      <c r="V491" s="17">
        <f t="shared" si="330"/>
        <v>1.3029808073757991</v>
      </c>
      <c r="W491" s="31" t="str">
        <f t="shared" si="320"/>
        <v>1-11.3881622369912i</v>
      </c>
      <c r="X491" s="17">
        <f t="shared" si="331"/>
        <v>11.431983167238851</v>
      </c>
      <c r="Y491" s="17">
        <f t="shared" si="332"/>
        <v>-1.4832105005463192</v>
      </c>
      <c r="Z491" s="31" t="str">
        <f t="shared" si="321"/>
        <v>-17.1084504956953+100.460093898632i</v>
      </c>
      <c r="AA491" s="17">
        <f t="shared" si="333"/>
        <v>101.90647449738223</v>
      </c>
      <c r="AB491" s="17">
        <f t="shared" si="334"/>
        <v>1.7394789765600964</v>
      </c>
      <c r="AC491" s="66" t="str">
        <f t="shared" si="335"/>
        <v>-0.000689924146853846+0.000250987475069971i</v>
      </c>
      <c r="AD491" s="64">
        <f t="shared" si="336"/>
        <v>-62.68419259220029</v>
      </c>
      <c r="AE491" s="61">
        <f t="shared" si="337"/>
        <v>160.00912142411002</v>
      </c>
      <c r="AF491" s="31" t="str">
        <f t="shared" si="322"/>
        <v>-1512.12121212121</v>
      </c>
      <c r="AG491" s="31" t="str">
        <f t="shared" si="338"/>
        <v>3374270.29244184i</v>
      </c>
      <c r="AH491" s="31">
        <f t="shared" si="339"/>
        <v>3374270.2924418398</v>
      </c>
      <c r="AI491" s="31">
        <f t="shared" si="340"/>
        <v>1.5707963267948966</v>
      </c>
      <c r="AJ491" s="31" t="str">
        <f t="shared" si="323"/>
        <v>-49495.9170096639+4650.64539315295i</v>
      </c>
      <c r="AK491" s="31">
        <f t="shared" si="341"/>
        <v>49713.924640893034</v>
      </c>
      <c r="AL491" s="31">
        <f t="shared" si="342"/>
        <v>3.047907525257993</v>
      </c>
      <c r="AM491" s="31" t="str">
        <f t="shared" si="324"/>
        <v>1+23160.9912873207i</v>
      </c>
      <c r="AN491" s="31">
        <f t="shared" si="343"/>
        <v>23160.99130890872</v>
      </c>
      <c r="AO491" s="31">
        <f t="shared" si="344"/>
        <v>1.5707531507500125</v>
      </c>
      <c r="AP491" s="31" t="str">
        <f t="shared" si="325"/>
        <v>1+890.807357204645i</v>
      </c>
      <c r="AQ491" s="31">
        <f t="shared" si="345"/>
        <v>890.80791849305206</v>
      </c>
      <c r="AR491" s="31">
        <f t="shared" si="346"/>
        <v>1.569673750098765</v>
      </c>
      <c r="AS491" s="58" t="str">
        <f t="shared" si="347"/>
        <v>-0.0171823608263109+0.185186147874694i</v>
      </c>
      <c r="AT491" s="49">
        <f t="shared" si="348"/>
        <v>-14.610601995792347</v>
      </c>
      <c r="AU491" s="61">
        <f t="shared" si="349"/>
        <v>95.300969744537625</v>
      </c>
      <c r="AV491" s="58" t="str">
        <f t="shared" si="326"/>
        <v>-0.0000346248780389762-0.000132076952441135i</v>
      </c>
      <c r="AW491" s="64">
        <f t="shared" si="350"/>
        <v>-77.294794587992669</v>
      </c>
      <c r="AX491" s="61">
        <f t="shared" si="351"/>
        <v>-104.68990883135237</v>
      </c>
    </row>
    <row r="492" spans="14:50" x14ac:dyDescent="0.25">
      <c r="N492" s="10">
        <v>74</v>
      </c>
      <c r="O492" s="50">
        <f t="shared" si="352"/>
        <v>549540.87385762564</v>
      </c>
      <c r="P492" s="48" t="str">
        <f t="shared" si="317"/>
        <v>304.285714285714</v>
      </c>
      <c r="Q492" s="17" t="str">
        <f t="shared" si="318"/>
        <v>1+179795.724871928i</v>
      </c>
      <c r="R492" s="17">
        <f t="shared" si="327"/>
        <v>179795.72487470892</v>
      </c>
      <c r="S492" s="17">
        <f t="shared" si="328"/>
        <v>1.57079076492739</v>
      </c>
      <c r="T492" s="17" t="str">
        <f t="shared" si="319"/>
        <v>1+3.72909651586221i</v>
      </c>
      <c r="U492" s="17">
        <f t="shared" si="329"/>
        <v>3.8608497542141773</v>
      </c>
      <c r="V492" s="17">
        <f t="shared" si="330"/>
        <v>1.3087988927074559</v>
      </c>
      <c r="W492" s="31" t="str">
        <f t="shared" si="320"/>
        <v>1-11.6534266120694i</v>
      </c>
      <c r="X492" s="17">
        <f t="shared" si="331"/>
        <v>11.696253750790774</v>
      </c>
      <c r="Y492" s="17">
        <f t="shared" si="332"/>
        <v>-1.4851943597886377</v>
      </c>
      <c r="Z492" s="31" t="str">
        <f t="shared" si="321"/>
        <v>-17.961875475009+102.800110090337i</v>
      </c>
      <c r="AA492" s="17">
        <f t="shared" si="333"/>
        <v>104.35751820144601</v>
      </c>
      <c r="AB492" s="17">
        <f t="shared" si="334"/>
        <v>1.7437763440424596</v>
      </c>
      <c r="AC492" s="66" t="str">
        <f t="shared" si="335"/>
        <v>-0.000688090991555328+0.000250681612378215i</v>
      </c>
      <c r="AD492" s="64">
        <f t="shared" si="336"/>
        <v>-62.705837136514369</v>
      </c>
      <c r="AE492" s="61">
        <f t="shared" si="337"/>
        <v>159.98257795415822</v>
      </c>
      <c r="AF492" s="31" t="str">
        <f t="shared" si="322"/>
        <v>-1512.12121212121</v>
      </c>
      <c r="AG492" s="31" t="str">
        <f t="shared" si="338"/>
        <v>3452867.14431686i</v>
      </c>
      <c r="AH492" s="31">
        <f t="shared" si="339"/>
        <v>3452867.14431686</v>
      </c>
      <c r="AI492" s="31">
        <f t="shared" si="340"/>
        <v>1.5707963267948966</v>
      </c>
      <c r="AJ492" s="31" t="str">
        <f t="shared" si="323"/>
        <v>-51828.6348413254+4758.97284039618i</v>
      </c>
      <c r="AK492" s="31">
        <f t="shared" si="341"/>
        <v>52046.663793283398</v>
      </c>
      <c r="AL492" s="31">
        <f t="shared" si="342"/>
        <v>3.0500281050182512</v>
      </c>
      <c r="AM492" s="31" t="str">
        <f t="shared" si="324"/>
        <v>1+23700.4800785909i</v>
      </c>
      <c r="AN492" s="31">
        <f t="shared" si="343"/>
        <v>23700.480099687516</v>
      </c>
      <c r="AO492" s="31">
        <f t="shared" si="344"/>
        <v>1.5707541335567812</v>
      </c>
      <c r="AP492" s="31" t="str">
        <f t="shared" si="325"/>
        <v>1+911.556926099651i</v>
      </c>
      <c r="AQ492" s="31">
        <f t="shared" si="345"/>
        <v>911.55747461158194</v>
      </c>
      <c r="AR492" s="31">
        <f t="shared" si="346"/>
        <v>1.5696993030433191</v>
      </c>
      <c r="AS492" s="58" t="str">
        <f t="shared" si="347"/>
        <v>-0.0164154630367467+0.181041049902503i</v>
      </c>
      <c r="AT492" s="49">
        <f t="shared" si="348"/>
        <v>-14.808899176071257</v>
      </c>
      <c r="AU492" s="61">
        <f t="shared" si="349"/>
        <v>95.180989860710966</v>
      </c>
      <c r="AV492" s="58" t="str">
        <f t="shared" si="326"/>
        <v>-0.0000340883300584095-0.000128687770281618i</v>
      </c>
      <c r="AW492" s="64">
        <f t="shared" si="350"/>
        <v>-77.514736312585597</v>
      </c>
      <c r="AX492" s="61">
        <f t="shared" si="351"/>
        <v>-104.83643218513077</v>
      </c>
    </row>
    <row r="493" spans="14:50" x14ac:dyDescent="0.25">
      <c r="N493" s="10">
        <v>75</v>
      </c>
      <c r="O493" s="50">
        <f t="shared" si="352"/>
        <v>562341.32519035018</v>
      </c>
      <c r="P493" s="48" t="str">
        <f t="shared" si="317"/>
        <v>304.285714285714</v>
      </c>
      <c r="Q493" s="17" t="str">
        <f t="shared" si="318"/>
        <v>1+183983.705303483i</v>
      </c>
      <c r="R493" s="17">
        <f t="shared" si="327"/>
        <v>183983.70530620063</v>
      </c>
      <c r="S493" s="17">
        <f t="shared" si="328"/>
        <v>1.5707908915309512</v>
      </c>
      <c r="T493" s="17" t="str">
        <f t="shared" si="319"/>
        <v>1+3.81595833222038i</v>
      </c>
      <c r="U493" s="17">
        <f t="shared" si="329"/>
        <v>3.9448115282282044</v>
      </c>
      <c r="V493" s="17">
        <f t="shared" si="330"/>
        <v>1.3145021386608058</v>
      </c>
      <c r="W493" s="31" t="str">
        <f t="shared" si="320"/>
        <v>1-11.9248697881887i</v>
      </c>
      <c r="X493" s="17">
        <f t="shared" si="331"/>
        <v>11.966725511402675</v>
      </c>
      <c r="Y493" s="17">
        <f t="shared" si="332"/>
        <v>-1.4871337137844338</v>
      </c>
      <c r="Z493" s="31" t="str">
        <f t="shared" si="321"/>
        <v>-18.8555211344681+105.194632261132i</v>
      </c>
      <c r="AA493" s="17">
        <f t="shared" si="333"/>
        <v>106.87114359735826</v>
      </c>
      <c r="AB493" s="17">
        <f t="shared" si="334"/>
        <v>1.7481570275790799</v>
      </c>
      <c r="AC493" s="66" t="str">
        <f t="shared" si="335"/>
        <v>-0.000686251584996519+0.000250491149273022i</v>
      </c>
      <c r="AD493" s="64">
        <f t="shared" si="336"/>
        <v>-62.727133322208729</v>
      </c>
      <c r="AE493" s="61">
        <f t="shared" si="337"/>
        <v>159.94723114598875</v>
      </c>
      <c r="AF493" s="31" t="str">
        <f t="shared" si="322"/>
        <v>-1512.12121212121</v>
      </c>
      <c r="AG493" s="31" t="str">
        <f t="shared" si="338"/>
        <v>3533294.75205591i</v>
      </c>
      <c r="AH493" s="31">
        <f t="shared" si="339"/>
        <v>3533294.75205591</v>
      </c>
      <c r="AI493" s="31">
        <f t="shared" si="340"/>
        <v>1.5707963267948966</v>
      </c>
      <c r="AJ493" s="31" t="str">
        <f t="shared" si="323"/>
        <v>-54271.2902774053+4869.82355803185i</v>
      </c>
      <c r="AK493" s="31">
        <f t="shared" si="341"/>
        <v>54489.339598317296</v>
      </c>
      <c r="AL493" s="31">
        <f t="shared" si="342"/>
        <v>3.0521012072395166</v>
      </c>
      <c r="AM493" s="31" t="str">
        <f t="shared" si="324"/>
        <v>1+24252.5351781117i</v>
      </c>
      <c r="AN493" s="31">
        <f t="shared" si="343"/>
        <v>24252.535198728099</v>
      </c>
      <c r="AO493" s="31">
        <f t="shared" si="344"/>
        <v>1.5707550939921364</v>
      </c>
      <c r="AP493" s="31" t="str">
        <f t="shared" si="325"/>
        <v>1+932.78981454276i</v>
      </c>
      <c r="AQ493" s="31">
        <f t="shared" si="345"/>
        <v>932.79035056904218</v>
      </c>
      <c r="AR493" s="31">
        <f t="shared" si="346"/>
        <v>1.5697242743332267</v>
      </c>
      <c r="AS493" s="58" t="str">
        <f t="shared" si="347"/>
        <v>-0.0156825195519457+0.176985667060402i</v>
      </c>
      <c r="AT493" s="49">
        <f t="shared" si="348"/>
        <v>-15.007272372192688</v>
      </c>
      <c r="AU493" s="61">
        <f t="shared" si="349"/>
        <v>95.063695631346334</v>
      </c>
      <c r="AV493" s="58" t="str">
        <f t="shared" si="326"/>
        <v>-0.0000335711892475509-0.000125385026887931i</v>
      </c>
      <c r="AW493" s="64">
        <f t="shared" si="350"/>
        <v>-77.734405694401389</v>
      </c>
      <c r="AX493" s="61">
        <f t="shared" si="351"/>
        <v>-104.98907322266487</v>
      </c>
    </row>
    <row r="494" spans="14:50" x14ac:dyDescent="0.25">
      <c r="N494" s="10">
        <v>76</v>
      </c>
      <c r="O494" s="50">
        <f t="shared" si="352"/>
        <v>575439.93733715697</v>
      </c>
      <c r="P494" s="48" t="str">
        <f t="shared" si="317"/>
        <v>304.285714285714</v>
      </c>
      <c r="Q494" s="17" t="str">
        <f t="shared" si="318"/>
        <v>1+188269.236330901i</v>
      </c>
      <c r="R494" s="17">
        <f t="shared" si="327"/>
        <v>188269.23633355679</v>
      </c>
      <c r="S494" s="17">
        <f t="shared" si="328"/>
        <v>1.5707910152526634</v>
      </c>
      <c r="T494" s="17" t="str">
        <f t="shared" si="319"/>
        <v>1+3.90484342019646i</v>
      </c>
      <c r="U494" s="17">
        <f t="shared" si="329"/>
        <v>4.0308562534840648</v>
      </c>
      <c r="V494" s="17">
        <f t="shared" si="330"/>
        <v>1.320092084484777</v>
      </c>
      <c r="W494" s="31" t="str">
        <f t="shared" si="320"/>
        <v>1-12.202635688114i</v>
      </c>
      <c r="X494" s="17">
        <f t="shared" si="331"/>
        <v>12.243541878755241</v>
      </c>
      <c r="Y494" s="17">
        <f t="shared" si="332"/>
        <v>-1.4890295324197005</v>
      </c>
      <c r="Z494" s="31" t="str">
        <f t="shared" si="321"/>
        <v>-19.7912830163296+107.644930018367i</v>
      </c>
      <c r="AA494" s="17">
        <f t="shared" si="333"/>
        <v>109.4491929714038</v>
      </c>
      <c r="AB494" s="17">
        <f t="shared" si="334"/>
        <v>1.7526227740337992</v>
      </c>
      <c r="AC494" s="66" t="str">
        <f t="shared" si="335"/>
        <v>-0.000684402459260978+0.000250414917230998i</v>
      </c>
      <c r="AD494" s="64">
        <f t="shared" si="336"/>
        <v>-62.748119586301868</v>
      </c>
      <c r="AE494" s="61">
        <f t="shared" si="337"/>
        <v>159.90301352992321</v>
      </c>
      <c r="AF494" s="31" t="str">
        <f t="shared" si="322"/>
        <v>-1512.12121212121</v>
      </c>
      <c r="AG494" s="31" t="str">
        <f t="shared" si="338"/>
        <v>3615595.75944117i</v>
      </c>
      <c r="AH494" s="31">
        <f t="shared" si="339"/>
        <v>3615595.7594411699</v>
      </c>
      <c r="AI494" s="31">
        <f t="shared" si="340"/>
        <v>1.5707963267948966</v>
      </c>
      <c r="AJ494" s="31" t="str">
        <f t="shared" si="323"/>
        <v>-56829.0645175764+4983.25632057771i</v>
      </c>
      <c r="AK494" s="31">
        <f t="shared" si="341"/>
        <v>57047.133297821703</v>
      </c>
      <c r="AL494" s="31">
        <f t="shared" si="342"/>
        <v>3.0541278602847837</v>
      </c>
      <c r="AM494" s="31" t="str">
        <f t="shared" si="324"/>
        <v>1+24817.4492928041i</v>
      </c>
      <c r="AN494" s="31">
        <f t="shared" si="343"/>
        <v>24817.449312951212</v>
      </c>
      <c r="AO494" s="31">
        <f t="shared" si="344"/>
        <v>1.570756032565314</v>
      </c>
      <c r="AP494" s="31" t="str">
        <f t="shared" si="325"/>
        <v>1+954.517280492468i</v>
      </c>
      <c r="AQ494" s="31">
        <f t="shared" si="345"/>
        <v>954.51780431730913</v>
      </c>
      <c r="AR494" s="31">
        <f t="shared" si="346"/>
        <v>1.5697486772084717</v>
      </c>
      <c r="AS494" s="58" t="str">
        <f t="shared" si="347"/>
        <v>-0.0149820510305828+0.173018261385089i</v>
      </c>
      <c r="AT494" s="49">
        <f t="shared" si="348"/>
        <v>-15.205718217329721</v>
      </c>
      <c r="AU494" s="61">
        <f t="shared" si="349"/>
        <v>94.949028923356565</v>
      </c>
      <c r="AV494" s="58" t="str">
        <f t="shared" si="326"/>
        <v>-0.0000330726010340939-0.000122165852657788i</v>
      </c>
      <c r="AW494" s="64">
        <f t="shared" si="350"/>
        <v>-77.953837803631558</v>
      </c>
      <c r="AX494" s="61">
        <f t="shared" si="351"/>
        <v>-105.14795754672016</v>
      </c>
    </row>
    <row r="495" spans="14:50" x14ac:dyDescent="0.25">
      <c r="N495" s="10">
        <v>77</v>
      </c>
      <c r="O495" s="50">
        <f t="shared" si="352"/>
        <v>588843.65535558888</v>
      </c>
      <c r="P495" s="48" t="str">
        <f t="shared" si="317"/>
        <v>304.285714285714</v>
      </c>
      <c r="Q495" s="17" t="str">
        <f t="shared" si="318"/>
        <v>1+192654.59019946i</v>
      </c>
      <c r="R495" s="17">
        <f t="shared" si="327"/>
        <v>192654.59020205535</v>
      </c>
      <c r="S495" s="17">
        <f t="shared" si="328"/>
        <v>1.5707911361581257</v>
      </c>
      <c r="T495" s="17" t="str">
        <f t="shared" si="319"/>
        <v>1+3.99579890784065i</v>
      </c>
      <c r="U495" s="17">
        <f t="shared" si="329"/>
        <v>4.1190300935900597</v>
      </c>
      <c r="V495" s="17">
        <f t="shared" si="330"/>
        <v>1.3255702960839306</v>
      </c>
      <c r="W495" s="31" t="str">
        <f t="shared" si="320"/>
        <v>1-12.4868715870021i</v>
      </c>
      <c r="X495" s="17">
        <f t="shared" si="331"/>
        <v>12.526849645073591</v>
      </c>
      <c r="Y495" s="17">
        <f t="shared" si="332"/>
        <v>-1.4908827663417132</v>
      </c>
      <c r="Z495" s="31" t="str">
        <f t="shared" si="321"/>
        <v>-20.7711459970045+110.152302542347i</v>
      </c>
      <c r="AA495" s="17">
        <f t="shared" si="333"/>
        <v>112.09357814526943</v>
      </c>
      <c r="AB495" s="17">
        <f t="shared" si="334"/>
        <v>1.7571753371391323</v>
      </c>
      <c r="AC495" s="66" t="str">
        <f t="shared" si="335"/>
        <v>-0.000682540164474528+0.000250451734801314i</v>
      </c>
      <c r="AD495" s="64">
        <f t="shared" si="336"/>
        <v>-62.768834007964003</v>
      </c>
      <c r="AE495" s="61">
        <f t="shared" si="337"/>
        <v>159.84985987237729</v>
      </c>
      <c r="AF495" s="31" t="str">
        <f t="shared" si="322"/>
        <v>-1512.12121212121</v>
      </c>
      <c r="AG495" s="31" t="str">
        <f t="shared" si="338"/>
        <v>3699813.80355616i</v>
      </c>
      <c r="AH495" s="31">
        <f t="shared" si="339"/>
        <v>3699813.8035561601</v>
      </c>
      <c r="AI495" s="31">
        <f t="shared" si="340"/>
        <v>1.5707963267948966</v>
      </c>
      <c r="AJ495" s="31" t="str">
        <f t="shared" si="323"/>
        <v>-59507.3829439286+5099.33127158594i</v>
      </c>
      <c r="AK495" s="31">
        <f t="shared" si="341"/>
        <v>59725.470314202954</v>
      </c>
      <c r="AL495" s="31">
        <f t="shared" si="342"/>
        <v>3.0561090725434981</v>
      </c>
      <c r="AM495" s="31" t="str">
        <f t="shared" si="324"/>
        <v>1+25395.5219476094i</v>
      </c>
      <c r="AN495" s="31">
        <f t="shared" si="343"/>
        <v>25395.521967297904</v>
      </c>
      <c r="AO495" s="31">
        <f t="shared" si="344"/>
        <v>1.5707569497739577</v>
      </c>
      <c r="AP495" s="31" t="str">
        <f t="shared" si="325"/>
        <v>1+976.750844138826i</v>
      </c>
      <c r="AQ495" s="31">
        <f t="shared" si="345"/>
        <v>976.75135603996432</v>
      </c>
      <c r="AR495" s="31">
        <f t="shared" si="346"/>
        <v>1.569772524607665</v>
      </c>
      <c r="AS495" s="58" t="str">
        <f t="shared" si="347"/>
        <v>-0.0143126404876878+0.169137114751789i</v>
      </c>
      <c r="AT495" s="49">
        <f t="shared" si="348"/>
        <v>-15.404233491451084</v>
      </c>
      <c r="AU495" s="61">
        <f t="shared" si="349"/>
        <v>94.836932730122982</v>
      </c>
      <c r="AV495" s="58" t="str">
        <f t="shared" si="326"/>
        <v>-0.0000325917318163432-0.000119027499761162i</v>
      </c>
      <c r="AW495" s="64">
        <f t="shared" si="350"/>
        <v>-78.173067499415097</v>
      </c>
      <c r="AX495" s="61">
        <f t="shared" si="351"/>
        <v>-105.31320739749972</v>
      </c>
    </row>
    <row r="496" spans="14:50" x14ac:dyDescent="0.25">
      <c r="N496" s="10">
        <v>78</v>
      </c>
      <c r="O496" s="50">
        <f t="shared" si="352"/>
        <v>602559.58607435878</v>
      </c>
      <c r="P496" s="48" t="str">
        <f t="shared" si="317"/>
        <v>304.285714285714</v>
      </c>
      <c r="Q496" s="17" t="str">
        <f t="shared" si="318"/>
        <v>1+197142.092081828i</v>
      </c>
      <c r="R496" s="17">
        <f t="shared" si="327"/>
        <v>197142.09208436427</v>
      </c>
      <c r="S496" s="17">
        <f t="shared" si="328"/>
        <v>1.5707912543114435</v>
      </c>
      <c r="T496" s="17" t="str">
        <f t="shared" si="319"/>
        <v>1+4.08887302095643i</v>
      </c>
      <c r="U496" s="17">
        <f t="shared" si="329"/>
        <v>4.2093803084902364</v>
      </c>
      <c r="V496" s="17">
        <f t="shared" si="330"/>
        <v>1.3309383622762643</v>
      </c>
      <c r="W496" s="31" t="str">
        <f t="shared" si="320"/>
        <v>1-12.7777281904889i</v>
      </c>
      <c r="X496" s="17">
        <f t="shared" si="331"/>
        <v>12.816799043053408</v>
      </c>
      <c r="Y496" s="17">
        <f t="shared" si="332"/>
        <v>-1.4926943472121508</v>
      </c>
      <c r="Z496" s="31" t="str">
        <f t="shared" si="321"/>
        <v>-21.7971884972474+112.718079275173i</v>
      </c>
      <c r="AA496" s="17">
        <f t="shared" si="333"/>
        <v>114.80628389538927</v>
      </c>
      <c r="AB496" s="17">
        <f t="shared" si="334"/>
        <v>1.7618164760280588</v>
      </c>
      <c r="AC496" s="66" t="str">
        <f t="shared" si="335"/>
        <v>-0.000680661264814423+0.00025060040324983i</v>
      </c>
      <c r="AD496" s="64">
        <f t="shared" si="336"/>
        <v>-62.789314344334144</v>
      </c>
      <c r="AE496" s="61">
        <f t="shared" si="337"/>
        <v>159.78770703106622</v>
      </c>
      <c r="AF496" s="31" t="str">
        <f t="shared" si="322"/>
        <v>-1512.12121212121</v>
      </c>
      <c r="AG496" s="31" t="str">
        <f t="shared" si="338"/>
        <v>3785993.53792262i</v>
      </c>
      <c r="AH496" s="31">
        <f t="shared" si="339"/>
        <v>3785993.5379226198</v>
      </c>
      <c r="AI496" s="31">
        <f t="shared" si="340"/>
        <v>1.5707963267948966</v>
      </c>
      <c r="AJ496" s="31" t="str">
        <f t="shared" si="323"/>
        <v>-62311.9266289327+5218.10995553201i</v>
      </c>
      <c r="AK496" s="31">
        <f t="shared" si="341"/>
        <v>62530.031758487974</v>
      </c>
      <c r="AL496" s="31">
        <f t="shared" si="342"/>
        <v>3.0580458326633781</v>
      </c>
      <c r="AM496" s="31" t="str">
        <f t="shared" si="324"/>
        <v>1+25987.0596443008i</v>
      </c>
      <c r="AN496" s="31">
        <f t="shared" si="343"/>
        <v>25987.059663541146</v>
      </c>
      <c r="AO496" s="31">
        <f t="shared" si="344"/>
        <v>1.5707578461043838</v>
      </c>
      <c r="AP496" s="31" t="str">
        <f t="shared" si="325"/>
        <v>1+999.502294011571i</v>
      </c>
      <c r="AQ496" s="31">
        <f t="shared" si="345"/>
        <v>999.50279426042266</v>
      </c>
      <c r="AR496" s="31">
        <f t="shared" si="346"/>
        <v>1.569795829174905</v>
      </c>
      <c r="AS496" s="58" t="str">
        <f t="shared" si="347"/>
        <v>-0.0136729308505154+0.165340529676865i</v>
      </c>
      <c r="AT496" s="49">
        <f t="shared" si="348"/>
        <v>-15.60281511512461</v>
      </c>
      <c r="AU496" s="61">
        <f t="shared" si="349"/>
        <v>94.727351158621303</v>
      </c>
      <c r="AV496" s="58" t="str">
        <f t="shared" si="326"/>
        <v>-0.0000321277690041309-0.000115967336039688i</v>
      </c>
      <c r="AW496" s="64">
        <f t="shared" si="350"/>
        <v>-78.392129459458729</v>
      </c>
      <c r="AX496" s="61">
        <f t="shared" si="351"/>
        <v>-105.48494181031246</v>
      </c>
    </row>
    <row r="497" spans="14:50" x14ac:dyDescent="0.25">
      <c r="N497" s="10">
        <v>79</v>
      </c>
      <c r="O497" s="50">
        <f t="shared" si="352"/>
        <v>616595.00186148309</v>
      </c>
      <c r="P497" s="48" t="str">
        <f t="shared" si="317"/>
        <v>304.285714285714</v>
      </c>
      <c r="Q497" s="17" t="str">
        <f t="shared" si="318"/>
        <v>1+201734.121310902i</v>
      </c>
      <c r="R497" s="17">
        <f t="shared" si="327"/>
        <v>201734.12131338054</v>
      </c>
      <c r="S497" s="17">
        <f t="shared" si="328"/>
        <v>1.5707913697752636</v>
      </c>
      <c r="T497" s="17" t="str">
        <f t="shared" si="319"/>
        <v>1+4.18411510867055i</v>
      </c>
      <c r="U497" s="17">
        <f t="shared" si="329"/>
        <v>4.3019552813348918</v>
      </c>
      <c r="V497" s="17">
        <f t="shared" si="330"/>
        <v>1.3361978912536769</v>
      </c>
      <c r="W497" s="31" t="str">
        <f t="shared" si="320"/>
        <v>1-13.0753597145955i</v>
      </c>
      <c r="X497" s="17">
        <f t="shared" si="331"/>
        <v>13.11354382560515</v>
      </c>
      <c r="Y497" s="17">
        <f t="shared" si="332"/>
        <v>-1.4944651879662914</v>
      </c>
      <c r="Z497" s="31" t="str">
        <f t="shared" si="321"/>
        <v>-22.8715868907654+115.343620625631i</v>
      </c>
      <c r="AA497" s="17">
        <f t="shared" si="333"/>
        <v>117.58937156874052</v>
      </c>
      <c r="AB497" s="17">
        <f t="shared" si="334"/>
        <v>1.7665479536348074</v>
      </c>
      <c r="AC497" s="66" t="str">
        <f t="shared" si="335"/>
        <v>-0.00067876233481133+0.000250859702012407i</v>
      </c>
      <c r="AD497" s="64">
        <f t="shared" si="336"/>
        <v>-62.809598067061991</v>
      </c>
      <c r="AE497" s="61">
        <f t="shared" si="337"/>
        <v>159.71649382897968</v>
      </c>
      <c r="AF497" s="31" t="str">
        <f t="shared" si="322"/>
        <v>-1512.12121212121</v>
      </c>
      <c r="AG497" s="31" t="str">
        <f t="shared" si="338"/>
        <v>3874180.65617644i</v>
      </c>
      <c r="AH497" s="31">
        <f t="shared" si="339"/>
        <v>3874180.65617644</v>
      </c>
      <c r="AI497" s="31">
        <f t="shared" si="340"/>
        <v>1.5707963267948966</v>
      </c>
      <c r="AJ497" s="31" t="str">
        <f t="shared" si="323"/>
        <v>-65248.6443857567+5339.65535044635i</v>
      </c>
      <c r="AK497" s="31">
        <f t="shared" si="341"/>
        <v>65466.76648071516</v>
      </c>
      <c r="AL497" s="31">
        <f t="shared" si="342"/>
        <v>3.0599391097911357</v>
      </c>
      <c r="AM497" s="31" t="str">
        <f t="shared" si="324"/>
        <v>1+26592.376023995i</v>
      </c>
      <c r="AN497" s="31">
        <f t="shared" si="343"/>
        <v>26592.376042797379</v>
      </c>
      <c r="AO497" s="31">
        <f t="shared" si="344"/>
        <v>1.5707587220318386</v>
      </c>
      <c r="AP497" s="31" t="str">
        <f t="shared" si="325"/>
        <v>1+1022.78369323058i</v>
      </c>
      <c r="AQ497" s="31">
        <f t="shared" si="345"/>
        <v>1022.7841820923832</v>
      </c>
      <c r="AR497" s="31">
        <f t="shared" si="346"/>
        <v>1.5698186032664803</v>
      </c>
      <c r="AS497" s="58" t="str">
        <f t="shared" si="347"/>
        <v>-0.0130616225937273+0.161626830025076i</v>
      </c>
      <c r="AT497" s="49">
        <f t="shared" si="348"/>
        <v>-15.801460143563052</v>
      </c>
      <c r="AU497" s="61">
        <f t="shared" si="349"/>
        <v>94.620229416027954</v>
      </c>
      <c r="AV497" s="58" t="str">
        <f t="shared" si="326"/>
        <v>-0.0000316799209691578-0.000112982839267636i</v>
      </c>
      <c r="AW497" s="64">
        <f t="shared" si="350"/>
        <v>-78.611058210625004</v>
      </c>
      <c r="AX497" s="61">
        <f t="shared" si="351"/>
        <v>-105.6632767549923</v>
      </c>
    </row>
    <row r="498" spans="14:50" x14ac:dyDescent="0.25">
      <c r="N498" s="10">
        <v>80</v>
      </c>
      <c r="O498" s="50">
        <f t="shared" si="352"/>
        <v>630957.34448019415</v>
      </c>
      <c r="P498" s="48" t="str">
        <f t="shared" si="317"/>
        <v>304.285714285714</v>
      </c>
      <c r="Q498" s="17" t="str">
        <f t="shared" si="318"/>
        <v>1+206433.112641362i</v>
      </c>
      <c r="R498" s="17">
        <f t="shared" si="327"/>
        <v>206433.11264378409</v>
      </c>
      <c r="S498" s="17">
        <f t="shared" si="328"/>
        <v>1.5707914826108063</v>
      </c>
      <c r="T498" s="17" t="str">
        <f t="shared" si="319"/>
        <v>1+4.2815756695986i</v>
      </c>
      <c r="U498" s="17">
        <f t="shared" si="329"/>
        <v>4.3968045458604017</v>
      </c>
      <c r="V498" s="17">
        <f t="shared" si="330"/>
        <v>1.3413505072406127</v>
      </c>
      <c r="W498" s="31" t="str">
        <f t="shared" si="320"/>
        <v>1-13.3799239674956i</v>
      </c>
      <c r="X498" s="17">
        <f t="shared" si="331"/>
        <v>13.417241347458994</v>
      </c>
      <c r="Y498" s="17">
        <f t="shared" si="332"/>
        <v>-1.4961961830774078</v>
      </c>
      <c r="Z498" s="31" t="str">
        <f t="shared" si="321"/>
        <v>-23.996620120598+118.030318690498i</v>
      </c>
      <c r="AA498" s="17">
        <f t="shared" si="333"/>
        <v>120.44498290668986</v>
      </c>
      <c r="AB498" s="17">
        <f t="shared" si="334"/>
        <v>1.7713715349582437</v>
      </c>
      <c r="AC498" s="66" t="str">
        <f t="shared" si="335"/>
        <v>-0.000676839955954391+0.000251228383955557i</v>
      </c>
      <c r="AD498" s="64">
        <f t="shared" si="336"/>
        <v>-62.829722399421392</v>
      </c>
      <c r="AE498" s="61">
        <f t="shared" si="337"/>
        <v>159.63616094728661</v>
      </c>
      <c r="AF498" s="31" t="str">
        <f t="shared" si="322"/>
        <v>-1512.12121212121</v>
      </c>
      <c r="AG498" s="31" t="str">
        <f t="shared" si="338"/>
        <v>3964421.916295i</v>
      </c>
      <c r="AH498" s="31">
        <f t="shared" si="339"/>
        <v>3964421.9162949999</v>
      </c>
      <c r="AI498" s="31">
        <f t="shared" si="340"/>
        <v>1.5707963267948966</v>
      </c>
      <c r="AJ498" s="31" t="str">
        <f t="shared" si="323"/>
        <v>-68323.7653864948+5464.03190130618i</v>
      </c>
      <c r="AK498" s="31">
        <f t="shared" si="341"/>
        <v>68541.903688234946</v>
      </c>
      <c r="AL498" s="31">
        <f t="shared" si="342"/>
        <v>3.0617898538210331</v>
      </c>
      <c r="AM498" s="31" t="str">
        <f t="shared" si="324"/>
        <v>1+27211.7920334488i</v>
      </c>
      <c r="AN498" s="31">
        <f t="shared" si="343"/>
        <v>27211.792051823184</v>
      </c>
      <c r="AO498" s="31">
        <f t="shared" si="344"/>
        <v>1.5707595780207504</v>
      </c>
      <c r="AP498" s="31" t="str">
        <f t="shared" si="325"/>
        <v>1+1046.60738590188i</v>
      </c>
      <c r="AQ498" s="31">
        <f t="shared" si="345"/>
        <v>1046.6078636358352</v>
      </c>
      <c r="AR498" s="31">
        <f t="shared" si="346"/>
        <v>1.5698408589574209</v>
      </c>
      <c r="AS498" s="58" t="str">
        <f t="shared" si="347"/>
        <v>-0.0124774714528639+0.157994361628048i</v>
      </c>
      <c r="AT498" s="49">
        <f t="shared" si="348"/>
        <v>-16.00016576090707</v>
      </c>
      <c r="AU498" s="61">
        <f t="shared" si="349"/>
        <v>94.515513795868827</v>
      </c>
      <c r="AV498" s="58" t="str">
        <f t="shared" si="326"/>
        <v>-0.0000312474169173258-0.000110071591754325i</v>
      </c>
      <c r="AW498" s="64">
        <f t="shared" si="350"/>
        <v>-78.829888160328437</v>
      </c>
      <c r="AX498" s="61">
        <f t="shared" si="351"/>
        <v>-105.84832525684453</v>
      </c>
    </row>
    <row r="499" spans="14:50" x14ac:dyDescent="0.25">
      <c r="N499" s="10">
        <v>81</v>
      </c>
      <c r="O499" s="50">
        <f t="shared" si="352"/>
        <v>645654.22903465747</v>
      </c>
      <c r="P499" s="48" t="str">
        <f t="shared" si="317"/>
        <v>304.285714285714</v>
      </c>
      <c r="Q499" s="17" t="str">
        <f t="shared" si="318"/>
        <v>1+211241.557540609i</v>
      </c>
      <c r="R499" s="17">
        <f t="shared" si="327"/>
        <v>211241.55754297596</v>
      </c>
      <c r="S499" s="17">
        <f t="shared" si="328"/>
        <v>1.5707915928778984</v>
      </c>
      <c r="T499" s="17" t="str">
        <f t="shared" si="319"/>
        <v>1+4.38130637862003i</v>
      </c>
      <c r="U499" s="17">
        <f t="shared" si="329"/>
        <v>4.493978814295474</v>
      </c>
      <c r="V499" s="17">
        <f t="shared" si="330"/>
        <v>1.346397847345906</v>
      </c>
      <c r="W499" s="31" t="str">
        <f t="shared" si="320"/>
        <v>1-13.6915824331876i</v>
      </c>
      <c r="X499" s="17">
        <f t="shared" si="331"/>
        <v>13.728052648674222</v>
      </c>
      <c r="Y499" s="17">
        <f t="shared" si="332"/>
        <v>-1.4978882088255496</v>
      </c>
      <c r="Z499" s="31" t="str">
        <f t="shared" si="321"/>
        <v>-25.1746745330618+120.779597992651i</v>
      </c>
      <c r="AA499" s="17">
        <f t="shared" si="333"/>
        <v>123.37534408913304</v>
      </c>
      <c r="AB499" s="17">
        <f t="shared" si="334"/>
        <v>1.7762889851813861</v>
      </c>
      <c r="AC499" s="66" t="str">
        <f t="shared" si="335"/>
        <v>-0.000674890713611036+0.000251705170443375i</v>
      </c>
      <c r="AD499" s="64">
        <f t="shared" si="336"/>
        <v>-62.849724353845545</v>
      </c>
      <c r="AE499" s="61">
        <f t="shared" si="337"/>
        <v>159.54665083730029</v>
      </c>
      <c r="AF499" s="31" t="str">
        <f t="shared" si="322"/>
        <v>-1512.12121212121</v>
      </c>
      <c r="AG499" s="31" t="str">
        <f t="shared" si="338"/>
        <v>4056765.16538892i</v>
      </c>
      <c r="AH499" s="31">
        <f t="shared" si="339"/>
        <v>4056765.1653889199</v>
      </c>
      <c r="AI499" s="31">
        <f t="shared" si="340"/>
        <v>1.5707963267948966</v>
      </c>
      <c r="AJ499" s="31" t="str">
        <f t="shared" si="323"/>
        <v>-71543.8123750791+5591.30555420511i</v>
      </c>
      <c r="AK499" s="31">
        <f t="shared" si="341"/>
        <v>71761.966158690266</v>
      </c>
      <c r="AL499" s="31">
        <f t="shared" si="342"/>
        <v>3.0635989956502758</v>
      </c>
      <c r="AM499" s="31" t="str">
        <f t="shared" si="324"/>
        <v>1+27845.6360952295i</v>
      </c>
      <c r="AN499" s="31">
        <f t="shared" si="343"/>
        <v>27845.636113185632</v>
      </c>
      <c r="AO499" s="31">
        <f t="shared" si="344"/>
        <v>1.5707604145249758</v>
      </c>
      <c r="AP499" s="31" t="str">
        <f t="shared" si="325"/>
        <v>1+1070.98600366267i</v>
      </c>
      <c r="AQ499" s="31">
        <f t="shared" si="345"/>
        <v>1070.9864705220775</v>
      </c>
      <c r="AR499" s="31">
        <f t="shared" si="346"/>
        <v>1.569862608047901</v>
      </c>
      <c r="AS499" s="58" t="str">
        <f t="shared" si="347"/>
        <v>-0.011919286214927+0.154441492820252i</v>
      </c>
      <c r="AT499" s="49">
        <f t="shared" si="348"/>
        <v>-16.198929274735296</v>
      </c>
      <c r="AU499" s="61">
        <f t="shared" si="349"/>
        <v>94.413151663767053</v>
      </c>
      <c r="AV499" s="58" t="str">
        <f t="shared" si="326"/>
        <v>-0.0000308295066945245-0.000107231275268905i</v>
      </c>
      <c r="AW499" s="64">
        <f t="shared" si="350"/>
        <v>-79.048653628580851</v>
      </c>
      <c r="AX499" s="61">
        <f t="shared" si="351"/>
        <v>-106.04019749893264</v>
      </c>
    </row>
    <row r="500" spans="14:50" x14ac:dyDescent="0.25">
      <c r="N500" s="10">
        <v>82</v>
      </c>
      <c r="O500" s="50">
        <f t="shared" si="352"/>
        <v>660693.44800759677</v>
      </c>
      <c r="P500" s="48" t="str">
        <f t="shared" si="317"/>
        <v>304.285714285714</v>
      </c>
      <c r="Q500" s="17" t="str">
        <f t="shared" si="318"/>
        <v>1+216162.005509777i</v>
      </c>
      <c r="R500" s="17">
        <f t="shared" si="327"/>
        <v>216162.00551209011</v>
      </c>
      <c r="S500" s="17">
        <f t="shared" si="328"/>
        <v>1.570791700635005</v>
      </c>
      <c r="T500" s="17" t="str">
        <f t="shared" si="319"/>
        <v>1+4.48336011427684i</v>
      </c>
      <c r="U500" s="17">
        <f t="shared" si="329"/>
        <v>4.5935300058112647</v>
      </c>
      <c r="V500" s="17">
        <f t="shared" si="330"/>
        <v>1.3513415586024073</v>
      </c>
      <c r="W500" s="31" t="str">
        <f t="shared" si="320"/>
        <v>1-14.0105003571151i</v>
      </c>
      <c r="X500" s="17">
        <f t="shared" si="331"/>
        <v>14.046142540096989</v>
      </c>
      <c r="Y500" s="17">
        <f t="shared" si="332"/>
        <v>-1.4995421235699591</v>
      </c>
      <c r="Z500" s="31" t="str">
        <f t="shared" si="321"/>
        <v>-26.4082489395097+123.592916236366i</v>
      </c>
      <c r="AA500" s="17">
        <f t="shared" si="333"/>
        <v>126.38277001181964</v>
      </c>
      <c r="AB500" s="17">
        <f t="shared" si="334"/>
        <v>1.7813020676405054</v>
      </c>
      <c r="AC500" s="66" t="str">
        <f t="shared" si="335"/>
        <v>-0.000672911194274787+0.00025228874621065i</v>
      </c>
      <c r="AD500" s="64">
        <f t="shared" si="336"/>
        <v>-62.86964076973571</v>
      </c>
      <c r="AE500" s="61">
        <f t="shared" si="337"/>
        <v>159.44790765161406</v>
      </c>
      <c r="AF500" s="31" t="str">
        <f t="shared" si="322"/>
        <v>-1512.12121212121</v>
      </c>
      <c r="AG500" s="31" t="str">
        <f t="shared" si="338"/>
        <v>4151259.36507115i</v>
      </c>
      <c r="AH500" s="31">
        <f t="shared" si="339"/>
        <v>4151259.36507115</v>
      </c>
      <c r="AI500" s="31">
        <f t="shared" si="340"/>
        <v>1.5707963267948966</v>
      </c>
      <c r="AJ500" s="31" t="str">
        <f t="shared" si="323"/>
        <v>-74915.6155028902+5721.54379131853i</v>
      </c>
      <c r="AK500" s="31">
        <f t="shared" si="341"/>
        <v>75133.784075692995</v>
      </c>
      <c r="AL500" s="31">
        <f t="shared" si="342"/>
        <v>3.0653674474403001</v>
      </c>
      <c r="AM500" s="31" t="str">
        <f t="shared" si="324"/>
        <v>1+28494.2442818483i</v>
      </c>
      <c r="AN500" s="31">
        <f t="shared" si="343"/>
        <v>28494.244299395701</v>
      </c>
      <c r="AO500" s="31">
        <f t="shared" si="344"/>
        <v>1.5707612319880402</v>
      </c>
      <c r="AP500" s="31" t="str">
        <f t="shared" si="325"/>
        <v>1+1095.93247237878i</v>
      </c>
      <c r="AQ500" s="31">
        <f t="shared" si="345"/>
        <v>1095.9329286111745</v>
      </c>
      <c r="AR500" s="31">
        <f t="shared" si="346"/>
        <v>1.5698838620694935</v>
      </c>
      <c r="AS500" s="58" t="str">
        <f t="shared" si="347"/>
        <v>-0.0113859265847609+0.150966614898359i</v>
      </c>
      <c r="AT500" s="49">
        <f t="shared" si="348"/>
        <v>-16.397748110794478</v>
      </c>
      <c r="AU500" s="61">
        <f t="shared" si="349"/>
        <v>94.313091442844737</v>
      </c>
      <c r="AV500" s="58" t="str">
        <f t="shared" si="326"/>
        <v>-0.0000304254605362965-0.000104459666269392i</v>
      </c>
      <c r="AW500" s="64">
        <f t="shared" si="350"/>
        <v>-79.26738888053022</v>
      </c>
      <c r="AX500" s="61">
        <f t="shared" si="351"/>
        <v>-106.23900090554126</v>
      </c>
    </row>
    <row r="501" spans="14:50" x14ac:dyDescent="0.25">
      <c r="N501" s="10">
        <v>83</v>
      </c>
      <c r="O501" s="50">
        <f t="shared" si="352"/>
        <v>676082.97539198259</v>
      </c>
      <c r="P501" s="48" t="str">
        <f t="shared" si="317"/>
        <v>304.285714285714</v>
      </c>
      <c r="Q501" s="17" t="str">
        <f t="shared" si="318"/>
        <v>1+221197.065435508i</v>
      </c>
      <c r="R501" s="17">
        <f t="shared" si="327"/>
        <v>221197.06543776841</v>
      </c>
      <c r="S501" s="17">
        <f t="shared" si="328"/>
        <v>1.5707918059392605</v>
      </c>
      <c r="T501" s="17" t="str">
        <f t="shared" si="319"/>
        <v>1+4.58779098681053i</v>
      </c>
      <c r="U501" s="17">
        <f t="shared" si="329"/>
        <v>4.6955112755332546</v>
      </c>
      <c r="V501" s="17">
        <f t="shared" si="330"/>
        <v>1.3561832951886237</v>
      </c>
      <c r="W501" s="31" t="str">
        <f t="shared" si="320"/>
        <v>1-14.3368468337829i</v>
      </c>
      <c r="X501" s="17">
        <f t="shared" si="331"/>
        <v>14.371679690813831</v>
      </c>
      <c r="Y501" s="17">
        <f t="shared" si="332"/>
        <v>-1.5011587680244323</v>
      </c>
      <c r="Z501" s="31" t="str">
        <f t="shared" si="321"/>
        <v>-27.6999599166465+126.471765080216i</v>
      </c>
      <c r="AA501" s="17">
        <f t="shared" si="333"/>
        <v>129.46966881045603</v>
      </c>
      <c r="AB501" s="17">
        <f t="shared" si="334"/>
        <v>1.7864125416373169</v>
      </c>
      <c r="AC501" s="66" t="str">
        <f t="shared" si="335"/>
        <v>-0.000670897983155771+0.000252977754043262i</v>
      </c>
      <c r="AD501" s="64">
        <f t="shared" si="336"/>
        <v>-62.889508351396053</v>
      </c>
      <c r="AE501" s="61">
        <f t="shared" si="337"/>
        <v>159.33987719448572</v>
      </c>
      <c r="AF501" s="31" t="str">
        <f t="shared" si="322"/>
        <v>-1512.12121212121</v>
      </c>
      <c r="AG501" s="31" t="str">
        <f t="shared" si="338"/>
        <v>4247954.61741716i</v>
      </c>
      <c r="AH501" s="31">
        <f t="shared" si="339"/>
        <v>4247954.6174171604</v>
      </c>
      <c r="AI501" s="31">
        <f t="shared" si="340"/>
        <v>1.5707963267948966</v>
      </c>
      <c r="AJ501" s="31" t="str">
        <f t="shared" si="323"/>
        <v>-78446.3268164291+5854.81566668371i</v>
      </c>
      <c r="AK501" s="31">
        <f t="shared" si="341"/>
        <v>78664.509516559294</v>
      </c>
      <c r="AL501" s="31">
        <f t="shared" si="342"/>
        <v>3.0670961028831036</v>
      </c>
      <c r="AM501" s="31" t="str">
        <f t="shared" si="324"/>
        <v>1+29157.9604939513i</v>
      </c>
      <c r="AN501" s="31">
        <f t="shared" si="343"/>
        <v>29157.960511099274</v>
      </c>
      <c r="AO501" s="31">
        <f t="shared" si="344"/>
        <v>1.5707620308433736</v>
      </c>
      <c r="AP501" s="31" t="str">
        <f t="shared" si="325"/>
        <v>1+1121.46001899813i</v>
      </c>
      <c r="AQ501" s="31">
        <f t="shared" si="345"/>
        <v>1121.4604648454113</v>
      </c>
      <c r="AR501" s="31">
        <f t="shared" si="346"/>
        <v>1.5699046322912855</v>
      </c>
      <c r="AS501" s="58" t="str">
        <f t="shared" si="347"/>
        <v>-0.0108763011257956+0.147568142509504i</v>
      </c>
      <c r="AT501" s="49">
        <f t="shared" si="348"/>
        <v>-16.596619807943036</v>
      </c>
      <c r="AU501" s="61">
        <f t="shared" si="349"/>
        <v>94.215282598827031</v>
      </c>
      <c r="AV501" s="58" t="str">
        <f t="shared" si="326"/>
        <v>-0.0000300345687708992-0.000101754631418772i</v>
      </c>
      <c r="AW501" s="64">
        <f t="shared" si="350"/>
        <v>-79.48612815933906</v>
      </c>
      <c r="AX501" s="61">
        <f t="shared" si="351"/>
        <v>-106.44484020668718</v>
      </c>
    </row>
    <row r="502" spans="14:50" x14ac:dyDescent="0.25">
      <c r="N502" s="10">
        <v>84</v>
      </c>
      <c r="O502" s="50">
        <f t="shared" si="352"/>
        <v>691830.97091893724</v>
      </c>
      <c r="P502" s="48" t="str">
        <f t="shared" si="317"/>
        <v>304.285714285714</v>
      </c>
      <c r="Q502" s="17" t="str">
        <f t="shared" si="318"/>
        <v>1+226349.406973223i</v>
      </c>
      <c r="R502" s="17">
        <f t="shared" si="327"/>
        <v>226349.40697543195</v>
      </c>
      <c r="S502" s="17">
        <f t="shared" si="328"/>
        <v>1.5707919088464983</v>
      </c>
      <c r="T502" s="17" t="str">
        <f t="shared" si="319"/>
        <v>1+4.69465436685202i</v>
      </c>
      <c r="U502" s="17">
        <f t="shared" si="329"/>
        <v>4.7999770441328922</v>
      </c>
      <c r="V502" s="17">
        <f t="shared" si="330"/>
        <v>1.3609247158263242</v>
      </c>
      <c r="W502" s="31" t="str">
        <f t="shared" si="320"/>
        <v>1-14.6707948964126i</v>
      </c>
      <c r="X502" s="17">
        <f t="shared" si="331"/>
        <v>14.704836717645183</v>
      </c>
      <c r="Y502" s="17">
        <f t="shared" si="332"/>
        <v>-1.5027389655349701</v>
      </c>
      <c r="Z502" s="31" t="str">
        <f t="shared" si="321"/>
        <v>-29.0525473566371+129.417670927963i</v>
      </c>
      <c r="AA502" s="17">
        <f t="shared" si="333"/>
        <v>132.63854664586822</v>
      </c>
      <c r="AB502" s="17">
        <f t="shared" si="334"/>
        <v>1.7916221600877524</v>
      </c>
      <c r="AC502" s="66" t="str">
        <f t="shared" si="335"/>
        <v>-0.000668847662129905+0.000253770789268084i</v>
      </c>
      <c r="AD502" s="64">
        <f t="shared" si="336"/>
        <v>-62.909363705951861</v>
      </c>
      <c r="AE502" s="61">
        <f t="shared" si="337"/>
        <v>159.22250689153742</v>
      </c>
      <c r="AF502" s="31" t="str">
        <f t="shared" si="322"/>
        <v>-1512.12121212121</v>
      </c>
      <c r="AG502" s="31" t="str">
        <f t="shared" si="338"/>
        <v>4346902.19152965i</v>
      </c>
      <c r="AH502" s="31">
        <f t="shared" si="339"/>
        <v>4346902.1915296502</v>
      </c>
      <c r="AI502" s="31">
        <f t="shared" si="340"/>
        <v>1.5707963267948966</v>
      </c>
      <c r="AJ502" s="31" t="str">
        <f t="shared" si="323"/>
        <v>-82143.4354277618+5991.19184281301i</v>
      </c>
      <c r="AK502" s="31">
        <f t="shared" si="341"/>
        <v>82361.631622814879</v>
      </c>
      <c r="AL502" s="31">
        <f t="shared" si="342"/>
        <v>3.0687858374718062</v>
      </c>
      <c r="AM502" s="31" t="str">
        <f t="shared" si="324"/>
        <v>1+29837.1366426595i</v>
      </c>
      <c r="AN502" s="31">
        <f t="shared" si="343"/>
        <v>29837.136659417141</v>
      </c>
      <c r="AO502" s="31">
        <f t="shared" si="344"/>
        <v>1.5707628115145398</v>
      </c>
      <c r="AP502" s="31" t="str">
        <f t="shared" si="325"/>
        <v>1+1147.58217856383i</v>
      </c>
      <c r="AQ502" s="31">
        <f t="shared" si="345"/>
        <v>1147.5826142623919</v>
      </c>
      <c r="AR502" s="31">
        <f t="shared" si="346"/>
        <v>1.5699249297258515</v>
      </c>
      <c r="AS502" s="58" t="str">
        <f t="shared" si="347"/>
        <v>-0.0103893652736297+0.144244513973712i</v>
      </c>
      <c r="AT502" s="49">
        <f t="shared" si="348"/>
        <v>-16.795542013298295</v>
      </c>
      <c r="AU502" s="61">
        <f t="shared" si="349"/>
        <v>94.119675624895706</v>
      </c>
      <c r="AV502" s="58" t="str">
        <f t="shared" si="326"/>
        <v>-0.0000296561414844192-0.0000991141233718651i</v>
      </c>
      <c r="AW502" s="64">
        <f t="shared" si="350"/>
        <v>-79.704905719250149</v>
      </c>
      <c r="AX502" s="61">
        <f t="shared" si="351"/>
        <v>-106.65781748356686</v>
      </c>
    </row>
    <row r="503" spans="14:50" x14ac:dyDescent="0.25">
      <c r="N503" s="10">
        <v>85</v>
      </c>
      <c r="O503" s="50">
        <f t="shared" si="352"/>
        <v>707945.78438413853</v>
      </c>
      <c r="P503" s="48" t="str">
        <f t="shared" si="317"/>
        <v>304.285714285714</v>
      </c>
      <c r="Q503" s="17" t="str">
        <f t="shared" si="318"/>
        <v>1+231621.761962604i</v>
      </c>
      <c r="R503" s="17">
        <f t="shared" si="327"/>
        <v>231621.7619647627</v>
      </c>
      <c r="S503" s="17">
        <f t="shared" si="328"/>
        <v>1.5707920094112815</v>
      </c>
      <c r="T503" s="17" t="str">
        <f t="shared" si="319"/>
        <v>1+4.80400691477992i</v>
      </c>
      <c r="U503" s="17">
        <f t="shared" si="329"/>
        <v>4.9069830280176516</v>
      </c>
      <c r="V503" s="17">
        <f t="shared" si="330"/>
        <v>1.3655674813478609</v>
      </c>
      <c r="W503" s="31" t="str">
        <f t="shared" si="320"/>
        <v>1-15.0125216086873i</v>
      </c>
      <c r="X503" s="17">
        <f t="shared" si="331"/>
        <v>15.045790276728674</v>
      </c>
      <c r="Y503" s="17">
        <f t="shared" si="332"/>
        <v>-1.5042835223591375</v>
      </c>
      <c r="Z503" s="31" t="str">
        <f t="shared" si="321"/>
        <v>-30.4688802787864+132.432195737881i</v>
      </c>
      <c r="AA503" s="17">
        <f t="shared" si="333"/>
        <v>135.89201276528152</v>
      </c>
      <c r="AB503" s="17">
        <f t="shared" si="334"/>
        <v>1.7969326670009382</v>
      </c>
      <c r="AC503" s="66" t="str">
        <f t="shared" si="335"/>
        <v>-0.000666756808064342+0.000254666394056239i</v>
      </c>
      <c r="AD503" s="64">
        <f t="shared" si="336"/>
        <v>-62.929243381105195</v>
      </c>
      <c r="AE503" s="61">
        <f t="shared" si="337"/>
        <v>159.09574577880917</v>
      </c>
      <c r="AF503" s="31" t="str">
        <f t="shared" si="322"/>
        <v>-1512.12121212121</v>
      </c>
      <c r="AG503" s="31" t="str">
        <f t="shared" si="338"/>
        <v>4448154.55072215i</v>
      </c>
      <c r="AH503" s="31">
        <f t="shared" si="339"/>
        <v>4448154.5507221501</v>
      </c>
      <c r="AI503" s="31">
        <f t="shared" si="340"/>
        <v>1.5707963267948966</v>
      </c>
      <c r="AJ503" s="31" t="str">
        <f t="shared" si="323"/>
        <v>-86014.7833999333+6130.74462816017i</v>
      </c>
      <c r="AK503" s="31">
        <f t="shared" si="341"/>
        <v>86232.992485667317</v>
      </c>
      <c r="AL503" s="31">
        <f t="shared" si="342"/>
        <v>3.0704375087747082</v>
      </c>
      <c r="AM503" s="31" t="str">
        <f t="shared" si="324"/>
        <v>1+30532.1328361568i</v>
      </c>
      <c r="AN503" s="31">
        <f t="shared" si="343"/>
        <v>30532.132852532992</v>
      </c>
      <c r="AO503" s="31">
        <f t="shared" si="344"/>
        <v>1.5707635744154604</v>
      </c>
      <c r="AP503" s="31" t="str">
        <f t="shared" si="325"/>
        <v>1+1174.31280139065i</v>
      </c>
      <c r="AQ503" s="31">
        <f t="shared" si="345"/>
        <v>1174.3132271715056</v>
      </c>
      <c r="AR503" s="31">
        <f t="shared" si="346"/>
        <v>1.5699447651350931</v>
      </c>
      <c r="AS503" s="58" t="str">
        <f t="shared" si="347"/>
        <v>-0.0099241194208377+0.140994191545348i</v>
      </c>
      <c r="AT503" s="49">
        <f t="shared" si="348"/>
        <v>-16.994512477582731</v>
      </c>
      <c r="AU503" s="61">
        <f t="shared" si="349"/>
        <v>94.026222026333926</v>
      </c>
      <c r="AV503" s="58" t="str">
        <f t="shared" si="326"/>
        <v>-0.0000292895081558413-0.0000965361768174769i</v>
      </c>
      <c r="AW503" s="64">
        <f t="shared" si="350"/>
        <v>-79.923755858687926</v>
      </c>
      <c r="AX503" s="61">
        <f t="shared" si="351"/>
        <v>-106.87803219485689</v>
      </c>
    </row>
    <row r="504" spans="14:50" x14ac:dyDescent="0.25">
      <c r="N504" s="10">
        <v>86</v>
      </c>
      <c r="O504" s="50">
        <f t="shared" si="352"/>
        <v>724435.96007499192</v>
      </c>
      <c r="P504" s="48" t="str">
        <f t="shared" si="317"/>
        <v>304.285714285714</v>
      </c>
      <c r="Q504" s="17" t="str">
        <f t="shared" si="318"/>
        <v>1+237016.925876054i</v>
      </c>
      <c r="R504" s="17">
        <f t="shared" si="327"/>
        <v>237016.92587816357</v>
      </c>
      <c r="S504" s="17">
        <f t="shared" si="328"/>
        <v>1.5707921076869309</v>
      </c>
      <c r="T504" s="17" t="str">
        <f t="shared" si="319"/>
        <v>1+4.91590661076259i</v>
      </c>
      <c r="U504" s="17">
        <f t="shared" si="329"/>
        <v>5.016586270138224</v>
      </c>
      <c r="V504" s="17">
        <f t="shared" si="330"/>
        <v>1.3701132524267958</v>
      </c>
      <c r="W504" s="31" t="str">
        <f t="shared" si="320"/>
        <v>1-15.3622081586331i</v>
      </c>
      <c r="X504" s="17">
        <f t="shared" si="331"/>
        <v>15.394721157240017</v>
      </c>
      <c r="Y504" s="17">
        <f t="shared" si="332"/>
        <v>-1.5057932279465762</v>
      </c>
      <c r="Z504" s="31" t="str">
        <f t="shared" si="321"/>
        <v>-31.9519629151132+135.516937850927i</v>
      </c>
      <c r="AA504" s="17">
        <f t="shared" si="333"/>
        <v>139.23278485551018</v>
      </c>
      <c r="AB504" s="17">
        <f t="shared" si="334"/>
        <v>1.8023457947820987</v>
      </c>
      <c r="AC504" s="66" t="str">
        <f t="shared" si="335"/>
        <v>-0.000664621991538076+0.000255663051545107i</v>
      </c>
      <c r="AD504" s="64">
        <f t="shared" si="336"/>
        <v>-62.949183902583684</v>
      </c>
      <c r="AE504" s="61">
        <f t="shared" si="337"/>
        <v>158.95954451119175</v>
      </c>
      <c r="AF504" s="31" t="str">
        <f t="shared" si="322"/>
        <v>-1512.12121212121</v>
      </c>
      <c r="AG504" s="31" t="str">
        <f t="shared" si="338"/>
        <v>4551765.38033573i</v>
      </c>
      <c r="AH504" s="31">
        <f t="shared" si="339"/>
        <v>4551765.3803357296</v>
      </c>
      <c r="AI504" s="31">
        <f t="shared" si="340"/>
        <v>1.5707963267948966</v>
      </c>
      <c r="AJ504" s="31" t="str">
        <f t="shared" si="323"/>
        <v>-90068.5823810331+6273.54801545919i</v>
      </c>
      <c r="AK504" s="31">
        <f t="shared" si="341"/>
        <v>90286.80378012736</v>
      </c>
      <c r="AL504" s="31">
        <f t="shared" si="342"/>
        <v>3.0720519567121558</v>
      </c>
      <c r="AM504" s="31" t="str">
        <f t="shared" si="324"/>
        <v>1+31243.3175706244i</v>
      </c>
      <c r="AN504" s="31">
        <f t="shared" si="343"/>
        <v>31243.317586627818</v>
      </c>
      <c r="AO504" s="31">
        <f t="shared" si="344"/>
        <v>1.5707643199506363</v>
      </c>
      <c r="AP504" s="31" t="str">
        <f t="shared" si="325"/>
        <v>1+1201.66606040863i</v>
      </c>
      <c r="AQ504" s="31">
        <f t="shared" si="345"/>
        <v>1201.6664764975335</v>
      </c>
      <c r="AR504" s="31">
        <f t="shared" si="346"/>
        <v>1.5699641490359442</v>
      </c>
      <c r="AS504" s="58" t="str">
        <f t="shared" si="347"/>
        <v>-0.00947960707133367+0.137815661618229i</v>
      </c>
      <c r="AT504" s="49">
        <f t="shared" si="348"/>
        <v>-17.193529050660214</v>
      </c>
      <c r="AU504" s="61">
        <f t="shared" si="349"/>
        <v>93.93487430500295</v>
      </c>
      <c r="AV504" s="58" t="str">
        <f t="shared" si="326"/>
        <v>-0.0000289340172692761-0.0000940189047611507i</v>
      </c>
      <c r="AW504" s="64">
        <f t="shared" si="350"/>
        <v>-80.142712953243901</v>
      </c>
      <c r="AX504" s="61">
        <f t="shared" si="351"/>
        <v>-107.10558118380527</v>
      </c>
    </row>
    <row r="505" spans="14:50" x14ac:dyDescent="0.25">
      <c r="N505" s="10">
        <v>87</v>
      </c>
      <c r="O505" s="50">
        <f t="shared" si="352"/>
        <v>741310.24130091805</v>
      </c>
      <c r="P505" s="48" t="str">
        <f t="shared" si="317"/>
        <v>304.285714285714</v>
      </c>
      <c r="Q505" s="17" t="str">
        <f t="shared" si="318"/>
        <v>1+242537.759300892i</v>
      </c>
      <c r="R505" s="17">
        <f t="shared" si="327"/>
        <v>242537.75930295355</v>
      </c>
      <c r="S505" s="17">
        <f t="shared" si="328"/>
        <v>1.5707922037255533</v>
      </c>
      <c r="T505" s="17" t="str">
        <f t="shared" si="319"/>
        <v>1+5.03041278549997i</v>
      </c>
      <c r="U505" s="17">
        <f t="shared" si="329"/>
        <v>5.1288451714320225</v>
      </c>
      <c r="V505" s="17">
        <f t="shared" si="330"/>
        <v>1.3745636874653373</v>
      </c>
      <c r="W505" s="31" t="str">
        <f t="shared" si="320"/>
        <v>1-15.7200399546874i</v>
      </c>
      <c r="X505" s="17">
        <f t="shared" si="331"/>
        <v>15.751814377301688</v>
      </c>
      <c r="Y505" s="17">
        <f t="shared" si="332"/>
        <v>-1.5072688552201714</v>
      </c>
      <c r="Z505" s="31" t="str">
        <f t="shared" si="321"/>
        <v>-33.5049410827293+138.6735328382i</v>
      </c>
      <c r="AA505" s="17">
        <f t="shared" si="333"/>
        <v>142.66369470466023</v>
      </c>
      <c r="AB505" s="17">
        <f t="shared" si="334"/>
        <v>1.8078632613533492</v>
      </c>
      <c r="AC505" s="66" t="str">
        <f t="shared" si="335"/>
        <v>-0.000662439775977868+0.000256759179786366i</v>
      </c>
      <c r="AD505" s="64">
        <f t="shared" si="336"/>
        <v>-62.969221811136968</v>
      </c>
      <c r="AE505" s="61">
        <f t="shared" si="337"/>
        <v>158.81385539024097</v>
      </c>
      <c r="AF505" s="31" t="str">
        <f t="shared" si="322"/>
        <v>-1512.12121212121</v>
      </c>
      <c r="AG505" s="31" t="str">
        <f t="shared" si="338"/>
        <v>4657789.61620368i</v>
      </c>
      <c r="AH505" s="31">
        <f t="shared" si="339"/>
        <v>4657789.6162036797</v>
      </c>
      <c r="AI505" s="31">
        <f t="shared" si="340"/>
        <v>1.5707963267948966</v>
      </c>
      <c r="AJ505" s="31" t="str">
        <f t="shared" si="323"/>
        <v>-94313.4310222013+6419.67772095621i</v>
      </c>
      <c r="AK505" s="31">
        <f t="shared" si="341"/>
        <v>94531.664183068657</v>
      </c>
      <c r="AL505" s="31">
        <f t="shared" si="342"/>
        <v>3.0736300038355759</v>
      </c>
      <c r="AM505" s="31" t="str">
        <f t="shared" si="324"/>
        <v>1+31971.067925622i</v>
      </c>
      <c r="AN505" s="31">
        <f t="shared" si="343"/>
        <v>31971.067941261139</v>
      </c>
      <c r="AO505" s="31">
        <f t="shared" si="344"/>
        <v>1.5707650485153597</v>
      </c>
      <c r="AP505" s="31" t="str">
        <f t="shared" si="325"/>
        <v>1+1229.65645867777i</v>
      </c>
      <c r="AQ505" s="31">
        <f t="shared" si="345"/>
        <v>1229.656865295337</v>
      </c>
      <c r="AR505" s="31">
        <f t="shared" si="346"/>
        <v>1.5699830917059476</v>
      </c>
      <c r="AS505" s="58" t="str">
        <f t="shared" si="347"/>
        <v>-0.00905491306256313+0.13470743487872i</v>
      </c>
      <c r="AT505" s="49">
        <f t="shared" si="348"/>
        <v>-17.392589677255543</v>
      </c>
      <c r="AU505" s="61">
        <f t="shared" si="349"/>
        <v>93.845585943685833</v>
      </c>
      <c r="AV505" s="58" t="str">
        <f t="shared" si="326"/>
        <v>-0.0000285890359099221-0.0000915604950345931i</v>
      </c>
      <c r="AW505" s="64">
        <f t="shared" si="350"/>
        <v>-80.361811488392505</v>
      </c>
      <c r="AX505" s="61">
        <f t="shared" si="351"/>
        <v>-107.34055866607319</v>
      </c>
    </row>
    <row r="506" spans="14:50" x14ac:dyDescent="0.25">
      <c r="N506" s="10">
        <v>88</v>
      </c>
      <c r="O506" s="50">
        <f t="shared" si="352"/>
        <v>758577.57502918423</v>
      </c>
      <c r="P506" s="48" t="str">
        <f t="shared" si="317"/>
        <v>304.285714285714</v>
      </c>
      <c r="Q506" s="17" t="str">
        <f t="shared" si="318"/>
        <v>1+248187.189456079i</v>
      </c>
      <c r="R506" s="17">
        <f t="shared" si="327"/>
        <v>248187.18945809361</v>
      </c>
      <c r="S506" s="17">
        <f t="shared" si="328"/>
        <v>1.5707922975780697</v>
      </c>
      <c r="T506" s="17" t="str">
        <f t="shared" si="319"/>
        <v>1+5.14758615168163i</v>
      </c>
      <c r="U506" s="17">
        <f t="shared" si="329"/>
        <v>5.2438195229226281</v>
      </c>
      <c r="V506" s="17">
        <f t="shared" si="330"/>
        <v>1.3789204406320446</v>
      </c>
      <c r="W506" s="31" t="str">
        <f t="shared" si="320"/>
        <v>1-16.0862067240051i</v>
      </c>
      <c r="X506" s="17">
        <f t="shared" si="331"/>
        <v>16.117259282130657</v>
      </c>
      <c r="Y506" s="17">
        <f t="shared" si="332"/>
        <v>-1.5087111608574064</v>
      </c>
      <c r="Z506" s="31" t="str">
        <f t="shared" si="321"/>
        <v>-35.1311088565403+141.903654368145i</v>
      </c>
      <c r="AA506" s="17">
        <f t="shared" si="333"/>
        <v>146.18769418977797</v>
      </c>
      <c r="AB506" s="17">
        <f t="shared" si="334"/>
        <v>1.8134867670865651</v>
      </c>
      <c r="AC506" s="66" t="str">
        <f t="shared" si="335"/>
        <v>-0.000660206717230901+0.000257953125529353i</v>
      </c>
      <c r="AD506" s="64">
        <f t="shared" si="336"/>
        <v>-62.989393698934542</v>
      </c>
      <c r="AE506" s="61">
        <f t="shared" si="337"/>
        <v>158.65863241135813</v>
      </c>
      <c r="AF506" s="31" t="str">
        <f t="shared" si="322"/>
        <v>-1512.12121212121</v>
      </c>
      <c r="AG506" s="31" t="str">
        <f t="shared" si="338"/>
        <v>4766283.47377929i</v>
      </c>
      <c r="AH506" s="31">
        <f t="shared" si="339"/>
        <v>4766283.47377929</v>
      </c>
      <c r="AI506" s="31">
        <f t="shared" si="340"/>
        <v>1.5707963267948966</v>
      </c>
      <c r="AJ506" s="31" t="str">
        <f t="shared" si="323"/>
        <v>-98758.3332165246+6569.21122455537i</v>
      </c>
      <c r="AK506" s="31">
        <f t="shared" si="341"/>
        <v>98976.577612175141</v>
      </c>
      <c r="AL506" s="31">
        <f t="shared" si="342"/>
        <v>3.075172455608107</v>
      </c>
      <c r="AM506" s="31" t="str">
        <f t="shared" si="324"/>
        <v>1+32715.769764021i</v>
      </c>
      <c r="AN506" s="31">
        <f t="shared" si="343"/>
        <v>32715.769779304144</v>
      </c>
      <c r="AO506" s="31">
        <f t="shared" si="344"/>
        <v>1.5707657604959251</v>
      </c>
      <c r="AP506" s="31" t="str">
        <f t="shared" si="325"/>
        <v>1+1258.29883707773i</v>
      </c>
      <c r="AQ506" s="31">
        <f t="shared" si="345"/>
        <v>1258.2992344395541</v>
      </c>
      <c r="AR506" s="31">
        <f t="shared" si="346"/>
        <v>1.5700016031887032</v>
      </c>
      <c r="AS506" s="58" t="str">
        <f t="shared" si="347"/>
        <v>-0.00864916185376096+0.131668046410841i</v>
      </c>
      <c r="AT506" s="49">
        <f t="shared" si="348"/>
        <v>-17.591692392852366</v>
      </c>
      <c r="AU506" s="61">
        <f t="shared" si="349"/>
        <v>93.758311390333276</v>
      </c>
      <c r="AV506" s="58" t="str">
        <f t="shared" si="326"/>
        <v>-0.0000282539493497501-0.0000891592070184941i</v>
      </c>
      <c r="AW506" s="64">
        <f t="shared" si="350"/>
        <v>-80.581086091786915</v>
      </c>
      <c r="AX506" s="61">
        <f t="shared" si="351"/>
        <v>-107.58305619830861</v>
      </c>
    </row>
    <row r="507" spans="14:50" x14ac:dyDescent="0.25">
      <c r="N507" s="10">
        <v>89</v>
      </c>
      <c r="O507" s="50">
        <f t="shared" si="352"/>
        <v>776247.11662869214</v>
      </c>
      <c r="P507" s="48" t="str">
        <f t="shared" si="317"/>
        <v>304.285714285714</v>
      </c>
      <c r="Q507" s="17" t="str">
        <f t="shared" si="318"/>
        <v>1+253968.211744262i</v>
      </c>
      <c r="R507" s="17">
        <f t="shared" si="327"/>
        <v>253968.21174623075</v>
      </c>
      <c r="S507" s="17">
        <f t="shared" si="328"/>
        <v>1.5707923892942419</v>
      </c>
      <c r="T507" s="17" t="str">
        <f t="shared" si="319"/>
        <v>1+5.26748883617727i</v>
      </c>
      <c r="U507" s="17">
        <f t="shared" si="329"/>
        <v>5.3615705384944965</v>
      </c>
      <c r="V507" s="17">
        <f t="shared" si="330"/>
        <v>1.3831851600432314</v>
      </c>
      <c r="W507" s="31" t="str">
        <f t="shared" si="320"/>
        <v>1-16.460902613054i</v>
      </c>
      <c r="X507" s="17">
        <f t="shared" si="331"/>
        <v>16.491249644476554</v>
      </c>
      <c r="Y507" s="17">
        <f t="shared" si="332"/>
        <v>-1.5101208855714825</v>
      </c>
      <c r="Z507" s="31" t="str">
        <f t="shared" si="321"/>
        <v>-36.833915556418+145.209015093953i</v>
      </c>
      <c r="AA507" s="17">
        <f t="shared" si="333"/>
        <v>149.80786160870599</v>
      </c>
      <c r="AB507" s="17">
        <f t="shared" si="334"/>
        <v>1.8192179915428555</v>
      </c>
      <c r="AC507" s="66" t="str">
        <f t="shared" si="335"/>
        <v>-0.000657919363596676+0.000259243157851337i</v>
      </c>
      <c r="AD507" s="64">
        <f t="shared" si="336"/>
        <v>-63.009736245216203</v>
      </c>
      <c r="AE507" s="61">
        <f t="shared" si="337"/>
        <v>158.49383133029758</v>
      </c>
      <c r="AF507" s="31" t="str">
        <f t="shared" si="322"/>
        <v>-1512.12121212121</v>
      </c>
      <c r="AG507" s="31" t="str">
        <f t="shared" si="338"/>
        <v>4877304.47794192i</v>
      </c>
      <c r="AH507" s="31">
        <f t="shared" si="339"/>
        <v>4877304.47794192</v>
      </c>
      <c r="AI507" s="31">
        <f t="shared" si="340"/>
        <v>1.5707963267948966</v>
      </c>
      <c r="AJ507" s="31" t="str">
        <f t="shared" si="323"/>
        <v>-103412.717197494+6722.22781089958i</v>
      </c>
      <c r="AK507" s="31">
        <f t="shared" si="341"/>
        <v>103630.97232444797</v>
      </c>
      <c r="AL507" s="31">
        <f t="shared" si="342"/>
        <v>3.0766801006862661</v>
      </c>
      <c r="AM507" s="31" t="str">
        <f t="shared" si="324"/>
        <v>1+33477.8179365933i</v>
      </c>
      <c r="AN507" s="31">
        <f t="shared" si="343"/>
        <v>33477.817951528559</v>
      </c>
      <c r="AO507" s="31">
        <f t="shared" si="344"/>
        <v>1.5707664562698345</v>
      </c>
      <c r="AP507" s="31" t="str">
        <f t="shared" si="325"/>
        <v>1+1287.60838217667i</v>
      </c>
      <c r="AQ507" s="31">
        <f t="shared" si="345"/>
        <v>1287.6087704934373</v>
      </c>
      <c r="AR507" s="31">
        <f t="shared" si="346"/>
        <v>1.5700196932991932</v>
      </c>
      <c r="AS507" s="58" t="str">
        <f t="shared" si="347"/>
        <v>-0.00826151587848586+0.128696055757249i</v>
      </c>
      <c r="AT507" s="49">
        <f t="shared" si="348"/>
        <v>-17.790835319759122</v>
      </c>
      <c r="AU507" s="61">
        <f t="shared" si="349"/>
        <v>93.673006042241582</v>
      </c>
      <c r="AV507" s="58" t="str">
        <f t="shared" si="326"/>
        <v>-0.0000279281606284037-0.0000868133685661892i</v>
      </c>
      <c r="AW507" s="64">
        <f t="shared" si="350"/>
        <v>-80.800571564975314</v>
      </c>
      <c r="AX507" s="61">
        <f t="shared" si="351"/>
        <v>-107.83316262746084</v>
      </c>
    </row>
    <row r="508" spans="14:50" x14ac:dyDescent="0.25">
      <c r="N508" s="10">
        <v>90</v>
      </c>
      <c r="O508" s="50">
        <f t="shared" si="352"/>
        <v>794328.23472428333</v>
      </c>
      <c r="P508" s="48" t="str">
        <f t="shared" si="317"/>
        <v>304.285714285714</v>
      </c>
      <c r="Q508" s="17" t="str">
        <f t="shared" si="318"/>
        <v>1+259883.891339979i</v>
      </c>
      <c r="R508" s="17">
        <f t="shared" si="327"/>
        <v>259883.8913419029</v>
      </c>
      <c r="S508" s="17">
        <f t="shared" si="328"/>
        <v>1.5707924789226995</v>
      </c>
      <c r="T508" s="17" t="str">
        <f t="shared" si="319"/>
        <v>1+5.39018441297732i</v>
      </c>
      <c r="U508" s="17">
        <f t="shared" si="329"/>
        <v>5.4821608883636079</v>
      </c>
      <c r="V508" s="17">
        <f t="shared" si="330"/>
        <v>1.3873594860815737</v>
      </c>
      <c r="W508" s="31" t="str">
        <f t="shared" si="320"/>
        <v>1-16.8443262905541i</v>
      </c>
      <c r="X508" s="17">
        <f t="shared" si="331"/>
        <v>16.873983767405136</v>
      </c>
      <c r="Y508" s="17">
        <f t="shared" si="332"/>
        <v>-1.5114987543918139</v>
      </c>
      <c r="Z508" s="31" t="str">
        <f t="shared" si="321"/>
        <v>-38.6169730636725+148.591367561633i</v>
      </c>
      <c r="AA508" s="17">
        <f t="shared" si="333"/>
        <v>153.52740837530192</v>
      </c>
      <c r="AB508" s="17">
        <f t="shared" si="334"/>
        <v>1.8250585900136436</v>
      </c>
      <c r="AC508" s="66" t="str">
        <f t="shared" si="335"/>
        <v>-0.000655574256341757+0.000260627461648787i</v>
      </c>
      <c r="AD508" s="64">
        <f t="shared" si="336"/>
        <v>-63.030286251042895</v>
      </c>
      <c r="AE508" s="61">
        <f t="shared" si="337"/>
        <v>158.31940974893948</v>
      </c>
      <c r="AF508" s="31" t="str">
        <f t="shared" si="322"/>
        <v>-1512.12121212121</v>
      </c>
      <c r="AG508" s="31" t="str">
        <f t="shared" si="338"/>
        <v>4990911.49349752i</v>
      </c>
      <c r="AH508" s="31">
        <f t="shared" si="339"/>
        <v>4990911.4934975198</v>
      </c>
      <c r="AI508" s="31">
        <f t="shared" si="340"/>
        <v>1.5707963267948966</v>
      </c>
      <c r="AJ508" s="31" t="str">
        <f t="shared" si="323"/>
        <v>-108286.455537559+6878.80861140835i</v>
      </c>
      <c r="AK508" s="31">
        <f t="shared" si="341"/>
        <v>108504.72091480688</v>
      </c>
      <c r="AL508" s="31">
        <f t="shared" si="342"/>
        <v>3.0781537112021797</v>
      </c>
      <c r="AM508" s="31" t="str">
        <f t="shared" si="324"/>
        <v>1+34257.6164913669i</v>
      </c>
      <c r="AN508" s="31">
        <f t="shared" si="343"/>
        <v>34257.616505962193</v>
      </c>
      <c r="AO508" s="31">
        <f t="shared" si="344"/>
        <v>1.5707671362059961</v>
      </c>
      <c r="AP508" s="31" t="str">
        <f t="shared" si="325"/>
        <v>1+1317.60063428334i</v>
      </c>
      <c r="AQ508" s="31">
        <f t="shared" si="345"/>
        <v>1317.6010137609412</v>
      </c>
      <c r="AR508" s="31">
        <f t="shared" si="346"/>
        <v>1.5700373716289866</v>
      </c>
      <c r="AS508" s="58" t="str">
        <f t="shared" si="347"/>
        <v>-0.00789117395961962+0.125790046939587i</v>
      </c>
      <c r="AT508" s="49">
        <f t="shared" si="348"/>
        <v>-17.990016663341098</v>
      </c>
      <c r="AU508" s="61">
        <f t="shared" si="349"/>
        <v>93.589626230192025</v>
      </c>
      <c r="AV508" s="58" t="str">
        <f t="shared" si="326"/>
        <v>-0.0000276110901343053-0.0000845213731161391i</v>
      </c>
      <c r="AW508" s="64">
        <f t="shared" si="350"/>
        <v>-81.02030291438399</v>
      </c>
      <c r="AX508" s="61">
        <f t="shared" si="351"/>
        <v>-108.09096402086851</v>
      </c>
    </row>
    <row r="509" spans="14:50" x14ac:dyDescent="0.25">
      <c r="N509" s="10">
        <v>91</v>
      </c>
      <c r="O509" s="50">
        <f t="shared" si="352"/>
        <v>812830.51616410096</v>
      </c>
      <c r="P509" s="48" t="str">
        <f t="shared" si="317"/>
        <v>304.285714285714</v>
      </c>
      <c r="Q509" s="17" t="str">
        <f t="shared" si="318"/>
        <v>1+265937.364814853i</v>
      </c>
      <c r="R509" s="17">
        <f t="shared" si="327"/>
        <v>265937.36481673317</v>
      </c>
      <c r="S509" s="17">
        <f t="shared" si="328"/>
        <v>1.5707925665109641</v>
      </c>
      <c r="T509" s="17" t="str">
        <f t="shared" si="319"/>
        <v>1+5.51573793690064i</v>
      </c>
      <c r="U509" s="17">
        <f t="shared" si="329"/>
        <v>5.6056547332639859</v>
      </c>
      <c r="V509" s="17">
        <f t="shared" si="330"/>
        <v>1.3914450498454483</v>
      </c>
      <c r="W509" s="31" t="str">
        <f t="shared" si="320"/>
        <v>1-17.2366810528145i</v>
      </c>
      <c r="X509" s="17">
        <f t="shared" si="331"/>
        <v>17.265664589480895</v>
      </c>
      <c r="Y509" s="17">
        <f t="shared" si="332"/>
        <v>-1.5128454769435444</v>
      </c>
      <c r="Z509" s="31" t="str">
        <f t="shared" si="321"/>
        <v>-40.4840634823349+152.052505139232i</v>
      </c>
      <c r="AA509" s="17">
        <f t="shared" si="333"/>
        <v>157.34968609805961</v>
      </c>
      <c r="AB509" s="17">
        <f t="shared" si="334"/>
        <v>1.8310101898587663</v>
      </c>
      <c r="AC509" s="66" t="str">
        <f t="shared" si="335"/>
        <v>-0.00065316793072168+0.000262104131006408i</v>
      </c>
      <c r="AD509" s="64">
        <f t="shared" si="336"/>
        <v>-63.051080672993997</v>
      </c>
      <c r="AE509" s="61">
        <f t="shared" si="337"/>
        <v>158.13532722023774</v>
      </c>
      <c r="AF509" s="31" t="str">
        <f t="shared" si="322"/>
        <v>-1512.12121212121</v>
      </c>
      <c r="AG509" s="31" t="str">
        <f t="shared" si="338"/>
        <v>5107164.75638948i</v>
      </c>
      <c r="AH509" s="31">
        <f t="shared" si="339"/>
        <v>5107164.7563894801</v>
      </c>
      <c r="AI509" s="31">
        <f t="shared" si="340"/>
        <v>1.5707963267948966</v>
      </c>
      <c r="AJ509" s="31" t="str">
        <f t="shared" si="323"/>
        <v>-113389.88608917+7039.03664729467i</v>
      </c>
      <c r="AK509" s="31">
        <f t="shared" si="341"/>
        <v>113608.16125717775</v>
      </c>
      <c r="AL509" s="31">
        <f t="shared" si="342"/>
        <v>3.0795940430459012</v>
      </c>
      <c r="AM509" s="31" t="str">
        <f t="shared" si="324"/>
        <v>1+35055.5788878573i</v>
      </c>
      <c r="AN509" s="31">
        <f t="shared" si="343"/>
        <v>35055.578902120367</v>
      </c>
      <c r="AO509" s="31">
        <f t="shared" si="344"/>
        <v>1.5707678006649208</v>
      </c>
      <c r="AP509" s="31" t="str">
        <f t="shared" si="325"/>
        <v>1+1348.29149568682i</v>
      </c>
      <c r="AQ509" s="31">
        <f t="shared" si="345"/>
        <v>1348.291866526459</v>
      </c>
      <c r="AR509" s="31">
        <f t="shared" si="346"/>
        <v>1.5700546475513233</v>
      </c>
      <c r="AS509" s="58" t="str">
        <f t="shared" si="347"/>
        <v>-0.00753736978501736+0.122948628441605i</v>
      </c>
      <c r="AT509" s="49">
        <f t="shared" si="348"/>
        <v>-18.189234708407895</v>
      </c>
      <c r="AU509" s="61">
        <f t="shared" si="349"/>
        <v>93.508129202577621</v>
      </c>
      <c r="AV509" s="58" t="str">
        <f t="shared" si="326"/>
        <v>-0.0000273021751905527-0.0000822816769818478i</v>
      </c>
      <c r="AW509" s="64">
        <f t="shared" si="350"/>
        <v>-81.240315381401885</v>
      </c>
      <c r="AX509" s="61">
        <f t="shared" si="351"/>
        <v>-108.3565435771846</v>
      </c>
    </row>
    <row r="510" spans="14:50" x14ac:dyDescent="0.25">
      <c r="N510" s="10">
        <v>92</v>
      </c>
      <c r="O510" s="50">
        <f t="shared" si="352"/>
        <v>831763.77110267128</v>
      </c>
      <c r="P510" s="48" t="str">
        <f t="shared" si="317"/>
        <v>304.285714285714</v>
      </c>
      <c r="Q510" s="17" t="str">
        <f t="shared" si="318"/>
        <v>1+272131.841800649i</v>
      </c>
      <c r="R510" s="17">
        <f t="shared" si="327"/>
        <v>272131.84180248639</v>
      </c>
      <c r="S510" s="17">
        <f t="shared" si="328"/>
        <v>1.5707926521054763</v>
      </c>
      <c r="T510" s="17" t="str">
        <f t="shared" si="319"/>
        <v>1+5.64421597808752i</v>
      </c>
      <c r="U510" s="17">
        <f t="shared" si="329"/>
        <v>5.732117759371179</v>
      </c>
      <c r="V510" s="17">
        <f t="shared" si="330"/>
        <v>1.3954434717226567</v>
      </c>
      <c r="W510" s="31" t="str">
        <f t="shared" si="320"/>
        <v>1-17.6381749315235i</v>
      </c>
      <c r="X510" s="17">
        <f t="shared" si="331"/>
        <v>17.66649979240438</v>
      </c>
      <c r="Y510" s="17">
        <f t="shared" si="332"/>
        <v>-1.5141617477257556</v>
      </c>
      <c r="Z510" s="31" t="str">
        <f t="shared" si="321"/>
        <v>-42.4391471615086+155.59426296771i</v>
      </c>
      <c r="AA510" s="17">
        <f t="shared" si="333"/>
        <v>161.27819406311903</v>
      </c>
      <c r="AB510" s="17">
        <f t="shared" si="334"/>
        <v>1.8370743866376782</v>
      </c>
      <c r="AC510" s="66" t="str">
        <f t="shared" si="335"/>
        <v>-0.000650696917534963+0.000263671162463607i</v>
      </c>
      <c r="AD510" s="64">
        <f t="shared" si="336"/>
        <v>-63.072156655653956</v>
      </c>
      <c r="AE510" s="61">
        <f t="shared" si="337"/>
        <v>157.94154537222462</v>
      </c>
      <c r="AF510" s="31" t="str">
        <f t="shared" si="322"/>
        <v>-1512.12121212121</v>
      </c>
      <c r="AG510" s="31" t="str">
        <f t="shared" si="338"/>
        <v>5226125.90563659i</v>
      </c>
      <c r="AH510" s="31">
        <f t="shared" si="339"/>
        <v>5226125.90563659</v>
      </c>
      <c r="AI510" s="31">
        <f t="shared" si="340"/>
        <v>1.5707963267948966</v>
      </c>
      <c r="AJ510" s="31" t="str">
        <f t="shared" si="323"/>
        <v>-118733.833912758+7202.99687358404i</v>
      </c>
      <c r="AK510" s="31">
        <f t="shared" si="341"/>
        <v>118952.1184325158</v>
      </c>
      <c r="AL510" s="31">
        <f t="shared" si="342"/>
        <v>3.0810018361474136</v>
      </c>
      <c r="AM510" s="31" t="str">
        <f t="shared" si="324"/>
        <v>1+35872.1282162895i</v>
      </c>
      <c r="AN510" s="31">
        <f t="shared" si="343"/>
        <v>35872.1282302279</v>
      </c>
      <c r="AO510" s="31">
        <f t="shared" si="344"/>
        <v>1.5707684499989143</v>
      </c>
      <c r="AP510" s="31" t="str">
        <f t="shared" si="325"/>
        <v>1+1379.69723908806i</v>
      </c>
      <c r="AQ510" s="31">
        <f t="shared" si="345"/>
        <v>1379.6976014863603</v>
      </c>
      <c r="AR510" s="31">
        <f t="shared" si="346"/>
        <v>1.570071530226085</v>
      </c>
      <c r="AS510" s="58" t="str">
        <f t="shared" si="347"/>
        <v>-0.00719937044198498+0.120170433158104i</v>
      </c>
      <c r="AT510" s="49">
        <f t="shared" si="348"/>
        <v>-18.388487815754829</v>
      </c>
      <c r="AU510" s="61">
        <f t="shared" si="349"/>
        <v>93.428473109541372</v>
      </c>
      <c r="AV510" s="58" t="str">
        <f t="shared" si="326"/>
        <v>-0.0000270008696497605-0.0000800927968082639i</v>
      </c>
      <c r="AW510" s="64">
        <f t="shared" si="350"/>
        <v>-81.460644471408798</v>
      </c>
      <c r="AX510" s="61">
        <f t="shared" si="351"/>
        <v>-108.62998151823399</v>
      </c>
    </row>
    <row r="511" spans="14:50" x14ac:dyDescent="0.25">
      <c r="N511" s="10">
        <v>93</v>
      </c>
      <c r="O511" s="50">
        <f t="shared" si="352"/>
        <v>851138.03820237669</v>
      </c>
      <c r="P511" s="48" t="str">
        <f t="shared" si="317"/>
        <v>304.285714285714</v>
      </c>
      <c r="Q511" s="17" t="str">
        <f t="shared" si="318"/>
        <v>1+278470.606691059i</v>
      </c>
      <c r="R511" s="17">
        <f t="shared" si="327"/>
        <v>278470.60669285455</v>
      </c>
      <c r="S511" s="17">
        <f t="shared" si="328"/>
        <v>1.5707927357516196</v>
      </c>
      <c r="T511" s="17" t="str">
        <f t="shared" si="319"/>
        <v>1+5.77568665729602i</v>
      </c>
      <c r="U511" s="17">
        <f t="shared" si="329"/>
        <v>5.8616172139834646</v>
      </c>
      <c r="V511" s="17">
        <f t="shared" si="330"/>
        <v>1.3993563600822816</v>
      </c>
      <c r="W511" s="31" t="str">
        <f t="shared" si="320"/>
        <v>1-18.0490208040501i</v>
      </c>
      <c r="X511" s="17">
        <f t="shared" si="331"/>
        <v>18.076701911162704</v>
      </c>
      <c r="Y511" s="17">
        <f t="shared" si="332"/>
        <v>-1.5154482463880796</v>
      </c>
      <c r="Z511" s="31" t="str">
        <f t="shared" si="321"/>
        <v>-44.4863710957998+159.218518933946i</v>
      </c>
      <c r="AA511" s="17">
        <f t="shared" si="333"/>
        <v>165.31658714355473</v>
      </c>
      <c r="AB511" s="17">
        <f t="shared" si="334"/>
        <v>1.8432527400305345</v>
      </c>
      <c r="AC511" s="66" t="str">
        <f t="shared" si="335"/>
        <v>-0.000648157745234905+0.000265326448201409i</v>
      </c>
      <c r="AD511" s="64">
        <f t="shared" si="336"/>
        <v>-63.093551562723114</v>
      </c>
      <c r="AE511" s="61">
        <f t="shared" si="337"/>
        <v>157.73802805091464</v>
      </c>
      <c r="AF511" s="31" t="str">
        <f t="shared" si="322"/>
        <v>-1512.12121212121</v>
      </c>
      <c r="AG511" s="31" t="str">
        <f t="shared" si="338"/>
        <v>5347858.01601483i</v>
      </c>
      <c r="AH511" s="31">
        <f t="shared" si="339"/>
        <v>5347858.0160148302</v>
      </c>
      <c r="AI511" s="31">
        <f t="shared" si="340"/>
        <v>1.5707963267948966</v>
      </c>
      <c r="AJ511" s="31" t="str">
        <f t="shared" si="323"/>
        <v>-124329.634238131+7370.77622415873i</v>
      </c>
      <c r="AK511" s="31">
        <f t="shared" si="341"/>
        <v>124547.92769024325</v>
      </c>
      <c r="AL511" s="31">
        <f t="shared" si="342"/>
        <v>3.0823778147579199</v>
      </c>
      <c r="AM511" s="31" t="str">
        <f t="shared" si="324"/>
        <v>1+36707.6974219257i</v>
      </c>
      <c r="AN511" s="31">
        <f t="shared" si="343"/>
        <v>36707.697435546819</v>
      </c>
      <c r="AO511" s="31">
        <f t="shared" si="344"/>
        <v>1.5707690845522613</v>
      </c>
      <c r="AP511" s="31" t="str">
        <f t="shared" si="325"/>
        <v>1+1411.83451622791i</v>
      </c>
      <c r="AQ511" s="31">
        <f t="shared" si="345"/>
        <v>1411.8348703770198</v>
      </c>
      <c r="AR511" s="31">
        <f t="shared" si="346"/>
        <v>1.5700880286046506</v>
      </c>
      <c r="AS511" s="58" t="str">
        <f t="shared" si="347"/>
        <v>-0.00687647500877563+0.117454118312693i</v>
      </c>
      <c r="AT511" s="49">
        <f t="shared" si="348"/>
        <v>-18.58777441884753</v>
      </c>
      <c r="AU511" s="61">
        <f t="shared" si="349"/>
        <v>93.350616987148371</v>
      </c>
      <c r="AV511" s="58" t="str">
        <f t="shared" si="326"/>
        <v>-0.0000267066435016827-0.0000779533071843331i</v>
      </c>
      <c r="AW511" s="64">
        <f t="shared" si="350"/>
        <v>-81.681325981570637</v>
      </c>
      <c r="AX511" s="61">
        <f t="shared" si="351"/>
        <v>-108.91135496193695</v>
      </c>
    </row>
    <row r="512" spans="14:50" x14ac:dyDescent="0.25">
      <c r="N512" s="10">
        <v>94</v>
      </c>
      <c r="O512" s="50">
        <f t="shared" si="352"/>
        <v>870963.58995608077</v>
      </c>
      <c r="P512" s="48" t="str">
        <f t="shared" si="317"/>
        <v>304.285714285714</v>
      </c>
      <c r="Q512" s="17" t="str">
        <f t="shared" si="318"/>
        <v>1+284957.02038313i</v>
      </c>
      <c r="R512" s="17">
        <f t="shared" si="327"/>
        <v>284957.02038488467</v>
      </c>
      <c r="S512" s="17">
        <f t="shared" si="328"/>
        <v>1.5707928174937442</v>
      </c>
      <c r="T512" s="17" t="str">
        <f t="shared" si="319"/>
        <v>1+5.91021968202046i</v>
      </c>
      <c r="U512" s="17">
        <f t="shared" si="329"/>
        <v>5.9942219419822971</v>
      </c>
      <c r="V512" s="17">
        <f t="shared" si="330"/>
        <v>1.4031853100785701</v>
      </c>
      <c r="W512" s="31" t="str">
        <f t="shared" si="320"/>
        <v>1-18.469436506314i</v>
      </c>
      <c r="X512" s="17">
        <f t="shared" si="331"/>
        <v>18.496488446750217</v>
      </c>
      <c r="Y512" s="17">
        <f t="shared" si="332"/>
        <v>-1.5167056380054369</v>
      </c>
      <c r="Z512" s="31" t="str">
        <f t="shared" si="321"/>
        <v>-46.6300777216492+162.927194666428i</v>
      </c>
      <c r="AA512" s="17">
        <f t="shared" si="333"/>
        <v>169.46868415786784</v>
      </c>
      <c r="AB512" s="17">
        <f t="shared" si="334"/>
        <v>1.8495467695466845</v>
      </c>
      <c r="AC512" s="66" t="str">
        <f t="shared" si="335"/>
        <v>-0.000645546942624505+0.000267067769175983i</v>
      </c>
      <c r="AD512" s="64">
        <f t="shared" si="336"/>
        <v>-63.11530300658977</v>
      </c>
      <c r="AE512" s="61">
        <f t="shared" si="337"/>
        <v>157.52474148191394</v>
      </c>
      <c r="AF512" s="31" t="str">
        <f t="shared" si="322"/>
        <v>-1512.12121212121</v>
      </c>
      <c r="AG512" s="31" t="str">
        <f t="shared" si="338"/>
        <v>5472425.63150043i</v>
      </c>
      <c r="AH512" s="31">
        <f t="shared" si="339"/>
        <v>5472425.6315004304</v>
      </c>
      <c r="AI512" s="31">
        <f t="shared" si="340"/>
        <v>1.5707963267948966</v>
      </c>
      <c r="AJ512" s="31" t="str">
        <f t="shared" si="323"/>
        <v>-130189.156508021+7542.46365785123i</v>
      </c>
      <c r="AK512" s="31">
        <f t="shared" si="341"/>
        <v>130407.45849183625</v>
      </c>
      <c r="AL512" s="31">
        <f t="shared" si="342"/>
        <v>3.0837226877300816</v>
      </c>
      <c r="AM512" s="31" t="str">
        <f t="shared" si="324"/>
        <v>1+37562.7295346189i</v>
      </c>
      <c r="AN512" s="31">
        <f t="shared" si="343"/>
        <v>37562.729547929965</v>
      </c>
      <c r="AO512" s="31">
        <f t="shared" si="344"/>
        <v>1.5707697046614109</v>
      </c>
      <c r="AP512" s="31" t="str">
        <f t="shared" si="325"/>
        <v>1+1444.72036671611i</v>
      </c>
      <c r="AQ512" s="31">
        <f t="shared" si="345"/>
        <v>1444.720712803804</v>
      </c>
      <c r="AR512" s="31">
        <f t="shared" si="346"/>
        <v>1.5701041514346428</v>
      </c>
      <c r="AS512" s="58" t="str">
        <f t="shared" si="347"/>
        <v>-0.00656801320129877+0.114798365347021i</v>
      </c>
      <c r="AT512" s="49">
        <f t="shared" si="348"/>
        <v>-18.787093020648321</v>
      </c>
      <c r="AU512" s="61">
        <f t="shared" si="349"/>
        <v>93.274520741611752</v>
      </c>
      <c r="AV512" s="58" t="str">
        <f t="shared" si="326"/>
        <v>-0.0000264189824970626-0.0000758618384016496i</v>
      </c>
      <c r="AW512" s="64">
        <f t="shared" si="350"/>
        <v>-81.902396027238083</v>
      </c>
      <c r="AX512" s="61">
        <f t="shared" si="351"/>
        <v>-109.20073777647433</v>
      </c>
    </row>
    <row r="513" spans="14:50" x14ac:dyDescent="0.25">
      <c r="N513" s="10">
        <v>95</v>
      </c>
      <c r="O513" s="50">
        <f t="shared" si="352"/>
        <v>891250.93813374708</v>
      </c>
      <c r="P513" s="48" t="str">
        <f t="shared" si="317"/>
        <v>304.285714285714</v>
      </c>
      <c r="Q513" s="17" t="str">
        <f t="shared" si="318"/>
        <v>1+291594.522059262i</v>
      </c>
      <c r="R513" s="17">
        <f t="shared" si="327"/>
        <v>291594.52206097665</v>
      </c>
      <c r="S513" s="17">
        <f t="shared" si="328"/>
        <v>1.570792897375191</v>
      </c>
      <c r="T513" s="17" t="str">
        <f t="shared" si="319"/>
        <v>1+6.04788638345134i</v>
      </c>
      <c r="U513" s="17">
        <f t="shared" si="329"/>
        <v>6.1300024230938224</v>
      </c>
      <c r="V513" s="17">
        <f t="shared" si="330"/>
        <v>1.4069319025609013</v>
      </c>
      <c r="W513" s="31" t="str">
        <f t="shared" si="320"/>
        <v>1-18.8996449482855i</v>
      </c>
      <c r="X513" s="17">
        <f t="shared" si="331"/>
        <v>18.926081981520991</v>
      </c>
      <c r="Y513" s="17">
        <f t="shared" si="332"/>
        <v>-1.5179345733506682</v>
      </c>
      <c r="Z513" s="31" t="str">
        <f t="shared" si="321"/>
        <v>-48.8748141282221+166.722256554118i</v>
      </c>
      <c r="AA513" s="17">
        <f t="shared" si="333"/>
        <v>173.73847670152227</v>
      </c>
      <c r="AB513" s="17">
        <f t="shared" si="334"/>
        <v>1.8559579500191374</v>
      </c>
      <c r="AC513" s="66" t="str">
        <f t="shared" si="335"/>
        <v>-0.000642861042160313+0.000268892788228812i</v>
      </c>
      <c r="AD513" s="64">
        <f t="shared" si="336"/>
        <v>-63.137448876188756</v>
      </c>
      <c r="AE513" s="61">
        <f t="shared" si="337"/>
        <v>157.30165445049278</v>
      </c>
      <c r="AF513" s="31" t="str">
        <f t="shared" si="322"/>
        <v>-1512.12121212121</v>
      </c>
      <c r="AG513" s="31" t="str">
        <f t="shared" si="338"/>
        <v>5599894.79949198i</v>
      </c>
      <c r="AH513" s="31">
        <f t="shared" si="339"/>
        <v>5599894.7994919801</v>
      </c>
      <c r="AI513" s="31">
        <f t="shared" si="340"/>
        <v>1.5707963267948966</v>
      </c>
      <c r="AJ513" s="31" t="str">
        <f t="shared" si="323"/>
        <v>-136324.829554764+7718.15020561144i</v>
      </c>
      <c r="AK513" s="31">
        <f t="shared" si="341"/>
        <v>136543.13968754286</v>
      </c>
      <c r="AL513" s="31">
        <f t="shared" si="342"/>
        <v>3.0850371487968835</v>
      </c>
      <c r="AM513" s="31" t="str">
        <f t="shared" si="324"/>
        <v>1+38437.6779037129i</v>
      </c>
      <c r="AN513" s="31">
        <f t="shared" si="343"/>
        <v>38437.677916720968</v>
      </c>
      <c r="AO513" s="31">
        <f t="shared" si="344"/>
        <v>1.5707703106551527</v>
      </c>
      <c r="AP513" s="31" t="str">
        <f t="shared" si="325"/>
        <v>1+1478.37222706588i</v>
      </c>
      <c r="AQ513" s="31">
        <f t="shared" si="345"/>
        <v>1478.3725652756582</v>
      </c>
      <c r="AR513" s="31">
        <f t="shared" si="346"/>
        <v>1.5701199072645662</v>
      </c>
      <c r="AS513" s="58" t="str">
        <f t="shared" si="347"/>
        <v>-0.00627334407325852+0.112201879784063i</v>
      </c>
      <c r="AT513" s="49">
        <f t="shared" si="348"/>
        <v>-18.986442190576625</v>
      </c>
      <c r="AU513" s="61">
        <f t="shared" si="349"/>
        <v>93.200145133590922</v>
      </c>
      <c r="AV513" s="58" t="str">
        <f t="shared" si="326"/>
        <v>-0.0000261373877908855-0.0000738170743497061i</v>
      </c>
      <c r="AW513" s="64">
        <f t="shared" si="350"/>
        <v>-82.123891066765381</v>
      </c>
      <c r="AX513" s="61">
        <f t="shared" si="351"/>
        <v>-109.49820041591629</v>
      </c>
    </row>
    <row r="514" spans="14:50" x14ac:dyDescent="0.25">
      <c r="N514" s="10">
        <v>96</v>
      </c>
      <c r="O514" s="50">
        <f t="shared" si="352"/>
        <v>912010.83935591124</v>
      </c>
      <c r="P514" s="48" t="str">
        <f t="shared" si="317"/>
        <v>304.285714285714</v>
      </c>
      <c r="Q514" s="17" t="str">
        <f t="shared" si="318"/>
        <v>1+298386.631010698i</v>
      </c>
      <c r="R514" s="17">
        <f t="shared" si="327"/>
        <v>298386.63101237372</v>
      </c>
      <c r="S514" s="17">
        <f t="shared" si="328"/>
        <v>1.5707929754383141</v>
      </c>
      <c r="T514" s="17" t="str">
        <f t="shared" si="319"/>
        <v>1+6.18875975429595i</v>
      </c>
      <c r="U514" s="17">
        <f t="shared" si="329"/>
        <v>6.2690308099732022</v>
      </c>
      <c r="V514" s="17">
        <f t="shared" si="330"/>
        <v>1.4105977030840382</v>
      </c>
      <c r="W514" s="31" t="str">
        <f t="shared" si="320"/>
        <v>1-19.3398742321749i</v>
      </c>
      <c r="X514" s="17">
        <f t="shared" si="331"/>
        <v>19.365710297232649</v>
      </c>
      <c r="Y514" s="17">
        <f t="shared" si="332"/>
        <v>-1.5191356891648293</v>
      </c>
      <c r="Z514" s="31" t="str">
        <f t="shared" si="321"/>
        <v>-51.2253417023938+170.605716789063i</v>
      </c>
      <c r="AA514" s="17">
        <f t="shared" si="333"/>
        <v>178.13013847644359</v>
      </c>
      <c r="AB514" s="17">
        <f t="shared" si="334"/>
        <v>1.8624877068845003</v>
      </c>
      <c r="AC514" s="66" t="str">
        <f t="shared" si="335"/>
        <v>-0.000640096583890087+0.000270799043207187i</v>
      </c>
      <c r="AD514" s="64">
        <f t="shared" si="336"/>
        <v>-63.160027362972791</v>
      </c>
      <c r="AE514" s="61">
        <f t="shared" si="337"/>
        <v>157.06873849982819</v>
      </c>
      <c r="AF514" s="31" t="str">
        <f t="shared" si="322"/>
        <v>-1512.12121212121</v>
      </c>
      <c r="AG514" s="31" t="str">
        <f t="shared" si="338"/>
        <v>5730333.10582958i</v>
      </c>
      <c r="AH514" s="31">
        <f t="shared" si="339"/>
        <v>5730333.1058295798</v>
      </c>
      <c r="AI514" s="31">
        <f t="shared" si="340"/>
        <v>1.5707963267948966</v>
      </c>
      <c r="AJ514" s="31" t="str">
        <f t="shared" si="323"/>
        <v>-142749.667963514+7897.92901877244i</v>
      </c>
      <c r="AK514" s="31">
        <f t="shared" si="341"/>
        <v>142967.98587963343</v>
      </c>
      <c r="AL514" s="31">
        <f t="shared" si="342"/>
        <v>3.0863218768488254</v>
      </c>
      <c r="AM514" s="31" t="str">
        <f t="shared" si="324"/>
        <v>1+39333.0064384142i</v>
      </c>
      <c r="AN514" s="31">
        <f t="shared" si="343"/>
        <v>39333.006451126173</v>
      </c>
      <c r="AO514" s="31">
        <f t="shared" si="344"/>
        <v>1.5707709028547929</v>
      </c>
      <c r="AP514" s="31" t="str">
        <f t="shared" si="325"/>
        <v>1+1512.80793993901i</v>
      </c>
      <c r="AQ514" s="31">
        <f t="shared" si="345"/>
        <v>1512.8082704501956</v>
      </c>
      <c r="AR514" s="31">
        <f t="shared" si="346"/>
        <v>1.5701353044483388</v>
      </c>
      <c r="AS514" s="58" t="str">
        <f t="shared" si="347"/>
        <v>-0.00599185476795838+0.109663391067837i</v>
      </c>
      <c r="AT514" s="49">
        <f t="shared" si="348"/>
        <v>-19.185820561597666</v>
      </c>
      <c r="AU514" s="61">
        <f t="shared" si="349"/>
        <v>93.127451762579142</v>
      </c>
      <c r="AV514" s="58" t="str">
        <f t="shared" si="326"/>
        <v>-0.0000258613756078901-0.0000718177505385247i</v>
      </c>
      <c r="AW514" s="64">
        <f t="shared" si="350"/>
        <v>-82.34584792457045</v>
      </c>
      <c r="AX514" s="61">
        <f t="shared" si="351"/>
        <v>-109.80380973759262</v>
      </c>
    </row>
    <row r="515" spans="14:50" x14ac:dyDescent="0.25">
      <c r="N515" s="10">
        <v>97</v>
      </c>
      <c r="O515" s="50">
        <f t="shared" si="352"/>
        <v>933254.30079699249</v>
      </c>
      <c r="P515" s="48" t="str">
        <f t="shared" si="317"/>
        <v>304.285714285714</v>
      </c>
      <c r="Q515" s="17" t="str">
        <f t="shared" si="318"/>
        <v>1+305336.948503511i</v>
      </c>
      <c r="R515" s="17">
        <f t="shared" si="327"/>
        <v>305336.94850514858</v>
      </c>
      <c r="S515" s="17">
        <f t="shared" si="328"/>
        <v>1.5707930517245035</v>
      </c>
      <c r="T515" s="17" t="str">
        <f t="shared" si="319"/>
        <v>1+6.33291448748021i</v>
      </c>
      <c r="U515" s="17">
        <f t="shared" si="329"/>
        <v>6.4113809671346722</v>
      </c>
      <c r="V515" s="17">
        <f t="shared" si="330"/>
        <v>1.414184261013077</v>
      </c>
      <c r="W515" s="31" t="str">
        <f t="shared" si="320"/>
        <v>1-19.7903577733757i</v>
      </c>
      <c r="X515" s="17">
        <f t="shared" si="331"/>
        <v>19.815606495845941</v>
      </c>
      <c r="Y515" s="17">
        <f t="shared" si="332"/>
        <v>-1.5203096084249617</v>
      </c>
      <c r="Z515" s="31" t="str">
        <f t="shared" si="321"/>
        <v>-53.6866462282897+174.579634433283i</v>
      </c>
      <c r="AA515" s="17">
        <f t="shared" si="333"/>
        <v>182.64803514437338</v>
      </c>
      <c r="AB515" s="17">
        <f t="shared" si="334"/>
        <v>1.8691374112491717</v>
      </c>
      <c r="AC515" s="66" t="str">
        <f t="shared" si="335"/>
        <v>-0.000637250120048675+0.000272783940132847i</v>
      </c>
      <c r="AD515" s="64">
        <f t="shared" si="336"/>
        <v>-63.183076984813702</v>
      </c>
      <c r="AE515" s="61">
        <f t="shared" si="337"/>
        <v>156.82596814706449</v>
      </c>
      <c r="AF515" s="31" t="str">
        <f t="shared" si="322"/>
        <v>-1512.12121212121</v>
      </c>
      <c r="AG515" s="31" t="str">
        <f t="shared" si="338"/>
        <v>5863809.71062982i</v>
      </c>
      <c r="AH515" s="31">
        <f t="shared" si="339"/>
        <v>5863809.7106298199</v>
      </c>
      <c r="AI515" s="31">
        <f t="shared" si="340"/>
        <v>1.5707963267948966</v>
      </c>
      <c r="AJ515" s="31" t="str">
        <f t="shared" si="323"/>
        <v>-149477.299677931+8081.89541844065i</v>
      </c>
      <c r="AK515" s="31">
        <f t="shared" si="341"/>
        <v>149695.62502812367</v>
      </c>
      <c r="AL515" s="31">
        <f t="shared" si="342"/>
        <v>3.0875775362091953</v>
      </c>
      <c r="AM515" s="31" t="str">
        <f t="shared" si="324"/>
        <v>1+40249.189853763i</v>
      </c>
      <c r="AN515" s="31">
        <f t="shared" si="343"/>
        <v>40249.189866185603</v>
      </c>
      <c r="AO515" s="31">
        <f t="shared" si="344"/>
        <v>1.5707714815743239</v>
      </c>
      <c r="AP515" s="31" t="str">
        <f t="shared" si="325"/>
        <v>1+1548.04576360627i</v>
      </c>
      <c r="AQ515" s="31">
        <f t="shared" si="345"/>
        <v>1548.0460865941036</v>
      </c>
      <c r="AR515" s="31">
        <f t="shared" si="346"/>
        <v>1.5701503511497221</v>
      </c>
      <c r="AS515" s="58" t="str">
        <f t="shared" si="347"/>
        <v>-0.00572295932003062+0.107181652381733i</v>
      </c>
      <c r="AT515" s="49">
        <f t="shared" si="348"/>
        <v>-19.385226827436838</v>
      </c>
      <c r="AU515" s="61">
        <f t="shared" si="349"/>
        <v>93.05640305139535</v>
      </c>
      <c r="AV515" s="58" t="str">
        <f t="shared" si="326"/>
        <v>-0.0000255904769329151-0.0000698626522398127i</v>
      </c>
      <c r="AW515" s="64">
        <f t="shared" si="350"/>
        <v>-82.568303812250548</v>
      </c>
      <c r="AX515" s="61">
        <f t="shared" si="351"/>
        <v>-110.11762880154018</v>
      </c>
    </row>
    <row r="516" spans="14:50" x14ac:dyDescent="0.25">
      <c r="N516" s="10">
        <v>98</v>
      </c>
      <c r="O516" s="50">
        <f t="shared" si="352"/>
        <v>954992.58602143743</v>
      </c>
      <c r="P516" s="48" t="str">
        <f t="shared" si="317"/>
        <v>304.285714285714</v>
      </c>
      <c r="Q516" s="17" t="str">
        <f t="shared" si="318"/>
        <v>1+312449.159688032i</v>
      </c>
      <c r="R516" s="17">
        <f t="shared" si="327"/>
        <v>312449.15968963224</v>
      </c>
      <c r="S516" s="17">
        <f t="shared" si="328"/>
        <v>1.5707931262742072</v>
      </c>
      <c r="T516" s="17" t="str">
        <f t="shared" si="319"/>
        <v>1+6.48042701575176i</v>
      </c>
      <c r="U516" s="17">
        <f t="shared" si="329"/>
        <v>6.5571285107495996</v>
      </c>
      <c r="V516" s="17">
        <f t="shared" si="330"/>
        <v>1.4176931087176545</v>
      </c>
      <c r="W516" s="31" t="str">
        <f t="shared" si="320"/>
        <v>1-20.2513344242243i</v>
      </c>
      <c r="X516" s="17">
        <f t="shared" si="331"/>
        <v>20.276009123142849</v>
      </c>
      <c r="Y516" s="17">
        <f t="shared" si="332"/>
        <v>-1.5214569406091518</v>
      </c>
      <c r="Z516" s="31" t="str">
        <f t="shared" si="321"/>
        <v>-56.2639484628021+178.646116510514i</v>
      </c>
      <c r="AA516" s="17">
        <f t="shared" si="333"/>
        <v>187.29673473104913</v>
      </c>
      <c r="AB516" s="17">
        <f t="shared" si="334"/>
        <v>1.8759083747438345</v>
      </c>
      <c r="AC516" s="66" t="str">
        <f t="shared" si="335"/>
        <v>-0.000634318220335078+0.000274844746460724i</v>
      </c>
      <c r="AD516" s="64">
        <f t="shared" si="336"/>
        <v>-63.206636607648662</v>
      </c>
      <c r="AE516" s="61">
        <f t="shared" si="337"/>
        <v>156.57332111677263</v>
      </c>
      <c r="AF516" s="31" t="str">
        <f t="shared" si="322"/>
        <v>-1512.12121212121</v>
      </c>
      <c r="AG516" s="31" t="str">
        <f t="shared" si="338"/>
        <v>6000395.38495533i</v>
      </c>
      <c r="AH516" s="31">
        <f t="shared" si="339"/>
        <v>6000395.3849553298</v>
      </c>
      <c r="AI516" s="31">
        <f t="shared" si="340"/>
        <v>1.5707963267948966</v>
      </c>
      <c r="AJ516" s="31" t="str">
        <f t="shared" si="323"/>
        <v>-156521.994906868+8270.14694603625i</v>
      </c>
      <c r="AK516" s="31">
        <f t="shared" si="341"/>
        <v>156740.32735749485</v>
      </c>
      <c r="AL516" s="31">
        <f t="shared" si="342"/>
        <v>3.0888047769071649</v>
      </c>
      <c r="AM516" s="31" t="str">
        <f t="shared" si="324"/>
        <v>1+41186.7139223333i</v>
      </c>
      <c r="AN516" s="31">
        <f t="shared" si="343"/>
        <v>41186.71393447314</v>
      </c>
      <c r="AO516" s="31">
        <f t="shared" si="344"/>
        <v>1.5707720471205897</v>
      </c>
      <c r="AP516" s="31" t="str">
        <f t="shared" si="325"/>
        <v>1+1584.10438162821i</v>
      </c>
      <c r="AQ516" s="31">
        <f t="shared" si="345"/>
        <v>1584.1046972639447</v>
      </c>
      <c r="AR516" s="31">
        <f t="shared" si="346"/>
        <v>1.5701650553466493</v>
      </c>
      <c r="AS516" s="58" t="str">
        <f t="shared" si="347"/>
        <v>-0.00546609750538387+0.104755440447568i</v>
      </c>
      <c r="AT516" s="49">
        <f t="shared" si="348"/>
        <v>-19.584659739910848</v>
      </c>
      <c r="AU516" s="61">
        <f t="shared" si="349"/>
        <v>92.986962230794234</v>
      </c>
      <c r="AV516" s="58" t="str">
        <f t="shared" si="326"/>
        <v>-0.0000253242372284002-0.0000679506127381154i</v>
      </c>
      <c r="AW516" s="64">
        <f t="shared" si="350"/>
        <v>-82.791296347559523</v>
      </c>
      <c r="AX516" s="61">
        <f t="shared" si="351"/>
        <v>-110.43971665243313</v>
      </c>
    </row>
    <row r="517" spans="14:50" x14ac:dyDescent="0.25">
      <c r="N517" s="10">
        <v>99</v>
      </c>
      <c r="O517" s="50">
        <f t="shared" si="352"/>
        <v>977237.22095581202</v>
      </c>
      <c r="P517" s="48" t="str">
        <f t="shared" si="317"/>
        <v>304.285714285714</v>
      </c>
      <c r="Q517" s="17" t="str">
        <f t="shared" si="318"/>
        <v>1+319727.035552773i</v>
      </c>
      <c r="R517" s="17">
        <f t="shared" si="327"/>
        <v>319727.03555433685</v>
      </c>
      <c r="S517" s="17">
        <f t="shared" si="328"/>
        <v>1.5707931991269524</v>
      </c>
      <c r="T517" s="17" t="str">
        <f t="shared" si="319"/>
        <v>1+6.63137555220565i</v>
      </c>
      <c r="U517" s="17">
        <f t="shared" si="329"/>
        <v>6.7063508493360828</v>
      </c>
      <c r="V517" s="17">
        <f t="shared" si="330"/>
        <v>1.4211257608502046</v>
      </c>
      <c r="W517" s="31" t="str">
        <f t="shared" si="320"/>
        <v>1-20.7230486006427i</v>
      </c>
      <c r="X517" s="17">
        <f t="shared" si="331"/>
        <v>20.747162295229661</v>
      </c>
      <c r="Y517" s="17">
        <f t="shared" si="332"/>
        <v>-1.522578281958729</v>
      </c>
      <c r="Z517" s="31" t="str">
        <f t="shared" si="321"/>
        <v>-58.9627152095156+182.80731912338i</v>
      </c>
      <c r="AA517" s="17">
        <f t="shared" si="333"/>
        <v>192.08101860922056</v>
      </c>
      <c r="AB517" s="17">
        <f t="shared" si="334"/>
        <v>1.8828018441697809</v>
      </c>
      <c r="AC517" s="66" t="str">
        <f t="shared" si="335"/>
        <v>-0.000631297477892066+0.000276978584474113i</v>
      </c>
      <c r="AD517" s="64">
        <f t="shared" si="336"/>
        <v>-63.230745464680503</v>
      </c>
      <c r="AE517" s="61">
        <f t="shared" si="337"/>
        <v>156.31077859131597</v>
      </c>
      <c r="AF517" s="31" t="str">
        <f t="shared" si="322"/>
        <v>-1512.12121212121</v>
      </c>
      <c r="AG517" s="31" t="str">
        <f t="shared" si="338"/>
        <v>6140162.54833857i</v>
      </c>
      <c r="AH517" s="31">
        <f t="shared" si="339"/>
        <v>6140162.5483385697</v>
      </c>
      <c r="AI517" s="31">
        <f t="shared" si="340"/>
        <v>1.5707963267948966</v>
      </c>
      <c r="AJ517" s="31" t="str">
        <f t="shared" si="323"/>
        <v>-163898.696393408+8462.78341501098i</v>
      </c>
      <c r="AK517" s="31">
        <f t="shared" si="341"/>
        <v>164117.03562576289</v>
      </c>
      <c r="AL517" s="31">
        <f t="shared" si="342"/>
        <v>3.0900042349485064</v>
      </c>
      <c r="AM517" s="31" t="str">
        <f t="shared" si="324"/>
        <v>1+42146.0757317958i</v>
      </c>
      <c r="AN517" s="31">
        <f t="shared" si="343"/>
        <v>42146.075743659298</v>
      </c>
      <c r="AO517" s="31">
        <f t="shared" si="344"/>
        <v>1.5707725997934512</v>
      </c>
      <c r="AP517" s="31" t="str">
        <f t="shared" si="325"/>
        <v>1+1621.00291276138i</v>
      </c>
      <c r="AQ517" s="31">
        <f t="shared" si="345"/>
        <v>1621.0032212123695</v>
      </c>
      <c r="AR517" s="31">
        <f t="shared" si="346"/>
        <v>1.5701794248354544</v>
      </c>
      <c r="AS517" s="58" t="str">
        <f t="shared" si="347"/>
        <v>-0.00522073373768597+0.102383555307222i</v>
      </c>
      <c r="AT517" s="49">
        <f t="shared" si="348"/>
        <v>-19.784118106375765</v>
      </c>
      <c r="AU517" s="61">
        <f t="shared" si="349"/>
        <v>92.919093324207012</v>
      </c>
      <c r="AV517" s="58" t="str">
        <f t="shared" si="326"/>
        <v>-0.0000250622161810742-0.0000660805116836526i</v>
      </c>
      <c r="AW517" s="64">
        <f t="shared" si="350"/>
        <v>-83.014863571056281</v>
      </c>
      <c r="AX517" s="61">
        <f t="shared" si="351"/>
        <v>-110.77012808447697</v>
      </c>
    </row>
    <row r="518" spans="14:50" x14ac:dyDescent="0.25">
      <c r="N518" s="10">
        <v>100</v>
      </c>
      <c r="O518" s="50">
        <f t="shared" si="352"/>
        <v>1000000</v>
      </c>
      <c r="P518" s="48" t="str">
        <f t="shared" si="317"/>
        <v>304.285714285714</v>
      </c>
      <c r="Q518" s="17" t="str">
        <f t="shared" si="318"/>
        <v>1+327174.434923852i</v>
      </c>
      <c r="R518" s="17">
        <f t="shared" si="327"/>
        <v>327174.43492538016</v>
      </c>
      <c r="S518" s="17">
        <f t="shared" si="328"/>
        <v>1.5707932703213667</v>
      </c>
      <c r="T518" s="17" t="str">
        <f t="shared" si="319"/>
        <v>1+6.78584013175396i</v>
      </c>
      <c r="U518" s="17">
        <f t="shared" si="329"/>
        <v>6.859127225363487</v>
      </c>
      <c r="V518" s="17">
        <f t="shared" si="330"/>
        <v>1.4244837137032231</v>
      </c>
      <c r="W518" s="31" t="str">
        <f t="shared" si="320"/>
        <v>1-21.2057504117311i</v>
      </c>
      <c r="X518" s="17">
        <f t="shared" si="331"/>
        <v>21.22931582799205</v>
      </c>
      <c r="Y518" s="17">
        <f t="shared" si="332"/>
        <v>-1.5236742157374554</v>
      </c>
      <c r="Z518" s="31" t="str">
        <f t="shared" si="321"/>
        <v>-61.7886709145296+187.065448596587i</v>
      </c>
      <c r="AA518" s="17">
        <f t="shared" si="333"/>
        <v>197.00589308958851</v>
      </c>
      <c r="AB518" s="17">
        <f t="shared" si="334"/>
        <v>1.8898189959422012</v>
      </c>
      <c r="AC518" s="66" t="str">
        <f t="shared" si="335"/>
        <v>-0.000628184516007535+0.000279182424867031i</v>
      </c>
      <c r="AD518" s="64">
        <f t="shared" si="336"/>
        <v>-63.25544317293668</v>
      </c>
      <c r="AE518" s="61">
        <f t="shared" si="337"/>
        <v>156.03832547754914</v>
      </c>
      <c r="AF518" s="31" t="str">
        <f t="shared" si="322"/>
        <v>-1512.12121212121</v>
      </c>
      <c r="AG518" s="31" t="str">
        <f t="shared" si="338"/>
        <v>6283185.30717959i</v>
      </c>
      <c r="AH518" s="31">
        <f t="shared" si="339"/>
        <v>6283185.3071795898</v>
      </c>
      <c r="AI518" s="31">
        <f t="shared" si="340"/>
        <v>1.5707963267948966</v>
      </c>
      <c r="AJ518" s="31" t="str">
        <f t="shared" si="323"/>
        <v>-171623.051110412+8659.90696377051i</v>
      </c>
      <c r="AK518" s="31">
        <f t="shared" si="341"/>
        <v>171841.39682005686</v>
      </c>
      <c r="AL518" s="31">
        <f t="shared" si="342"/>
        <v>3.0911765325837299</v>
      </c>
      <c r="AM518" s="31" t="str">
        <f t="shared" si="324"/>
        <v>1+43127.7839484806i</v>
      </c>
      <c r="AN518" s="31">
        <f t="shared" si="343"/>
        <v>43127.783960074063</v>
      </c>
      <c r="AO518" s="31">
        <f t="shared" si="344"/>
        <v>1.5707731398859421</v>
      </c>
      <c r="AP518" s="31" t="str">
        <f t="shared" si="325"/>
        <v>1+1658.76092109541i</v>
      </c>
      <c r="AQ518" s="31">
        <f t="shared" si="345"/>
        <v>1658.7612225251992</v>
      </c>
      <c r="AR518" s="31">
        <f t="shared" si="346"/>
        <v>1.5701934672350071</v>
      </c>
      <c r="AS518" s="58" t="str">
        <f t="shared" si="347"/>
        <v>-0.00498635600974214+0.100064820088712i</v>
      </c>
      <c r="AT518" s="49">
        <f t="shared" si="348"/>
        <v>-19.983600787281976</v>
      </c>
      <c r="AU518" s="61">
        <f t="shared" si="349"/>
        <v>92.852761132624465</v>
      </c>
      <c r="AV518" s="58" t="str">
        <f t="shared" si="326"/>
        <v>-0.0000248039874796287-0.0000642512735388587i</v>
      </c>
      <c r="AW518" s="64">
        <f t="shared" si="350"/>
        <v>-83.239043960218652</v>
      </c>
      <c r="AX518" s="61">
        <f t="shared" si="351"/>
        <v>-111.1089133898264</v>
      </c>
    </row>
    <row r="519" spans="14:50" x14ac:dyDescent="0.25">
      <c r="N519" s="10">
        <v>1</v>
      </c>
      <c r="O519" s="50">
        <f>10^(6+(N519/100))</f>
        <v>1023292.9922807553</v>
      </c>
      <c r="P519" s="48" t="str">
        <f t="shared" si="317"/>
        <v>304.285714285714</v>
      </c>
      <c r="Q519" s="17" t="str">
        <f t="shared" si="318"/>
        <v>1+334795.306510994i</v>
      </c>
      <c r="R519" s="17">
        <f t="shared" si="327"/>
        <v>334795.30651248747</v>
      </c>
      <c r="S519" s="17">
        <f t="shared" si="328"/>
        <v>1.5707933398951983</v>
      </c>
      <c r="T519" s="17" t="str">
        <f t="shared" si="319"/>
        <v>1+6.94390265356134i</v>
      </c>
      <c r="U519" s="17">
        <f t="shared" si="329"/>
        <v>7.0155387577958841</v>
      </c>
      <c r="V519" s="17">
        <f t="shared" si="330"/>
        <v>1.4277684446407204</v>
      </c>
      <c r="W519" s="31" t="str">
        <f t="shared" si="320"/>
        <v>1-21.6996957923792i</v>
      </c>
      <c r="X519" s="17">
        <f t="shared" si="331"/>
        <v>21.722725369570909</v>
      </c>
      <c r="Y519" s="17">
        <f t="shared" si="332"/>
        <v>-1.524745312487588</v>
      </c>
      <c r="Z519" s="31" t="str">
        <f t="shared" si="321"/>
        <v>-64.7478098087772+191.422762646743i</v>
      </c>
      <c r="AA519" s="17">
        <f t="shared" si="333"/>
        <v>202.07660164983201</v>
      </c>
      <c r="AB519" s="17">
        <f t="shared" si="334"/>
        <v>1.8969609303373587</v>
      </c>
      <c r="AC519" s="66" t="str">
        <f t="shared" si="335"/>
        <v>-0.000624975995553955+0.000281453080569061i</v>
      </c>
      <c r="AD519" s="64">
        <f t="shared" si="336"/>
        <v>-63.280769746988945</v>
      </c>
      <c r="AE519" s="61">
        <f t="shared" si="337"/>
        <v>155.75595068918221</v>
      </c>
      <c r="AF519" s="31" t="str">
        <f t="shared" si="322"/>
        <v>-1512.12121212121</v>
      </c>
      <c r="AG519" s="31" t="str">
        <f t="shared" si="338"/>
        <v>6429539.49403828i</v>
      </c>
      <c r="AH519" s="31">
        <f t="shared" si="339"/>
        <v>6429539.4940382801</v>
      </c>
      <c r="AI519" s="31">
        <f t="shared" si="340"/>
        <v>1.5707963267948966</v>
      </c>
      <c r="AJ519" s="31" t="str">
        <f t="shared" si="323"/>
        <v>-179711.443449859+8861.62210982967i</v>
      </c>
      <c r="AK519" s="31">
        <f t="shared" si="341"/>
        <v>179929.7953459885</v>
      </c>
      <c r="AL519" s="31">
        <f t="shared" si="342"/>
        <v>3.0923222785734699</v>
      </c>
      <c r="AM519" s="31" t="str">
        <f t="shared" si="324"/>
        <v>1+44132.3590870787i</v>
      </c>
      <c r="AN519" s="31">
        <f t="shared" si="343"/>
        <v>44132.359098408262</v>
      </c>
      <c r="AO519" s="31">
        <f t="shared" si="344"/>
        <v>1.5707736676844273</v>
      </c>
      <c r="AP519" s="31" t="str">
        <f t="shared" si="325"/>
        <v>1+1697.39842642611i</v>
      </c>
      <c r="AQ519" s="31">
        <f t="shared" si="345"/>
        <v>1697.3987209945208</v>
      </c>
      <c r="AR519" s="31">
        <f t="shared" si="346"/>
        <v>1.5702071899907513</v>
      </c>
      <c r="AS519" s="58" t="str">
        <f t="shared" si="347"/>
        <v>-0.00476247487815365+0.0977980807583031i</v>
      </c>
      <c r="AT519" s="49">
        <f t="shared" si="348"/>
        <v>-20.183106693836343</v>
      </c>
      <c r="AU519" s="61">
        <f t="shared" si="349"/>
        <v>92.787931219631361</v>
      </c>
      <c r="AV519" s="58" t="str">
        <f t="shared" si="326"/>
        <v>-0.0000245491386248914-0.0000624618661107757i</v>
      </c>
      <c r="AW519" s="64">
        <f t="shared" si="350"/>
        <v>-83.463876440825288</v>
      </c>
      <c r="AX519" s="61">
        <f t="shared" si="351"/>
        <v>-111.45611809118638</v>
      </c>
    </row>
    <row r="520" spans="14:50" x14ac:dyDescent="0.25">
      <c r="N520" s="10">
        <v>2</v>
      </c>
      <c r="O520" s="50">
        <f t="shared" ref="O520:O560" si="353">10^(6+(N520/100))</f>
        <v>1047128.5480509007</v>
      </c>
      <c r="P520" s="48" t="str">
        <f t="shared" si="317"/>
        <v>304.285714285714</v>
      </c>
      <c r="Q520" s="17" t="str">
        <f t="shared" si="318"/>
        <v>1+342593.691001187i</v>
      </c>
      <c r="R520" s="17">
        <f t="shared" si="327"/>
        <v>342593.69100264652</v>
      </c>
      <c r="S520" s="17">
        <f t="shared" si="328"/>
        <v>1.5707934078853363</v>
      </c>
      <c r="T520" s="17" t="str">
        <f t="shared" si="319"/>
        <v>1+7.10564692446905i</v>
      </c>
      <c r="U520" s="17">
        <f t="shared" si="329"/>
        <v>7.1756684855988491</v>
      </c>
      <c r="V520" s="17">
        <f t="shared" si="330"/>
        <v>1.430981411599227</v>
      </c>
      <c r="W520" s="31" t="str">
        <f t="shared" si="320"/>
        <v>1-22.2051466389658i</v>
      </c>
      <c r="X520" s="17">
        <f t="shared" si="331"/>
        <v>22.227652535928623</v>
      </c>
      <c r="Y520" s="17">
        <f t="shared" si="332"/>
        <v>-1.5257921302826991</v>
      </c>
      <c r="Z520" s="31" t="str">
        <f t="shared" si="321"/>
        <v>-67.8464086225915+195.881571579434i</v>
      </c>
      <c r="AA520" s="17">
        <f t="shared" si="333"/>
        <v>207.29863783298862</v>
      </c>
      <c r="AB520" s="17">
        <f t="shared" si="334"/>
        <v>1.9042286655524203</v>
      </c>
      <c r="AC520" s="66" t="str">
        <f t="shared" si="335"/>
        <v>-0.000621668623178973+0.000283787200872425i</v>
      </c>
      <c r="AD520" s="64">
        <f t="shared" si="336"/>
        <v>-63.30676560963208</v>
      </c>
      <c r="AE520" s="61">
        <f t="shared" si="337"/>
        <v>155.46364744405096</v>
      </c>
      <c r="AF520" s="31" t="str">
        <f t="shared" si="322"/>
        <v>-1512.12121212121</v>
      </c>
      <c r="AG520" s="31" t="str">
        <f t="shared" si="338"/>
        <v>6579302.70784171i</v>
      </c>
      <c r="AH520" s="31">
        <f t="shared" si="339"/>
        <v>6579302.7078417102</v>
      </c>
      <c r="AI520" s="31">
        <f t="shared" si="340"/>
        <v>1.5707963267948966</v>
      </c>
      <c r="AJ520" s="31" t="str">
        <f t="shared" si="323"/>
        <v>-188181.029976331+9068.0358052289i</v>
      </c>
      <c r="AK520" s="31">
        <f t="shared" si="341"/>
        <v>188399.38778116475</v>
      </c>
      <c r="AL520" s="31">
        <f t="shared" si="342"/>
        <v>3.0934420684509649</v>
      </c>
      <c r="AM520" s="31" t="str">
        <f t="shared" si="324"/>
        <v>1+45160.3337866254i</v>
      </c>
      <c r="AN520" s="31">
        <f t="shared" si="343"/>
        <v>45160.333797697065</v>
      </c>
      <c r="AO520" s="31">
        <f t="shared" si="344"/>
        <v>1.5707741834687521</v>
      </c>
      <c r="AP520" s="31" t="str">
        <f t="shared" si="325"/>
        <v>1+1736.93591487021i</v>
      </c>
      <c r="AQ520" s="31">
        <f t="shared" si="345"/>
        <v>1736.9362027334259</v>
      </c>
      <c r="AR520" s="31">
        <f t="shared" si="346"/>
        <v>1.570220600378653</v>
      </c>
      <c r="AS520" s="58" t="str">
        <f t="shared" si="347"/>
        <v>-0.00454862248969028+0.0955822058602406i</v>
      </c>
      <c r="AT520" s="49">
        <f t="shared" si="348"/>
        <v>-20.382634785764104</v>
      </c>
      <c r="AU520" s="61">
        <f t="shared" si="349"/>
        <v>92.724569896602773</v>
      </c>
      <c r="AV520" s="58" t="str">
        <f t="shared" si="326"/>
        <v>-0.0000242972707737629-0.0000607112991617195i</v>
      </c>
      <c r="AW520" s="64">
        <f t="shared" si="350"/>
        <v>-83.689400395396177</v>
      </c>
      <c r="AX520" s="61">
        <f t="shared" si="351"/>
        <v>-111.81178265934622</v>
      </c>
    </row>
    <row r="521" spans="14:50" x14ac:dyDescent="0.25">
      <c r="N521" s="10">
        <v>3</v>
      </c>
      <c r="O521" s="50">
        <f t="shared" si="353"/>
        <v>1071519.3052376076</v>
      </c>
      <c r="P521" s="48" t="str">
        <f t="shared" si="317"/>
        <v>304.285714285714</v>
      </c>
      <c r="Q521" s="17" t="str">
        <f t="shared" si="318"/>
        <v>1+350573.723201113i</v>
      </c>
      <c r="R521" s="17">
        <f t="shared" si="327"/>
        <v>350573.72320253926</v>
      </c>
      <c r="S521" s="17">
        <f t="shared" si="328"/>
        <v>1.5707934743278296</v>
      </c>
      <c r="T521" s="17" t="str">
        <f t="shared" si="319"/>
        <v>1+7.27115870343047i</v>
      </c>
      <c r="U521" s="17">
        <f t="shared" si="329"/>
        <v>7.339601412234364</v>
      </c>
      <c r="V521" s="17">
        <f t="shared" si="330"/>
        <v>1.4341240526539303</v>
      </c>
      <c r="W521" s="31" t="str">
        <f t="shared" si="320"/>
        <v>1-22.7223709482202i</v>
      </c>
      <c r="X521" s="17">
        <f t="shared" si="331"/>
        <v>22.744365049579233</v>
      </c>
      <c r="Y521" s="17">
        <f t="shared" si="332"/>
        <v>-1.5268152149771639</v>
      </c>
      <c r="Z521" s="31" t="str">
        <f t="shared" si="321"/>
        <v>-71.0910398994931+200.444239514176i</v>
      </c>
      <c r="AA521" s="17">
        <f t="shared" si="333"/>
        <v>212.67775884752891</v>
      </c>
      <c r="AB521" s="17">
        <f t="shared" si="334"/>
        <v>1.9116231315888574</v>
      </c>
      <c r="AC521" s="66" t="str">
        <f t="shared" si="335"/>
        <v>-0.000618259160256276+0.000286181265925638i</v>
      </c>
      <c r="AD521" s="64">
        <f t="shared" si="336"/>
        <v>-63.333471599317065</v>
      </c>
      <c r="AE521" s="61">
        <f t="shared" si="337"/>
        <v>155.16141357541761</v>
      </c>
      <c r="AF521" s="31" t="str">
        <f t="shared" si="322"/>
        <v>-1512.12121212121</v>
      </c>
      <c r="AG521" s="31" t="str">
        <f t="shared" si="338"/>
        <v>6732554.35502821i</v>
      </c>
      <c r="AH521" s="31">
        <f t="shared" si="339"/>
        <v>6732554.3550282102</v>
      </c>
      <c r="AI521" s="31">
        <f t="shared" si="340"/>
        <v>1.5707963267948966</v>
      </c>
      <c r="AJ521" s="31" t="str">
        <f t="shared" si="323"/>
        <v>-197049.775818386+9279.25749324169i</v>
      </c>
      <c r="AK521" s="31">
        <f t="shared" si="341"/>
        <v>197268.13926658826</v>
      </c>
      <c r="AL521" s="31">
        <f t="shared" si="342"/>
        <v>3.0945364847814942</v>
      </c>
      <c r="AM521" s="31" t="str">
        <f t="shared" si="324"/>
        <v>1+46212.2530929135i</v>
      </c>
      <c r="AN521" s="31">
        <f t="shared" si="343"/>
        <v>46212.253103733136</v>
      </c>
      <c r="AO521" s="31">
        <f t="shared" si="344"/>
        <v>1.5707746875123922</v>
      </c>
      <c r="AP521" s="31" t="str">
        <f t="shared" si="325"/>
        <v>1+1777.39434972745i</v>
      </c>
      <c r="AQ521" s="31">
        <f t="shared" si="345"/>
        <v>1777.3946310381002</v>
      </c>
      <c r="AR521" s="31">
        <f t="shared" si="346"/>
        <v>1.5702337055090581</v>
      </c>
      <c r="AS521" s="58" t="str">
        <f t="shared" si="347"/>
        <v>-0.00434435164783981+0.0934160862455219i</v>
      </c>
      <c r="AT521" s="49">
        <f t="shared" si="348"/>
        <v>-20.582184069167383</v>
      </c>
      <c r="AU521" s="61">
        <f t="shared" si="349"/>
        <v>92.662644208068699</v>
      </c>
      <c r="AV521" s="58" t="str">
        <f t="shared" si="326"/>
        <v>-0.0000240479986179106-0.0000589986230907892i</v>
      </c>
      <c r="AW521" s="64">
        <f t="shared" si="350"/>
        <v>-83.915655668484433</v>
      </c>
      <c r="AX521" s="61">
        <f t="shared" si="351"/>
        <v>-112.17594221651363</v>
      </c>
    </row>
    <row r="522" spans="14:50" x14ac:dyDescent="0.25">
      <c r="N522" s="10">
        <v>4</v>
      </c>
      <c r="O522" s="50">
        <f t="shared" si="353"/>
        <v>1096478.196143186</v>
      </c>
      <c r="P522" s="48" t="str">
        <f t="shared" si="317"/>
        <v>304.285714285714</v>
      </c>
      <c r="Q522" s="17" t="str">
        <f t="shared" si="318"/>
        <v>1+358739.634229471i</v>
      </c>
      <c r="R522" s="17">
        <f t="shared" si="327"/>
        <v>358739.63423086482</v>
      </c>
      <c r="S522" s="17">
        <f t="shared" si="328"/>
        <v>1.5707935392579071</v>
      </c>
      <c r="T522" s="17" t="str">
        <f t="shared" si="319"/>
        <v>1+7.44052574698161i</v>
      </c>
      <c r="U522" s="17">
        <f t="shared" si="329"/>
        <v>7.5074245511690796</v>
      </c>
      <c r="V522" s="17">
        <f t="shared" si="330"/>
        <v>1.4371977856457072</v>
      </c>
      <c r="W522" s="31" t="str">
        <f t="shared" si="320"/>
        <v>1-23.2516429593176i</v>
      </c>
      <c r="X522" s="17">
        <f t="shared" si="331"/>
        <v>23.273136881554741</v>
      </c>
      <c r="Y522" s="17">
        <f t="shared" si="332"/>
        <v>-1.5278151004522322</v>
      </c>
      <c r="Z522" s="31" t="str">
        <f t="shared" si="321"/>
        <v>-74.4885859374357+205.113185637901i</v>
      </c>
      <c r="AA522" s="17">
        <f t="shared" si="333"/>
        <v>218.2199999025909</v>
      </c>
      <c r="AB522" s="17">
        <f t="shared" si="334"/>
        <v>1.9191451639724686</v>
      </c>
      <c r="AC522" s="66" t="str">
        <f t="shared" si="335"/>
        <v>-0.000614744432601129+0.000288631581662338i</v>
      </c>
      <c r="AD522" s="64">
        <f t="shared" si="336"/>
        <v>-63.360928974134353</v>
      </c>
      <c r="AE522" s="61">
        <f t="shared" si="337"/>
        <v>154.84925185631769</v>
      </c>
      <c r="AF522" s="31" t="str">
        <f t="shared" si="322"/>
        <v>-1512.12121212121</v>
      </c>
      <c r="AG522" s="31" t="str">
        <f t="shared" si="338"/>
        <v>6889375.69164964i</v>
      </c>
      <c r="AH522" s="31">
        <f t="shared" si="339"/>
        <v>6889375.69164964</v>
      </c>
      <c r="AI522" s="31">
        <f t="shared" si="340"/>
        <v>1.5707963267948966</v>
      </c>
      <c r="AJ522" s="31" t="str">
        <f t="shared" si="323"/>
        <v>-206336.49277501+9495.39916640291i</v>
      </c>
      <c r="AK522" s="31">
        <f t="shared" si="341"/>
        <v>206554.86161313433</v>
      </c>
      <c r="AL522" s="31">
        <f t="shared" si="342"/>
        <v>3.0956060974186479</v>
      </c>
      <c r="AM522" s="31" t="str">
        <f t="shared" si="324"/>
        <v>1+47288.674747483i</v>
      </c>
      <c r="AN522" s="31">
        <f t="shared" si="343"/>
        <v>47288.674758056361</v>
      </c>
      <c r="AO522" s="31">
        <f t="shared" si="344"/>
        <v>1.5707751800825984</v>
      </c>
      <c r="AP522" s="31" t="str">
        <f t="shared" si="325"/>
        <v>1+1818.7951825955i</v>
      </c>
      <c r="AQ522" s="31">
        <f t="shared" si="345"/>
        <v>1818.7954575027391</v>
      </c>
      <c r="AR522" s="31">
        <f t="shared" si="346"/>
        <v>1.5702465123304621</v>
      </c>
      <c r="AS522" s="58" t="str">
        <f t="shared" si="347"/>
        <v>-0.00414923491804225+0.0912986347910276i</v>
      </c>
      <c r="AT522" s="49">
        <f t="shared" si="348"/>
        <v>-20.781753594477244</v>
      </c>
      <c r="AU522" s="61">
        <f t="shared" si="349"/>
        <v>92.602121917255303</v>
      </c>
      <c r="AV522" s="58" t="str">
        <f t="shared" si="326"/>
        <v>-0.0000238009502979258-0.0000573229276789511i</v>
      </c>
      <c r="AW522" s="64">
        <f t="shared" si="350"/>
        <v>-84.142682568611605</v>
      </c>
      <c r="AX522" s="61">
        <f t="shared" si="351"/>
        <v>-112.54862622642702</v>
      </c>
    </row>
    <row r="523" spans="14:50" x14ac:dyDescent="0.25">
      <c r="N523" s="10">
        <v>5</v>
      </c>
      <c r="O523" s="50">
        <f t="shared" si="353"/>
        <v>1122018.4543019643</v>
      </c>
      <c r="P523" s="48" t="str">
        <f t="shared" si="317"/>
        <v>304.285714285714</v>
      </c>
      <c r="Q523" s="17" t="str">
        <f t="shared" si="318"/>
        <v>1+367095.753760379i</v>
      </c>
      <c r="R523" s="17">
        <f t="shared" si="327"/>
        <v>367095.75376174104</v>
      </c>
      <c r="S523" s="17">
        <f t="shared" si="328"/>
        <v>1.5707936027099958</v>
      </c>
      <c r="T523" s="17" t="str">
        <f t="shared" si="319"/>
        <v>1+7.61383785577081i</v>
      </c>
      <c r="U523" s="17">
        <f t="shared" si="329"/>
        <v>7.6792269724216817</v>
      </c>
      <c r="V523" s="17">
        <f t="shared" si="330"/>
        <v>1.4402040078650267</v>
      </c>
      <c r="W523" s="31" t="str">
        <f t="shared" si="320"/>
        <v>1-23.7932432992838i</v>
      </c>
      <c r="X523" s="17">
        <f t="shared" si="331"/>
        <v>23.814248396682888</v>
      </c>
      <c r="Y523" s="17">
        <f t="shared" si="332"/>
        <v>-1.5287923088586115</v>
      </c>
      <c r="Z523" s="31" t="str">
        <f t="shared" si="321"/>
        <v>-78.0462533870825+209.890885487645i</v>
      </c>
      <c r="AA523" s="17">
        <f t="shared" si="333"/>
        <v>223.93168931294289</v>
      </c>
      <c r="AB523" s="17">
        <f t="shared" si="334"/>
        <v>1.9267954973254546</v>
      </c>
      <c r="AC523" s="66" t="str">
        <f t="shared" si="335"/>
        <v>-0.00061112134094961+0.000291134275238089i</v>
      </c>
      <c r="AD523" s="64">
        <f t="shared" si="336"/>
        <v>-63.389179412143015</v>
      </c>
      <c r="AE523" s="61">
        <f t="shared" si="337"/>
        <v>154.52717033584179</v>
      </c>
      <c r="AF523" s="31" t="str">
        <f t="shared" si="322"/>
        <v>-1512.12121212121</v>
      </c>
      <c r="AG523" s="31" t="str">
        <f t="shared" si="338"/>
        <v>7049849.86645445i</v>
      </c>
      <c r="AH523" s="31">
        <f t="shared" si="339"/>
        <v>7049849.8664544504</v>
      </c>
      <c r="AI523" s="31">
        <f t="shared" si="340"/>
        <v>1.5707963267948966</v>
      </c>
      <c r="AJ523" s="31" t="str">
        <f t="shared" si="323"/>
        <v>-216060.879217958+9716.57542588861i</v>
      </c>
      <c r="AK523" s="31">
        <f t="shared" si="341"/>
        <v>216279.25320391695</v>
      </c>
      <c r="AL523" s="31">
        <f t="shared" si="342"/>
        <v>3.0966514637573255</v>
      </c>
      <c r="AM523" s="31" t="str">
        <f t="shared" si="324"/>
        <v>1+48390.1694833432i</v>
      </c>
      <c r="AN523" s="31">
        <f t="shared" si="343"/>
        <v>48390.169493675865</v>
      </c>
      <c r="AO523" s="31">
        <f t="shared" si="344"/>
        <v>1.5707756614405377</v>
      </c>
      <c r="AP523" s="31" t="str">
        <f t="shared" si="325"/>
        <v>1+1861.16036474397i</v>
      </c>
      <c r="AQ523" s="31">
        <f t="shared" si="345"/>
        <v>1861.1606333935574</v>
      </c>
      <c r="AR523" s="31">
        <f t="shared" si="346"/>
        <v>1.5702590276331947</v>
      </c>
      <c r="AS523" s="58" t="str">
        <f t="shared" si="347"/>
        <v>-0.00396286377015598+0.089228786110267i</v>
      </c>
      <c r="AT523" s="49">
        <f t="shared" si="348"/>
        <v>-20.981342454493273</v>
      </c>
      <c r="AU523" s="61">
        <f t="shared" si="349"/>
        <v>92.542971491808302</v>
      </c>
      <c r="AV523" s="58" t="str">
        <f t="shared" si="326"/>
        <v>-0.0000235557673533687-0.0000556833408906039i</v>
      </c>
      <c r="AW523" s="64">
        <f t="shared" si="350"/>
        <v>-84.370521866636295</v>
      </c>
      <c r="AX523" s="61">
        <f t="shared" si="351"/>
        <v>-112.92985817234992</v>
      </c>
    </row>
    <row r="524" spans="14:50" x14ac:dyDescent="0.25">
      <c r="N524" s="10">
        <v>6</v>
      </c>
      <c r="O524" s="50">
        <f t="shared" si="353"/>
        <v>1148153.6214968837</v>
      </c>
      <c r="P524" s="48" t="str">
        <f t="shared" si="317"/>
        <v>304.285714285714</v>
      </c>
      <c r="Q524" s="17" t="str">
        <f t="shared" si="318"/>
        <v>1+375646.512319017i</v>
      </c>
      <c r="R524" s="17">
        <f t="shared" si="327"/>
        <v>375646.51232034806</v>
      </c>
      <c r="S524" s="17">
        <f t="shared" si="328"/>
        <v>1.5707936647177385</v>
      </c>
      <c r="T524" s="17" t="str">
        <f t="shared" si="319"/>
        <v>1+7.79118692217219i</v>
      </c>
      <c r="U524" s="17">
        <f t="shared" si="329"/>
        <v>7.8550998501754874</v>
      </c>
      <c r="V524" s="17">
        <f t="shared" si="330"/>
        <v>1.4431440957888757</v>
      </c>
      <c r="W524" s="31" t="str">
        <f t="shared" si="320"/>
        <v>1-24.3474591317881i</v>
      </c>
      <c r="X524" s="17">
        <f t="shared" si="331"/>
        <v>24.367986502255203</v>
      </c>
      <c r="Y524" s="17">
        <f t="shared" si="332"/>
        <v>-1.5297473508555068</v>
      </c>
      <c r="Z524" s="31" t="str">
        <f t="shared" si="321"/>
        <v>-81.7715885380792+214.77987226311i</v>
      </c>
      <c r="AA524" s="17">
        <f t="shared" si="333"/>
        <v>229.81946440934627</v>
      </c>
      <c r="AB524" s="17">
        <f t="shared" si="334"/>
        <v>1.9345747588084747</v>
      </c>
      <c r="AC524" s="66" t="str">
        <f t="shared" si="335"/>
        <v>-0.000607386872194629+0.000293685291051895i</v>
      </c>
      <c r="AD524" s="64">
        <f t="shared" si="336"/>
        <v>-63.418265007841654</v>
      </c>
      <c r="AE524" s="61">
        <f t="shared" si="337"/>
        <v>154.19518268610821</v>
      </c>
      <c r="AF524" s="31" t="str">
        <f t="shared" si="322"/>
        <v>-1512.12121212121</v>
      </c>
      <c r="AG524" s="31" t="str">
        <f t="shared" si="338"/>
        <v>7214061.96497425i</v>
      </c>
      <c r="AH524" s="31">
        <f t="shared" si="339"/>
        <v>7214061.9649742497</v>
      </c>
      <c r="AI524" s="31">
        <f t="shared" si="340"/>
        <v>1.5707963267948966</v>
      </c>
      <c r="AJ524" s="31" t="str">
        <f t="shared" si="323"/>
        <v>-226243.56187465+9942.9035422792i</v>
      </c>
      <c r="AK524" s="31">
        <f t="shared" si="341"/>
        <v>226461.94077720799</v>
      </c>
      <c r="AL524" s="31">
        <f t="shared" si="342"/>
        <v>3.097673128983371</v>
      </c>
      <c r="AM524" s="31" t="str">
        <f t="shared" si="324"/>
        <v>1+49517.3213275831i</v>
      </c>
      <c r="AN524" s="31">
        <f t="shared" si="343"/>
        <v>49517.321337680587</v>
      </c>
      <c r="AO524" s="31">
        <f t="shared" si="344"/>
        <v>1.5707761318414328</v>
      </c>
      <c r="AP524" s="31" t="str">
        <f t="shared" si="325"/>
        <v>1+1904.5123587532i</v>
      </c>
      <c r="AQ524" s="31">
        <f t="shared" si="345"/>
        <v>1904.5126212875768</v>
      </c>
      <c r="AR524" s="31">
        <f t="shared" si="346"/>
        <v>1.5702712580530189</v>
      </c>
      <c r="AS524" s="58" t="str">
        <f t="shared" si="347"/>
        <v>-0.00378484775674137+0.0872054962568498i</v>
      </c>
      <c r="AT524" s="49">
        <f t="shared" si="348"/>
        <v>-21.180949782509661</v>
      </c>
      <c r="AU524" s="61">
        <f t="shared" si="349"/>
        <v>92.485162089704161</v>
      </c>
      <c r="AV524" s="58" t="str">
        <f t="shared" si="326"/>
        <v>-0.0000233121047088179-0.0000540790277246541i</v>
      </c>
      <c r="AW524" s="64">
        <f t="shared" si="350"/>
        <v>-84.599214790351326</v>
      </c>
      <c r="AX524" s="61">
        <f t="shared" si="351"/>
        <v>-113.31965522418764</v>
      </c>
    </row>
    <row r="525" spans="14:50" x14ac:dyDescent="0.25">
      <c r="N525" s="10">
        <v>7</v>
      </c>
      <c r="O525" s="50">
        <f t="shared" si="353"/>
        <v>1174897.5549395324</v>
      </c>
      <c r="P525" s="48" t="str">
        <f t="shared" si="317"/>
        <v>304.285714285714</v>
      </c>
      <c r="Q525" s="17" t="str">
        <f t="shared" si="318"/>
        <v>1+384396.443630757i</v>
      </c>
      <c r="R525" s="17">
        <f t="shared" si="327"/>
        <v>384396.44363205775</v>
      </c>
      <c r="S525" s="17">
        <f t="shared" si="328"/>
        <v>1.5707937253140125</v>
      </c>
      <c r="T525" s="17" t="str">
        <f t="shared" si="319"/>
        <v>1+7.97266697900827i</v>
      </c>
      <c r="U525" s="17">
        <f t="shared" si="329"/>
        <v>8.0351365114831044</v>
      </c>
      <c r="V525" s="17">
        <f t="shared" si="330"/>
        <v>1.4460194048670663</v>
      </c>
      <c r="W525" s="31" t="str">
        <f t="shared" si="320"/>
        <v>1-24.9145843094009i</v>
      </c>
      <c r="X525" s="17">
        <f t="shared" si="331"/>
        <v>24.934644800161994</v>
      </c>
      <c r="Y525" s="17">
        <f t="shared" si="332"/>
        <v>-1.5306807258460644</v>
      </c>
      <c r="Z525" s="31" t="str">
        <f t="shared" si="321"/>
        <v>-85.6724933257458+219.782738169796i</v>
      </c>
      <c r="AA525" s="17">
        <f t="shared" si="333"/>
        <v>235.89028829111015</v>
      </c>
      <c r="AB525" s="17">
        <f t="shared" si="334"/>
        <v>1.9424834614531994</v>
      </c>
      <c r="AC525" s="66" t="str">
        <f t="shared" si="335"/>
        <v>-0.000603538111364821+0.000296280387432592i</v>
      </c>
      <c r="AD525" s="64">
        <f t="shared" si="336"/>
        <v>-63.44822826458276</v>
      </c>
      <c r="AE525" s="61">
        <f t="shared" si="337"/>
        <v>153.85330855854468</v>
      </c>
      <c r="AF525" s="31" t="str">
        <f t="shared" si="322"/>
        <v>-1512.12121212121</v>
      </c>
      <c r="AG525" s="31" t="str">
        <f t="shared" si="338"/>
        <v>7382099.05463729i</v>
      </c>
      <c r="AH525" s="31">
        <f t="shared" si="339"/>
        <v>7382099.0546372896</v>
      </c>
      <c r="AI525" s="31">
        <f t="shared" si="340"/>
        <v>1.5707963267948966</v>
      </c>
      <c r="AJ525" s="31" t="str">
        <f t="shared" si="323"/>
        <v>-236906.139580215+10174.5035177378i</v>
      </c>
      <c r="AK525" s="31">
        <f t="shared" si="341"/>
        <v>237124.52317850379</v>
      </c>
      <c r="AL525" s="31">
        <f t="shared" si="342"/>
        <v>3.0986716263197618</v>
      </c>
      <c r="AM525" s="31" t="str">
        <f t="shared" si="324"/>
        <v>1+50670.7279110302i</v>
      </c>
      <c r="AN525" s="31">
        <f t="shared" si="343"/>
        <v>50670.727920897829</v>
      </c>
      <c r="AO525" s="31">
        <f t="shared" si="344"/>
        <v>1.5707765915346961</v>
      </c>
      <c r="AP525" s="31" t="str">
        <f t="shared" si="325"/>
        <v>1+1948.87415042424i</v>
      </c>
      <c r="AQ525" s="31">
        <f t="shared" si="345"/>
        <v>1948.8744069826057</v>
      </c>
      <c r="AR525" s="31">
        <f t="shared" si="346"/>
        <v>1.5702832100746511</v>
      </c>
      <c r="AS525" s="58" t="str">
        <f t="shared" si="347"/>
        <v>-0.0036148137257927+0.0852277424217674i</v>
      </c>
      <c r="AT525" s="49">
        <f t="shared" si="348"/>
        <v>-21.380574750521614</v>
      </c>
      <c r="AU525" s="61">
        <f t="shared" si="349"/>
        <v>92.428663545353956</v>
      </c>
      <c r="AV525" s="58" t="str">
        <f t="shared" si="326"/>
        <v>-0.0000230696306957258-0.0000525091891082954i</v>
      </c>
      <c r="AW525" s="64">
        <f t="shared" si="350"/>
        <v>-84.82880301510437</v>
      </c>
      <c r="AX525" s="61">
        <f t="shared" si="351"/>
        <v>-113.71802789610133</v>
      </c>
    </row>
    <row r="526" spans="14:50" x14ac:dyDescent="0.25">
      <c r="N526" s="10">
        <v>8</v>
      </c>
      <c r="O526" s="50">
        <f t="shared" si="353"/>
        <v>1202264.4346174158</v>
      </c>
      <c r="P526" s="48" t="str">
        <f t="shared" si="317"/>
        <v>304.285714285714</v>
      </c>
      <c r="Q526" s="17" t="str">
        <f t="shared" si="318"/>
        <v>1+393350.187024998i</v>
      </c>
      <c r="R526" s="17">
        <f t="shared" si="327"/>
        <v>393350.18702626915</v>
      </c>
      <c r="S526" s="17">
        <f t="shared" si="328"/>
        <v>1.5707937845309472</v>
      </c>
      <c r="T526" s="17" t="str">
        <f t="shared" si="319"/>
        <v>1+8.15837424940734i</v>
      </c>
      <c r="U526" s="17">
        <f t="shared" si="329"/>
        <v>8.2194324860900689</v>
      </c>
      <c r="V526" s="17">
        <f t="shared" si="330"/>
        <v>1.4488312693544505</v>
      </c>
      <c r="W526" s="31" t="str">
        <f t="shared" si="320"/>
        <v>1-25.494919529398i</v>
      </c>
      <c r="X526" s="17">
        <f t="shared" si="331"/>
        <v>25.514523742576099</v>
      </c>
      <c r="Y526" s="17">
        <f t="shared" si="332"/>
        <v>-1.5315929222091824</v>
      </c>
      <c r="Z526" s="31" t="str">
        <f t="shared" si="321"/>
        <v>-89.7572420921395+224.902135793428i</v>
      </c>
      <c r="AA526" s="17">
        <f t="shared" si="333"/>
        <v>242.15146745876325</v>
      </c>
      <c r="AB526" s="17">
        <f t="shared" si="334"/>
        <v>1.9505219974085761</v>
      </c>
      <c r="AC526" s="66" t="str">
        <f t="shared" si="335"/>
        <v>-0.00059957225432493+0.000298915134073319i</v>
      </c>
      <c r="AD526" s="64">
        <f t="shared" si="336"/>
        <v>-63.479112082736542</v>
      </c>
      <c r="AE526" s="61">
        <f t="shared" si="337"/>
        <v>153.50157394795298</v>
      </c>
      <c r="AF526" s="31" t="str">
        <f t="shared" si="322"/>
        <v>-1512.12121212121</v>
      </c>
      <c r="AG526" s="31" t="str">
        <f t="shared" si="338"/>
        <v>7554050.23093272i</v>
      </c>
      <c r="AH526" s="31">
        <f t="shared" si="339"/>
        <v>7554050.23093272</v>
      </c>
      <c r="AI526" s="31">
        <f t="shared" si="340"/>
        <v>1.5707963267948966</v>
      </c>
      <c r="AJ526" s="31" t="str">
        <f t="shared" si="323"/>
        <v>-248071.229091522+10411.4981496369i</v>
      </c>
      <c r="AK526" s="31">
        <f t="shared" si="341"/>
        <v>248289.61717457758</v>
      </c>
      <c r="AL526" s="31">
        <f t="shared" si="342"/>
        <v>3.0996474772692864</v>
      </c>
      <c r="AM526" s="31" t="str">
        <f t="shared" si="324"/>
        <v>1+51851.0007851221i</v>
      </c>
      <c r="AN526" s="31">
        <f t="shared" si="343"/>
        <v>51851.000794765117</v>
      </c>
      <c r="AO526" s="31">
        <f t="shared" si="344"/>
        <v>1.5707770407640633</v>
      </c>
      <c r="AP526" s="31" t="str">
        <f t="shared" si="325"/>
        <v>1+1994.26926096624i</v>
      </c>
      <c r="AQ526" s="31">
        <f t="shared" si="345"/>
        <v>1994.2695116846248</v>
      </c>
      <c r="AR526" s="31">
        <f t="shared" si="346"/>
        <v>1.5702948900351972</v>
      </c>
      <c r="AS526" s="58" t="str">
        <f t="shared" si="347"/>
        <v>-0.00345240506658547+0.08329452262544i</v>
      </c>
      <c r="AT526" s="49">
        <f t="shared" si="348"/>
        <v>-21.580216567510462</v>
      </c>
      <c r="AU526" s="61">
        <f t="shared" si="349"/>
        <v>92.373446355903326</v>
      </c>
      <c r="AV526" s="58" t="str">
        <f t="shared" si="326"/>
        <v>-0.000022828027109541-0.0000509730608268078i</v>
      </c>
      <c r="AW526" s="64">
        <f t="shared" si="350"/>
        <v>-85.059328650247011</v>
      </c>
      <c r="AX526" s="61">
        <f t="shared" si="351"/>
        <v>-114.12497969614363</v>
      </c>
    </row>
    <row r="527" spans="14:50" x14ac:dyDescent="0.25">
      <c r="N527" s="10">
        <v>9</v>
      </c>
      <c r="O527" s="50">
        <f t="shared" si="353"/>
        <v>1230268.770812382</v>
      </c>
      <c r="P527" s="48" t="str">
        <f t="shared" si="317"/>
        <v>304.285714285714</v>
      </c>
      <c r="Q527" s="17" t="str">
        <f t="shared" si="318"/>
        <v>1+402512.489895003i</v>
      </c>
      <c r="R527" s="17">
        <f t="shared" si="327"/>
        <v>402512.48989624513</v>
      </c>
      <c r="S527" s="17">
        <f t="shared" si="328"/>
        <v>1.5707938423999397</v>
      </c>
      <c r="T527" s="17" t="str">
        <f t="shared" si="319"/>
        <v>1+8.34840719782227i</v>
      </c>
      <c r="U527" s="17">
        <f t="shared" si="329"/>
        <v>8.4080855574054851</v>
      </c>
      <c r="V527" s="17">
        <f t="shared" si="330"/>
        <v>1.4515810021857616</v>
      </c>
      <c r="W527" s="31" t="str">
        <f t="shared" si="320"/>
        <v>1-26.0887724931946i</v>
      </c>
      <c r="X527" s="17">
        <f t="shared" si="331"/>
        <v>26.107930791268529</v>
      </c>
      <c r="Y527" s="17">
        <f t="shared" si="332"/>
        <v>-1.5324844175276591</v>
      </c>
      <c r="Z527" s="31" t="str">
        <f t="shared" si="321"/>
        <v>-94.0344991370456+230.140779506389i</v>
      </c>
      <c r="AA527" s="17">
        <f t="shared" si="333"/>
        <v>248.61067036586221</v>
      </c>
      <c r="AB527" s="17">
        <f t="shared" si="334"/>
        <v>1.9586906311269041</v>
      </c>
      <c r="AC527" s="66" t="str">
        <f t="shared" si="335"/>
        <v>-0.00059548662116802+0.000301584910299793i</v>
      </c>
      <c r="AD527" s="64">
        <f t="shared" si="336"/>
        <v>-63.510959743417146</v>
      </c>
      <c r="AE527" s="61">
        <f t="shared" si="337"/>
        <v>153.14001156267386</v>
      </c>
      <c r="AF527" s="31" t="str">
        <f t="shared" si="322"/>
        <v>-1512.12121212121</v>
      </c>
      <c r="AG527" s="31" t="str">
        <f t="shared" si="338"/>
        <v>7730006.66465025i</v>
      </c>
      <c r="AH527" s="31">
        <f t="shared" si="339"/>
        <v>7730006.6646502502</v>
      </c>
      <c r="AI527" s="31">
        <f t="shared" si="340"/>
        <v>1.5707963267948966</v>
      </c>
      <c r="AJ527" s="31" t="str">
        <f t="shared" si="323"/>
        <v>-259762.513060355+10654.0130956675i</v>
      </c>
      <c r="AK527" s="31">
        <f t="shared" si="341"/>
        <v>259980.90542667508</v>
      </c>
      <c r="AL527" s="31">
        <f t="shared" si="342"/>
        <v>3.1006011918536527</v>
      </c>
      <c r="AM527" s="31" t="str">
        <f t="shared" si="324"/>
        <v>1+53058.7657461592i</v>
      </c>
      <c r="AN527" s="31">
        <f t="shared" si="343"/>
        <v>53058.765755582717</v>
      </c>
      <c r="AO527" s="31">
        <f t="shared" si="344"/>
        <v>1.5707774797677219</v>
      </c>
      <c r="AP527" s="31" t="str">
        <f t="shared" si="325"/>
        <v>1+2040.72175946766i</v>
      </c>
      <c r="AQ527" s="31">
        <f t="shared" si="345"/>
        <v>2040.7220044789985</v>
      </c>
      <c r="AR527" s="31">
        <f t="shared" si="346"/>
        <v>1.5703063041275145</v>
      </c>
      <c r="AS527" s="58" t="str">
        <f t="shared" si="347"/>
        <v>-0.00329728098735094+0.0814048554054336i</v>
      </c>
      <c r="AT527" s="49">
        <f t="shared" si="348"/>
        <v>-21.779874477803943</v>
      </c>
      <c r="AU527" s="61">
        <f t="shared" si="349"/>
        <v>92.319481667732617</v>
      </c>
      <c r="AV527" s="58" t="str">
        <f t="shared" si="326"/>
        <v>-0.0000225869893012161-0.0000494699124828563i</v>
      </c>
      <c r="AW527" s="64">
        <f t="shared" si="350"/>
        <v>-85.290834221221104</v>
      </c>
      <c r="AX527" s="61">
        <f t="shared" si="351"/>
        <v>-114.54050676959348</v>
      </c>
    </row>
    <row r="528" spans="14:50" x14ac:dyDescent="0.25">
      <c r="N528" s="10">
        <v>10</v>
      </c>
      <c r="O528" s="50">
        <f t="shared" si="353"/>
        <v>1258925.4117941677</v>
      </c>
      <c r="P528" s="48" t="str">
        <f t="shared" si="317"/>
        <v>304.285714285714</v>
      </c>
      <c r="Q528" s="17" t="str">
        <f t="shared" si="318"/>
        <v>1+411888.210215034i</v>
      </c>
      <c r="R528" s="17">
        <f t="shared" si="327"/>
        <v>411888.21021624794</v>
      </c>
      <c r="S528" s="17">
        <f t="shared" si="328"/>
        <v>1.5707938989516732</v>
      </c>
      <c r="T528" s="17" t="str">
        <f t="shared" si="319"/>
        <v>1+8.54286658223773i</v>
      </c>
      <c r="U528" s="17">
        <f t="shared" si="329"/>
        <v>8.6011958146477614</v>
      </c>
      <c r="V528" s="17">
        <f t="shared" si="330"/>
        <v>1.4542698948899688</v>
      </c>
      <c r="W528" s="31" t="str">
        <f t="shared" si="320"/>
        <v>1-26.6964580694929i</v>
      </c>
      <c r="X528" s="17">
        <f t="shared" si="331"/>
        <v>26.715180580639775</v>
      </c>
      <c r="Y528" s="17">
        <f t="shared" si="332"/>
        <v>-1.5333556788126521</v>
      </c>
      <c r="Z528" s="31" t="str">
        <f t="shared" si="321"/>
        <v>-98.5133370961189+235.501446906918i</v>
      </c>
      <c r="AA528" s="17">
        <f t="shared" si="333"/>
        <v>255.27594693011224</v>
      </c>
      <c r="AB528" s="17">
        <f t="shared" si="334"/>
        <v>1.9669894925185949</v>
      </c>
      <c r="AC528" s="66" t="str">
        <f t="shared" si="335"/>
        <v>-0.000591278670260734+0.000304284904259673i</v>
      </c>
      <c r="AD528" s="64">
        <f t="shared" si="336"/>
        <v>-63.543814887595929</v>
      </c>
      <c r="AE528" s="61">
        <f t="shared" si="337"/>
        <v>152.76866119902161</v>
      </c>
      <c r="AF528" s="31" t="str">
        <f t="shared" si="322"/>
        <v>-1512.12121212121</v>
      </c>
      <c r="AG528" s="31" t="str">
        <f t="shared" si="338"/>
        <v>7910061.65022012i</v>
      </c>
      <c r="AH528" s="31">
        <f t="shared" si="339"/>
        <v>7910061.6502201203</v>
      </c>
      <c r="AI528" s="31">
        <f t="shared" si="340"/>
        <v>1.5707963267948966</v>
      </c>
      <c r="AJ528" s="31" t="str">
        <f t="shared" si="323"/>
        <v>-272004.79026749+10902.1769404639i</v>
      </c>
      <c r="AK528" s="31">
        <f t="shared" si="341"/>
        <v>272223.18672461098</v>
      </c>
      <c r="AL528" s="31">
        <f t="shared" si="342"/>
        <v>3.1015332688489838</v>
      </c>
      <c r="AM528" s="31" t="str">
        <f t="shared" si="324"/>
        <v>1+54294.6631671108i</v>
      </c>
      <c r="AN528" s="31">
        <f t="shared" si="343"/>
        <v>54294.663176319802</v>
      </c>
      <c r="AO528" s="31">
        <f t="shared" si="344"/>
        <v>1.5707779087784368</v>
      </c>
      <c r="AP528" s="31" t="str">
        <f t="shared" si="325"/>
        <v>1+2088.25627565811i</v>
      </c>
      <c r="AQ528" s="31">
        <f t="shared" si="345"/>
        <v>2088.2565150923101</v>
      </c>
      <c r="AR528" s="31">
        <f t="shared" si="346"/>
        <v>1.5703174584034936</v>
      </c>
      <c r="AS528" s="58" t="str">
        <f t="shared" si="347"/>
        <v>-0.00314911582352857+0.079557779500689i</v>
      </c>
      <c r="AT528" s="49">
        <f t="shared" si="348"/>
        <v>-21.979547759507359</v>
      </c>
      <c r="AU528" s="61">
        <f t="shared" si="349"/>
        <v>92.266741263159375</v>
      </c>
      <c r="AV528" s="58" t="str">
        <f t="shared" si="326"/>
        <v>-0.0000223462263018463-0.0000479990464789291i</v>
      </c>
      <c r="AW528" s="64">
        <f t="shared" si="350"/>
        <v>-85.523362647103284</v>
      </c>
      <c r="AX528" s="61">
        <f t="shared" si="351"/>
        <v>-114.96459753781897</v>
      </c>
    </row>
    <row r="529" spans="14:50" x14ac:dyDescent="0.25">
      <c r="N529" s="10">
        <v>11</v>
      </c>
      <c r="O529" s="50">
        <f t="shared" si="353"/>
        <v>1288249.5516931366</v>
      </c>
      <c r="P529" s="48" t="str">
        <f t="shared" si="317"/>
        <v>304.285714285714</v>
      </c>
      <c r="Q529" s="17" t="str">
        <f t="shared" si="318"/>
        <v>1+421482.319116107i</v>
      </c>
      <c r="R529" s="17">
        <f t="shared" si="327"/>
        <v>421482.31911729334</v>
      </c>
      <c r="S529" s="17">
        <f t="shared" si="328"/>
        <v>1.570793954216132</v>
      </c>
      <c r="T529" s="17" t="str">
        <f t="shared" si="319"/>
        <v>1+8.74185550759332i</v>
      </c>
      <c r="U529" s="17">
        <f t="shared" si="329"/>
        <v>8.7988657061941602</v>
      </c>
      <c r="V529" s="17">
        <f t="shared" si="330"/>
        <v>1.4568992175412012</v>
      </c>
      <c r="W529" s="31" t="str">
        <f t="shared" si="320"/>
        <v>1-27.3182984612292i</v>
      </c>
      <c r="X529" s="17">
        <f t="shared" si="331"/>
        <v>27.336595084552826</v>
      </c>
      <c r="Y529" s="17">
        <f t="shared" si="332"/>
        <v>-1.5342071627244391</v>
      </c>
      <c r="Z529" s="31" t="str">
        <f t="shared" si="321"/>
        <v>-103.203256185159+240.986980291828i</v>
      </c>
      <c r="AA529" s="17">
        <f t="shared" si="333"/>
        <v>262.15574904509236</v>
      </c>
      <c r="AB529" s="17">
        <f t="shared" si="334"/>
        <v>1.9754185701074825</v>
      </c>
      <c r="AC529" s="66" t="str">
        <f t="shared" si="335"/>
        <v>-0.000586946012893198+0.000307010113121274i</v>
      </c>
      <c r="AD529" s="64">
        <f t="shared" si="336"/>
        <v>-63.577721490437938</v>
      </c>
      <c r="AE529" s="61">
        <f t="shared" si="337"/>
        <v>152.38757011799484</v>
      </c>
      <c r="AF529" s="31" t="str">
        <f t="shared" si="322"/>
        <v>-1512.12121212121</v>
      </c>
      <c r="AG529" s="31" t="str">
        <f t="shared" si="338"/>
        <v>8094310.655179i</v>
      </c>
      <c r="AH529" s="31">
        <f t="shared" si="339"/>
        <v>8094310.6551790005</v>
      </c>
      <c r="AI529" s="31">
        <f t="shared" si="340"/>
        <v>1.5707963267948966</v>
      </c>
      <c r="AJ529" s="31" t="str">
        <f t="shared" si="323"/>
        <v>-284824.028224235+11156.1212637816i</v>
      </c>
      <c r="AK529" s="31">
        <f t="shared" si="341"/>
        <v>285042.42858832789</v>
      </c>
      <c r="AL529" s="31">
        <f t="shared" si="342"/>
        <v>3.1024441960176534</v>
      </c>
      <c r="AM529" s="31" t="str">
        <f t="shared" si="324"/>
        <v>1+55559.3483371485i</v>
      </c>
      <c r="AN529" s="31">
        <f t="shared" si="343"/>
        <v>55559.34834614789</v>
      </c>
      <c r="AO529" s="31">
        <f t="shared" si="344"/>
        <v>1.570778328023676</v>
      </c>
      <c r="AP529" s="31" t="str">
        <f t="shared" si="325"/>
        <v>1+2136.89801296725i</v>
      </c>
      <c r="AQ529" s="31">
        <f t="shared" si="345"/>
        <v>2136.898246951263</v>
      </c>
      <c r="AR529" s="31">
        <f t="shared" si="346"/>
        <v>1.5703283587772683</v>
      </c>
      <c r="AS529" s="58" t="str">
        <f t="shared" si="347"/>
        <v>-0.0030075983753882+0.077752353533015i</v>
      </c>
      <c r="AT529" s="49">
        <f t="shared" si="348"/>
        <v>-22.179235723003924</v>
      </c>
      <c r="AU529" s="61">
        <f t="shared" si="349"/>
        <v>92.215197547346008</v>
      </c>
      <c r="AV529" s="58" t="str">
        <f t="shared" si="326"/>
        <v>-0.0000221054609787981-0.0000465597970167168i</v>
      </c>
      <c r="AW529" s="64">
        <f t="shared" si="350"/>
        <v>-85.756957213441865</v>
      </c>
      <c r="AX529" s="61">
        <f t="shared" si="351"/>
        <v>-115.39723233465918</v>
      </c>
    </row>
    <row r="530" spans="14:50" x14ac:dyDescent="0.25">
      <c r="N530" s="10">
        <v>12</v>
      </c>
      <c r="O530" s="50">
        <f t="shared" si="353"/>
        <v>1318256.7385564097</v>
      </c>
      <c r="P530" s="48" t="str">
        <f t="shared" si="317"/>
        <v>304.285714285714</v>
      </c>
      <c r="Q530" s="17" t="str">
        <f t="shared" si="318"/>
        <v>1+431299.903521754i</v>
      </c>
      <c r="R530" s="17">
        <f t="shared" si="327"/>
        <v>431299.90352291329</v>
      </c>
      <c r="S530" s="17">
        <f t="shared" si="328"/>
        <v>1.5707940082226182</v>
      </c>
      <c r="T530" s="17" t="str">
        <f t="shared" si="319"/>
        <v>1+8.94547948045117i</v>
      </c>
      <c r="U530" s="17">
        <f t="shared" si="329"/>
        <v>9.0012000941637176</v>
      </c>
      <c r="V530" s="17">
        <f t="shared" si="330"/>
        <v>1.4594702187434574</v>
      </c>
      <c r="W530" s="31" t="str">
        <f t="shared" si="320"/>
        <v>1-27.9546233764099i</v>
      </c>
      <c r="X530" s="17">
        <f t="shared" si="331"/>
        <v>27.972503787057082</v>
      </c>
      <c r="Y530" s="17">
        <f t="shared" si="332"/>
        <v>-1.5350393157894646</v>
      </c>
      <c r="Z530" s="31" t="str">
        <f t="shared" si="321"/>
        <v>-108.114204351342+246.600288163528i</v>
      </c>
      <c r="AA530" s="17">
        <f t="shared" si="333"/>
        <v>269.25895213503821</v>
      </c>
      <c r="AB530" s="17">
        <f t="shared" si="334"/>
        <v>1.9839777042214672</v>
      </c>
      <c r="AC530" s="66" t="str">
        <f t="shared" si="335"/>
        <v>-0.000582486428474766+0.000309755344369748i</v>
      </c>
      <c r="AD530" s="64">
        <f t="shared" si="336"/>
        <v>-63.612723830713989</v>
      </c>
      <c r="AE530" s="61">
        <f t="shared" si="337"/>
        <v>151.99679342211093</v>
      </c>
      <c r="AF530" s="31" t="str">
        <f t="shared" si="322"/>
        <v>-1512.12121212121</v>
      </c>
      <c r="AG530" s="31" t="str">
        <f t="shared" si="338"/>
        <v>8282851.37078812i</v>
      </c>
      <c r="AH530" s="31">
        <f t="shared" si="339"/>
        <v>8282851.3707881197</v>
      </c>
      <c r="AI530" s="31">
        <f t="shared" si="340"/>
        <v>1.5707963267948966</v>
      </c>
      <c r="AJ530" s="31" t="str">
        <f t="shared" si="323"/>
        <v>-298247.418253+11415.980710262i</v>
      </c>
      <c r="AK530" s="31">
        <f t="shared" si="341"/>
        <v>298465.8223484843</v>
      </c>
      <c r="AL530" s="31">
        <f t="shared" si="342"/>
        <v>3.1033344503364453</v>
      </c>
      <c r="AM530" s="31" t="str">
        <f t="shared" si="324"/>
        <v>1+56853.4918090895i</v>
      </c>
      <c r="AN530" s="31">
        <f t="shared" si="343"/>
        <v>56853.491817884045</v>
      </c>
      <c r="AO530" s="31">
        <f t="shared" si="344"/>
        <v>1.5707787377257283</v>
      </c>
      <c r="AP530" s="31" t="str">
        <f t="shared" si="325"/>
        <v>1+2186.67276188806i</v>
      </c>
      <c r="AQ530" s="31">
        <f t="shared" si="345"/>
        <v>2186.672990545947</v>
      </c>
      <c r="AR530" s="31">
        <f t="shared" si="346"/>
        <v>1.5703390110283508</v>
      </c>
      <c r="AS530" s="58" t="str">
        <f t="shared" si="347"/>
        <v>-0.00287243127385284+0.0759876556865589i</v>
      </c>
      <c r="AT530" s="49">
        <f t="shared" si="348"/>
        <v>-22.378937709520656</v>
      </c>
      <c r="AU530" s="61">
        <f t="shared" si="349"/>
        <v>92.164823535413746</v>
      </c>
      <c r="AV530" s="58" t="str">
        <f t="shared" si="326"/>
        <v>-0.0000218644302212941-0.0000451515291074447i</v>
      </c>
      <c r="AW530" s="64">
        <f t="shared" si="350"/>
        <v>-85.991661540234631</v>
      </c>
      <c r="AX530" s="61">
        <f t="shared" si="351"/>
        <v>-115.83838304247527</v>
      </c>
    </row>
    <row r="531" spans="14:50" x14ac:dyDescent="0.25">
      <c r="N531" s="10">
        <v>13</v>
      </c>
      <c r="O531" s="50">
        <f t="shared" si="353"/>
        <v>1348962.8825916562</v>
      </c>
      <c r="P531" s="48" t="str">
        <f t="shared" ref="P531:P560" si="354">COMPLEX(Adc,0)</f>
        <v>304.285714285714</v>
      </c>
      <c r="Q531" s="17" t="str">
        <f t="shared" ref="Q531:Q560" si="355">IMSUM(COMPLEX(1,0),IMDIV(COMPLEX(0,2*PI()*O531),COMPLEX(wp_lf,0)))</f>
        <v>1+441346.168845175i</v>
      </c>
      <c r="R531" s="17">
        <f t="shared" si="327"/>
        <v>441346.16884630785</v>
      </c>
      <c r="S531" s="17">
        <f t="shared" si="328"/>
        <v>1.5707940609997666</v>
      </c>
      <c r="T531" s="17" t="str">
        <f t="shared" ref="T531:T560" si="356">IMSUM(COMPLEX(1,0),IMDIV(COMPLEX(0,2*PI()*O531),COMPLEX(wz_esr,0)))</f>
        <v>1+9.15384646493695i</v>
      </c>
      <c r="U531" s="17">
        <f t="shared" si="329"/>
        <v>9.2083063102635077</v>
      </c>
      <c r="V531" s="17">
        <f t="shared" si="330"/>
        <v>1.4619841256464823</v>
      </c>
      <c r="W531" s="31" t="str">
        <f t="shared" ref="W531:W560" si="357">IMSUB(COMPLEX(1,0),IMDIV(COMPLEX(0,2*PI()*O531),COMPLEX(wz_rhp,0)))</f>
        <v>1-28.605770202928i</v>
      </c>
      <c r="X531" s="17">
        <f t="shared" si="331"/>
        <v>28.623243857094948</v>
      </c>
      <c r="Y531" s="17">
        <f t="shared" si="332"/>
        <v>-1.5358525746136802</v>
      </c>
      <c r="Z531" s="31" t="str">
        <f t="shared" ref="Z531:Z560" si="358">IMSUM(COMPLEX(1,0),IMDIV(COMPLEX(0,2*PI()*O531),COMPLEX(Q*(wsl/2),0)),IMDIV(IMPOWER(COMPLEX(0,2*PI()*O531),2),IMPOWER(COMPLEX(wsl/2,0),2)))</f>
        <v>-113.256598374149+252.344346772152i</v>
      </c>
      <c r="AA531" s="17">
        <f t="shared" si="333"/>
        <v>276.59487779629507</v>
      </c>
      <c r="AB531" s="17">
        <f t="shared" si="334"/>
        <v>1.9926665802561685</v>
      </c>
      <c r="AC531" s="66" t="str">
        <f t="shared" si="335"/>
        <v>-0.00057789788020609+0.000312515218287704i</v>
      </c>
      <c r="AD531" s="64">
        <f t="shared" si="336"/>
        <v>-63.648866455157489</v>
      </c>
      <c r="AE531" s="61">
        <f t="shared" si="337"/>
        <v>151.59639443005503</v>
      </c>
      <c r="AF531" s="31" t="str">
        <f t="shared" ref="AF531:AF560" si="359">COMPLEX(Adc_ea_iso,0)</f>
        <v>-1512.12121212121</v>
      </c>
      <c r="AG531" s="31" t="str">
        <f t="shared" si="338"/>
        <v>8475783.76383051i</v>
      </c>
      <c r="AH531" s="31">
        <f t="shared" si="339"/>
        <v>8475783.7638305109</v>
      </c>
      <c r="AI531" s="31">
        <f t="shared" si="340"/>
        <v>1.5707963267948966</v>
      </c>
      <c r="AJ531" s="31" t="str">
        <f t="shared" ref="AJ531:AJ560" si="360">IMSUM(IMPRODUCT(COMPLEX(wpA_ea_iso,0),IMPOWER(COMPLEX(0,2*PI()*O531),2)),COMPLEX(0,wpB_ea_iso*2*PI()*O531),COMPLEX(1,0))</f>
        <v>-312303.433163741+11681.8930608234i</v>
      </c>
      <c r="AK531" s="31">
        <f t="shared" si="341"/>
        <v>312521.84082291555</v>
      </c>
      <c r="AL531" s="31">
        <f t="shared" si="342"/>
        <v>3.1042044982210069</v>
      </c>
      <c r="AM531" s="31" t="str">
        <f t="shared" ref="AM531:AM560" si="361">IMSUM(COMPLEX(1,0),IMDIV(COMPLEX(0,2*PI()*O531),COMPLEX(wz1_ea_iso,0)))</f>
        <v>1+58177.7797549325i</v>
      </c>
      <c r="AN531" s="31">
        <f t="shared" si="343"/>
        <v>58177.779763526843</v>
      </c>
      <c r="AO531" s="31">
        <f t="shared" si="344"/>
        <v>1.5707791381018232</v>
      </c>
      <c r="AP531" s="31" t="str">
        <f t="shared" ref="AP531:AP560" si="362">IMSUM(COMPLEX(1,0),IMDIV(COMPLEX(0,2*PI()*O531),COMPLEX(wz2_ea_iso,0)))</f>
        <v>1+2237.60691365125i</v>
      </c>
      <c r="AQ531" s="31">
        <f t="shared" si="345"/>
        <v>2237.6071371042494</v>
      </c>
      <c r="AR531" s="31">
        <f t="shared" si="346"/>
        <v>1.570349420804696</v>
      </c>
      <c r="AS531" s="58" t="str">
        <f t="shared" si="347"/>
        <v>-0.00274333037339355+0.0742627833858995i</v>
      </c>
      <c r="AT531" s="49">
        <f t="shared" si="348"/>
        <v>-22.578653089757136</v>
      </c>
      <c r="AU531" s="61">
        <f t="shared" si="349"/>
        <v>92.115592839764801</v>
      </c>
      <c r="AV531" s="58" t="str">
        <f t="shared" ref="AV531:AV560" si="363">IMPRODUCT(AC531,AS531)</f>
        <v>-0.0000216228851530077-0.0000437736375873917i</v>
      </c>
      <c r="AW531" s="64">
        <f t="shared" si="350"/>
        <v>-86.227519544914628</v>
      </c>
      <c r="AX531" s="61">
        <f t="shared" si="351"/>
        <v>-116.28801273018014</v>
      </c>
    </row>
    <row r="532" spans="14:50" x14ac:dyDescent="0.25">
      <c r="N532" s="10">
        <v>14</v>
      </c>
      <c r="O532" s="50">
        <f t="shared" si="353"/>
        <v>1380384.2646028849</v>
      </c>
      <c r="P532" s="48" t="str">
        <f t="shared" si="354"/>
        <v>304.285714285714</v>
      </c>
      <c r="Q532" s="17" t="str">
        <f t="shared" si="355"/>
        <v>1+451626.441749226i</v>
      </c>
      <c r="R532" s="17">
        <f t="shared" ref="R532:R560" si="364">IMABS(Q532)</f>
        <v>451626.44175033312</v>
      </c>
      <c r="S532" s="17">
        <f t="shared" ref="S532:S560" si="365">IMARGUMENT(Q532)</f>
        <v>1.5707941125755605</v>
      </c>
      <c r="T532" s="17" t="str">
        <f t="shared" si="356"/>
        <v>1+9.36706693998392i</v>
      </c>
      <c r="U532" s="17">
        <f t="shared" ref="U532:U560" si="366">IMABS(T532)</f>
        <v>9.420294212928793</v>
      </c>
      <c r="V532" s="17">
        <f t="shared" ref="V532:V560" si="367">IMARGUMENT(T532)</f>
        <v>1.4644421439903321</v>
      </c>
      <c r="W532" s="31" t="str">
        <f t="shared" si="357"/>
        <v>1-29.2720841874498i</v>
      </c>
      <c r="X532" s="17">
        <f t="shared" ref="X532:X560" si="368">IMABS(W532)</f>
        <v>29.289160327280616</v>
      </c>
      <c r="Y532" s="17">
        <f t="shared" ref="Y532:Y560" si="369">IMARGUMENT(W532)</f>
        <v>-1.5366473660921718</v>
      </c>
      <c r="Z532" s="31" t="str">
        <f t="shared" si="358"/>
        <v>-118.641345960757+258.222201693608i</v>
      </c>
      <c r="AA532" s="17">
        <f t="shared" ref="AA532:AA560" si="370">IMABS(Z532)</f>
        <v>284.17331757023635</v>
      </c>
      <c r="AB532" s="17">
        <f t="shared" ref="AB532:AB560" si="371">IMARGUMENT(Z532)</f>
        <v>2.0014847220521581</v>
      </c>
      <c r="AC532" s="66" t="str">
        <f t="shared" ref="AC532:AC560" si="372">(IMDIV(IMPRODUCT(P532,T532,W532),IMPRODUCT(Q532,Z532)))</f>
        <v>-0.000573178531146371+0.000315284171704651i</v>
      </c>
      <c r="AD532" s="64">
        <f t="shared" ref="AD532:AD560" si="373">20*LOG(IMABS(AC532))</f>
        <v>-63.686194137661083</v>
      </c>
      <c r="AE532" s="61">
        <f t="shared" ref="AE532:AE560" si="374">(180/PI())*IMARGUMENT(AC532)</f>
        <v>151.18644504667941</v>
      </c>
      <c r="AF532" s="31" t="str">
        <f t="shared" si="359"/>
        <v>-1512.12121212121</v>
      </c>
      <c r="AG532" s="31" t="str">
        <f t="shared" ref="AG532:AG560" si="375">COMPLEX(0,1*2*PI()*O532)</f>
        <v>8673210.12961474i</v>
      </c>
      <c r="AH532" s="31">
        <f t="shared" ref="AH532:AH560" si="376">IMABS(AG532)</f>
        <v>8673210.1296147406</v>
      </c>
      <c r="AI532" s="31">
        <f t="shared" ref="AI532:AI560" si="377">IMARGUMENT(AG532)</f>
        <v>1.5707963267948966</v>
      </c>
      <c r="AJ532" s="31" t="str">
        <f t="shared" si="360"/>
        <v>-327021.887648606+11953.9993057137i</v>
      </c>
      <c r="AK532" s="31">
        <f t="shared" ref="AK532:AK560" si="378">IMABS(AJ532)</f>
        <v>327240.29871129635</v>
      </c>
      <c r="AL532" s="31">
        <f t="shared" ref="AL532:AL560" si="379">IMARGUMENT(AJ532)</f>
        <v>3.1050547957465877</v>
      </c>
      <c r="AM532" s="31" t="str">
        <f t="shared" si="361"/>
        <v>1+59532.9143296754i</v>
      </c>
      <c r="AN532" s="31">
        <f t="shared" ref="AN532:AN560" si="380">IMABS(AM532)</f>
        <v>59532.914338074115</v>
      </c>
      <c r="AO532" s="31">
        <f t="shared" ref="AO532:AO560" si="381">IMARGUMENT(AM532)</f>
        <v>1.5707795293642457</v>
      </c>
      <c r="AP532" s="31" t="str">
        <f t="shared" si="362"/>
        <v>1+2289.72747421829i</v>
      </c>
      <c r="AQ532" s="31">
        <f t="shared" ref="AQ532:AQ560" si="382">IMABS(AP532)</f>
        <v>2289.7276925848782</v>
      </c>
      <c r="AR532" s="31">
        <f t="shared" ref="AR532:AR560" si="383">IMARGUMENT(AP532)</f>
        <v>1.5703595936256958</v>
      </c>
      <c r="AS532" s="58" t="str">
        <f t="shared" ref="AS532:AS560" si="384">IMDIV(IMPRODUCT(AF532,AM532,AP532),IMPRODUCT(AG532,AJ532))</f>
        <v>-0.00262002417090523+0.0725768529733572i</v>
      </c>
      <c r="AT532" s="49">
        <f t="shared" ref="AT532:AT560" si="385">20*LOG(IMABS(AS532))</f>
        <v>-22.778381262574708</v>
      </c>
      <c r="AU532" s="61">
        <f t="shared" ref="AU532:AU560" si="386">(180/PI())*IMARGUMENT(AS532)</f>
        <v>92.067479657613092</v>
      </c>
      <c r="AV532" s="58" t="str">
        <f t="shared" si="363"/>
        <v>-0.0000213805913687877-0.000042425546133065i</v>
      </c>
      <c r="AW532" s="64">
        <f t="shared" ref="AW532:AW560" si="387">20*LOG(IMABS(AV532))</f>
        <v>-86.464575400235788</v>
      </c>
      <c r="AX532" s="61">
        <f t="shared" ref="AX532:AX560" si="388">(180/PI())*IMARGUMENT(AV532)</f>
        <v>-116.74607529570746</v>
      </c>
    </row>
    <row r="533" spans="14:50" x14ac:dyDescent="0.25">
      <c r="N533" s="10">
        <v>15</v>
      </c>
      <c r="O533" s="50">
        <f t="shared" si="353"/>
        <v>1412537.5446227565</v>
      </c>
      <c r="P533" s="48" t="str">
        <f t="shared" si="354"/>
        <v>304.285714285714</v>
      </c>
      <c r="Q533" s="17" t="str">
        <f t="shared" si="355"/>
        <v>1+462146.172970676i</v>
      </c>
      <c r="R533" s="17">
        <f t="shared" si="364"/>
        <v>462146.17297175789</v>
      </c>
      <c r="S533" s="17">
        <f t="shared" si="365"/>
        <v>1.5707941629773461</v>
      </c>
      <c r="T533" s="17" t="str">
        <f t="shared" si="356"/>
        <v>1+9.58525395791029i</v>
      </c>
      <c r="U533" s="17">
        <f t="shared" si="366"/>
        <v>9.6372762457882697</v>
      </c>
      <c r="V533" s="17">
        <f t="shared" si="367"/>
        <v>1.4668454581762991</v>
      </c>
      <c r="W533" s="31" t="str">
        <f t="shared" si="357"/>
        <v>1-29.9539186184697i</v>
      </c>
      <c r="X533" s="17">
        <f t="shared" si="368"/>
        <v>29.970606276849086</v>
      </c>
      <c r="Y533" s="17">
        <f t="shared" si="369"/>
        <v>-1.5374241076150901</v>
      </c>
      <c r="Z533" s="31" t="str">
        <f t="shared" si="358"/>
        <v>-124.279868882744+264.236969444377i</v>
      </c>
      <c r="AA533" s="17">
        <f t="shared" si="370"/>
        <v>292.00455789364088</v>
      </c>
      <c r="AB533" s="17">
        <f t="shared" si="371"/>
        <v>2.0104314854290317</v>
      </c>
      <c r="AC533" s="66" t="str">
        <f t="shared" si="372"/>
        <v>-0.000568326760583454+0.00031805646309613i</v>
      </c>
      <c r="AD533" s="64">
        <f t="shared" si="373"/>
        <v>-63.724751833226499</v>
      </c>
      <c r="AE533" s="61">
        <f t="shared" si="374"/>
        <v>150.76702612573678</v>
      </c>
      <c r="AF533" s="31" t="str">
        <f t="shared" si="359"/>
        <v>-1512.12121212121</v>
      </c>
      <c r="AG533" s="31" t="str">
        <f t="shared" si="375"/>
        <v>8875235.14621323i</v>
      </c>
      <c r="AH533" s="31">
        <f t="shared" si="376"/>
        <v>8875235.1462132297</v>
      </c>
      <c r="AI533" s="31">
        <f t="shared" si="377"/>
        <v>1.5707963267948966</v>
      </c>
      <c r="AJ533" s="31" t="str">
        <f t="shared" si="360"/>
        <v>-342434.001522898+12232.4437192659i</v>
      </c>
      <c r="AK533" s="31">
        <f t="shared" si="378"/>
        <v>342652.41583611973</v>
      </c>
      <c r="AL533" s="31">
        <f t="shared" si="379"/>
        <v>3.1058857888650535</v>
      </c>
      <c r="AM533" s="31" t="str">
        <f t="shared" si="361"/>
        <v>1+60919.6140436075i</v>
      </c>
      <c r="AN533" s="31">
        <f t="shared" si="380"/>
        <v>60919.614051815035</v>
      </c>
      <c r="AO533" s="31">
        <f t="shared" si="381"/>
        <v>1.570779911720448</v>
      </c>
      <c r="AP533" s="31" t="str">
        <f t="shared" si="362"/>
        <v>1+2343.06207860029i</v>
      </c>
      <c r="AQ533" s="31">
        <f t="shared" si="382"/>
        <v>2343.0622919962484</v>
      </c>
      <c r="AR533" s="31">
        <f t="shared" si="383"/>
        <v>1.5703695348851063</v>
      </c>
      <c r="AS533" s="58" t="str">
        <f t="shared" si="384"/>
        <v>-0.00250225324951161+0.0709289993860689i</v>
      </c>
      <c r="AT533" s="49">
        <f t="shared" si="385"/>
        <v>-22.978121653743084</v>
      </c>
      <c r="AU533" s="61">
        <f t="shared" si="386"/>
        <v>92.02045875872453</v>
      </c>
      <c r="AV533" s="58" t="str">
        <f t="shared" si="363"/>
        <v>-0.0000211373291922263-0.0000411067062708208i</v>
      </c>
      <c r="AW533" s="64">
        <f t="shared" si="387"/>
        <v>-86.70287348696958</v>
      </c>
      <c r="AX533" s="61">
        <f t="shared" si="388"/>
        <v>-117.21251511553869</v>
      </c>
    </row>
    <row r="534" spans="14:50" x14ac:dyDescent="0.25">
      <c r="N534" s="10">
        <v>16</v>
      </c>
      <c r="O534" s="50">
        <f t="shared" si="353"/>
        <v>1445439.7707459298</v>
      </c>
      <c r="P534" s="48" t="str">
        <f t="shared" si="354"/>
        <v>304.285714285714</v>
      </c>
      <c r="Q534" s="17" t="str">
        <f t="shared" si="355"/>
        <v>1+472910.940210262i</v>
      </c>
      <c r="R534" s="17">
        <f t="shared" si="364"/>
        <v>472910.94021131925</v>
      </c>
      <c r="S534" s="17">
        <f t="shared" si="365"/>
        <v>1.5707942122318468</v>
      </c>
      <c r="T534" s="17" t="str">
        <f t="shared" si="356"/>
        <v>1+9.80852320436097i</v>
      </c>
      <c r="U534" s="17">
        <f t="shared" si="366"/>
        <v>9.8593674974862164</v>
      </c>
      <c r="V534" s="17">
        <f t="shared" si="367"/>
        <v>1.4691952313620005</v>
      </c>
      <c r="W534" s="31" t="str">
        <f t="shared" si="357"/>
        <v>1-30.6516350136281i</v>
      </c>
      <c r="X534" s="17">
        <f t="shared" si="368"/>
        <v>30.66794301887024</v>
      </c>
      <c r="Y534" s="17">
        <f t="shared" si="369"/>
        <v>-1.5381832072698935</v>
      </c>
      <c r="Z534" s="31" t="str">
        <f t="shared" si="358"/>
        <v>-130.184127203195+270.391839133935i</v>
      </c>
      <c r="AA534" s="17">
        <f t="shared" si="370"/>
        <v>300.09940627380354</v>
      </c>
      <c r="AB534" s="17">
        <f t="shared" si="371"/>
        <v>2.0195060519222232</v>
      </c>
      <c r="AC534" s="66" t="str">
        <f t="shared" si="372"/>
        <v>-0.000563341180602193+0.000320826179107874i</v>
      </c>
      <c r="AD534" s="64">
        <f t="shared" si="373"/>
        <v>-63.764584626615964</v>
      </c>
      <c r="AE534" s="61">
        <f t="shared" si="374"/>
        <v>150.33822782259463</v>
      </c>
      <c r="AF534" s="31" t="str">
        <f t="shared" si="359"/>
        <v>-1512.12121212121</v>
      </c>
      <c r="AG534" s="31" t="str">
        <f t="shared" si="375"/>
        <v>9081965.92996386i</v>
      </c>
      <c r="AH534" s="31">
        <f t="shared" si="376"/>
        <v>9081965.9299638607</v>
      </c>
      <c r="AI534" s="31">
        <f t="shared" si="377"/>
        <v>1.5707963267948966</v>
      </c>
      <c r="AJ534" s="31" t="str">
        <f t="shared" si="360"/>
        <v>-358572.465946481+12517.3739363935i</v>
      </c>
      <c r="AK534" s="31">
        <f t="shared" si="378"/>
        <v>358790.88336411753</v>
      </c>
      <c r="AL534" s="31">
        <f t="shared" si="379"/>
        <v>3.1066979136181745</v>
      </c>
      <c r="AM534" s="31" t="str">
        <f t="shared" si="361"/>
        <v>1+62338.6141432718i</v>
      </c>
      <c r="AN534" s="31">
        <f t="shared" si="380"/>
        <v>62338.614151292517</v>
      </c>
      <c r="AO534" s="31">
        <f t="shared" si="381"/>
        <v>1.5707802853731605</v>
      </c>
      <c r="AP534" s="31" t="str">
        <f t="shared" si="362"/>
        <v>1+2397.63900551046i</v>
      </c>
      <c r="AQ534" s="31">
        <f t="shared" si="382"/>
        <v>2397.6392140489334</v>
      </c>
      <c r="AR534" s="31">
        <f t="shared" si="383"/>
        <v>1.5703792498539071</v>
      </c>
      <c r="AS534" s="58" t="str">
        <f t="shared" si="384"/>
        <v>-0.00238976974628359+0.0693183758333263i</v>
      </c>
      <c r="AT534" s="49">
        <f t="shared" si="385"/>
        <v>-23.177873714742091</v>
      </c>
      <c r="AU534" s="61">
        <f t="shared" si="386"/>
        <v>91.974505473366392</v>
      </c>
      <c r="AV534" s="58" t="str">
        <f t="shared" si="363"/>
        <v>-0.0000208928939503309-0.0000398165963760203i</v>
      </c>
      <c r="AW534" s="64">
        <f t="shared" si="387"/>
        <v>-86.942458341358062</v>
      </c>
      <c r="AX534" s="61">
        <f t="shared" si="388"/>
        <v>-117.68726670403902</v>
      </c>
    </row>
    <row r="535" spans="14:50" x14ac:dyDescent="0.25">
      <c r="N535" s="10">
        <v>17</v>
      </c>
      <c r="O535" s="50">
        <f t="shared" si="353"/>
        <v>1479108.3881682095</v>
      </c>
      <c r="P535" s="48" t="str">
        <f t="shared" si="354"/>
        <v>304.285714285714</v>
      </c>
      <c r="Q535" s="17" t="str">
        <f t="shared" si="355"/>
        <v>1+483926.451090063i</v>
      </c>
      <c r="R535" s="17">
        <f t="shared" si="364"/>
        <v>483926.45109109627</v>
      </c>
      <c r="S535" s="17">
        <f t="shared" si="365"/>
        <v>1.5707942603651783</v>
      </c>
      <c r="T535" s="17" t="str">
        <f t="shared" si="356"/>
        <v>1+10.0369930596457i</v>
      </c>
      <c r="U535" s="17">
        <f t="shared" si="366"/>
        <v>10.086685762894371</v>
      </c>
      <c r="V535" s="17">
        <f t="shared" si="367"/>
        <v>1.4714926055785797</v>
      </c>
      <c r="W535" s="31" t="str">
        <f t="shared" si="357"/>
        <v>1-31.365603311393i</v>
      </c>
      <c r="X535" s="17">
        <f t="shared" si="368"/>
        <v>31.381540291828689</v>
      </c>
      <c r="Y535" s="17">
        <f t="shared" si="369"/>
        <v>-1.538925064039925</v>
      </c>
      <c r="Z535" s="31" t="str">
        <f t="shared" si="358"/>
        <v>-136.366644645605+276.69007415566i</v>
      </c>
      <c r="AA535" s="17">
        <f t="shared" si="370"/>
        <v>308.46921873691929</v>
      </c>
      <c r="AB535" s="17">
        <f t="shared" si="371"/>
        <v>2.0287074227708981</v>
      </c>
      <c r="AC535" s="66" t="str">
        <f t="shared" si="372"/>
        <v>-0.000558220652734934+0.000323587242573756i</v>
      </c>
      <c r="AD535" s="64">
        <f t="shared" si="373"/>
        <v>-63.805737675680717</v>
      </c>
      <c r="AE535" s="61">
        <f t="shared" si="374"/>
        <v>149.90014993404034</v>
      </c>
      <c r="AF535" s="31" t="str">
        <f t="shared" si="359"/>
        <v>-1512.12121212121</v>
      </c>
      <c r="AG535" s="31" t="str">
        <f t="shared" si="375"/>
        <v>9293512.09226457i</v>
      </c>
      <c r="AH535" s="31">
        <f t="shared" si="376"/>
        <v>9293512.0922645703</v>
      </c>
      <c r="AI535" s="31">
        <f t="shared" si="377"/>
        <v>1.5707963267948966</v>
      </c>
      <c r="AJ535" s="31" t="str">
        <f t="shared" si="360"/>
        <v>-375471.512766116+12808.9410308692i</v>
      </c>
      <c r="AK535" s="31">
        <f t="shared" si="378"/>
        <v>375689.9331486111</v>
      </c>
      <c r="AL535" s="31">
        <f t="shared" si="379"/>
        <v>3.1074915963471956</v>
      </c>
      <c r="AM535" s="31" t="str">
        <f t="shared" si="361"/>
        <v>1+63790.6670013039i</v>
      </c>
      <c r="AN535" s="31">
        <f t="shared" si="380"/>
        <v>63790.667009142038</v>
      </c>
      <c r="AO535" s="31">
        <f t="shared" si="381"/>
        <v>1.5707806505204991</v>
      </c>
      <c r="AP535" s="31" t="str">
        <f t="shared" si="362"/>
        <v>1+2453.48719235785i</v>
      </c>
      <c r="AQ535" s="31">
        <f t="shared" si="382"/>
        <v>2453.4873961494081</v>
      </c>
      <c r="AR535" s="31">
        <f t="shared" si="383"/>
        <v>1.5703887436830954</v>
      </c>
      <c r="AS535" s="58" t="str">
        <f t="shared" si="384"/>
        <v>-0.00228233684289259+0.0677441534746324i</v>
      </c>
      <c r="AT535" s="49">
        <f t="shared" si="385"/>
        <v>-23.377636921616268</v>
      </c>
      <c r="AU535" s="61">
        <f t="shared" si="386"/>
        <v>91.929595680466377</v>
      </c>
      <c r="AV535" s="58" t="str">
        <f t="shared" si="363"/>
        <v>-0.0000206470962611491-0.000038554720657201i</v>
      </c>
      <c r="AW535" s="64">
        <f t="shared" si="387"/>
        <v>-87.183374597296975</v>
      </c>
      <c r="AX535" s="61">
        <f t="shared" si="388"/>
        <v>-118.17025438549319</v>
      </c>
    </row>
    <row r="536" spans="14:50" x14ac:dyDescent="0.25">
      <c r="N536" s="10">
        <v>18</v>
      </c>
      <c r="O536" s="50">
        <f t="shared" si="353"/>
        <v>1513561.2484362102</v>
      </c>
      <c r="P536" s="48" t="str">
        <f t="shared" si="354"/>
        <v>304.285714285714</v>
      </c>
      <c r="Q536" s="17" t="str">
        <f t="shared" si="355"/>
        <v>1+495198.546179757i</v>
      </c>
      <c r="R536" s="17">
        <f t="shared" si="364"/>
        <v>495198.5461807666</v>
      </c>
      <c r="S536" s="17">
        <f t="shared" si="365"/>
        <v>1.5707943074028614</v>
      </c>
      <c r="T536" s="17" t="str">
        <f t="shared" si="356"/>
        <v>1+10.2707846615061i</v>
      </c>
      <c r="U536" s="17">
        <f t="shared" si="366"/>
        <v>10.319351605746796</v>
      </c>
      <c r="V536" s="17">
        <f t="shared" si="367"/>
        <v>1.4737387018680801</v>
      </c>
      <c r="W536" s="31" t="str">
        <f t="shared" si="357"/>
        <v>1-32.0962020672064i</v>
      </c>
      <c r="X536" s="17">
        <f t="shared" si="368"/>
        <v>32.111776455670345</v>
      </c>
      <c r="Y536" s="17">
        <f t="shared" si="369"/>
        <v>-1.5396500679993406</v>
      </c>
      <c r="Z536" s="31" t="str">
        <f t="shared" si="358"/>
        <v>-142.840535158377+283.135013917129i</v>
      </c>
      <c r="AA536" s="17">
        <f t="shared" si="370"/>
        <v>317.12592859964064</v>
      </c>
      <c r="AB536" s="17">
        <f t="shared" si="371"/>
        <v>2.0380344132073183</v>
      </c>
      <c r="AC536" s="66" t="str">
        <f t="shared" si="372"/>
        <v>-0.00055296430456631+0.000326333422087715i</v>
      </c>
      <c r="AD536" s="64">
        <f t="shared" si="373"/>
        <v>-63.848256149378237</v>
      </c>
      <c r="AE536" s="61">
        <f t="shared" si="374"/>
        <v>149.45290222217747</v>
      </c>
      <c r="AF536" s="31" t="str">
        <f t="shared" si="359"/>
        <v>-1512.12121212121</v>
      </c>
      <c r="AG536" s="31" t="str">
        <f t="shared" si="375"/>
        <v>9509985.79769079i</v>
      </c>
      <c r="AH536" s="31">
        <f t="shared" si="376"/>
        <v>9509985.7976907901</v>
      </c>
      <c r="AI536" s="31">
        <f t="shared" si="377"/>
        <v>1.5707963267948966</v>
      </c>
      <c r="AJ536" s="31" t="str">
        <f t="shared" si="360"/>
        <v>-393166.987125807+13107.2995954259i</v>
      </c>
      <c r="AK536" s="31">
        <f t="shared" si="378"/>
        <v>393385.41033987101</v>
      </c>
      <c r="AL536" s="31">
        <f t="shared" si="379"/>
        <v>3.1082672538986982</v>
      </c>
      <c r="AM536" s="31" t="str">
        <f t="shared" si="361"/>
        <v>1+65276.5425153494i</v>
      </c>
      <c r="AN536" s="31">
        <f t="shared" si="380"/>
        <v>65276.54252300912</v>
      </c>
      <c r="AO536" s="31">
        <f t="shared" si="381"/>
        <v>1.5707810073560693</v>
      </c>
      <c r="AP536" s="31" t="str">
        <f t="shared" si="362"/>
        <v>1+2510.63625059037i</v>
      </c>
      <c r="AQ536" s="31">
        <f t="shared" si="382"/>
        <v>2510.6364497430668</v>
      </c>
      <c r="AR536" s="31">
        <f t="shared" si="383"/>
        <v>1.5703980214064188</v>
      </c>
      <c r="AS536" s="58" t="str">
        <f t="shared" si="384"/>
        <v>-0.00217972827825498+0.0662055210988891i</v>
      </c>
      <c r="AT536" s="49">
        <f t="shared" si="385"/>
        <v>-23.57741077388053</v>
      </c>
      <c r="AU536" s="61">
        <f t="shared" si="386"/>
        <v>91.885705795979916</v>
      </c>
      <c r="AV536" s="58" t="str">
        <f t="shared" si="363"/>
        <v>-0.0000203997623297721-0.0000373206081211617i</v>
      </c>
      <c r="AW536" s="64">
        <f t="shared" si="387"/>
        <v>-87.425666923258774</v>
      </c>
      <c r="AX536" s="61">
        <f t="shared" si="388"/>
        <v>-118.66139198184256</v>
      </c>
    </row>
    <row r="537" spans="14:50" x14ac:dyDescent="0.25">
      <c r="N537" s="10">
        <v>19</v>
      </c>
      <c r="O537" s="50">
        <f t="shared" si="353"/>
        <v>1548816.6189124861</v>
      </c>
      <c r="P537" s="48" t="str">
        <f t="shared" si="354"/>
        <v>304.285714285714</v>
      </c>
      <c r="Q537" s="17" t="str">
        <f t="shared" si="355"/>
        <v>1+506733.202093364i</v>
      </c>
      <c r="R537" s="17">
        <f t="shared" si="364"/>
        <v>506733.20209435077</v>
      </c>
      <c r="S537" s="17">
        <f t="shared" si="365"/>
        <v>1.5707943533698361</v>
      </c>
      <c r="T537" s="17" t="str">
        <f t="shared" si="356"/>
        <v>1+10.5100219693438i</v>
      </c>
      <c r="U537" s="17">
        <f t="shared" si="366"/>
        <v>10.557488422730536</v>
      </c>
      <c r="V537" s="17">
        <f t="shared" si="367"/>
        <v>1.4759346204391701</v>
      </c>
      <c r="W537" s="31" t="str">
        <f t="shared" si="357"/>
        <v>1-32.8438186541995i</v>
      </c>
      <c r="X537" s="17">
        <f t="shared" si="368"/>
        <v>32.859038692419823</v>
      </c>
      <c r="Y537" s="17">
        <f t="shared" si="369"/>
        <v>-1.5403586005044179</v>
      </c>
      <c r="Z537" s="31" t="str">
        <f t="shared" si="358"/>
        <v>-149.619530731256+289.730075610713i</v>
      </c>
      <c r="AA537" s="17">
        <f t="shared" si="370"/>
        <v>326.08207661512267</v>
      </c>
      <c r="AB537" s="17">
        <f t="shared" si="371"/>
        <v>2.0474856470999541</v>
      </c>
      <c r="AC537" s="66" t="str">
        <f t="shared" si="372"/>
        <v>-0.000547571546153165+0.000329058343179641i</v>
      </c>
      <c r="AD537" s="64">
        <f t="shared" si="373"/>
        <v>-63.892185160530026</v>
      </c>
      <c r="AE537" s="61">
        <f t="shared" si="374"/>
        <v>148.99660471931392</v>
      </c>
      <c r="AF537" s="31" t="str">
        <f t="shared" si="359"/>
        <v>-1512.12121212121</v>
      </c>
      <c r="AG537" s="31" t="str">
        <f t="shared" si="375"/>
        <v>9731501.8234665i</v>
      </c>
      <c r="AH537" s="31">
        <f t="shared" si="376"/>
        <v>9731501.8234665003</v>
      </c>
      <c r="AI537" s="31">
        <f t="shared" si="377"/>
        <v>1.5707963267948966</v>
      </c>
      <c r="AJ537" s="31" t="str">
        <f t="shared" si="360"/>
        <v>-411696.423499142+13412.6078237238i</v>
      </c>
      <c r="AK537" s="31">
        <f t="shared" si="378"/>
        <v>411914.84941747115</v>
      </c>
      <c r="AL537" s="31">
        <f t="shared" si="379"/>
        <v>3.1090252938267624</v>
      </c>
      <c r="AM537" s="31" t="str">
        <f t="shared" si="361"/>
        <v>1+66797.0285162739i</v>
      </c>
      <c r="AN537" s="31">
        <f t="shared" si="380"/>
        <v>66797.028523759276</v>
      </c>
      <c r="AO537" s="31">
        <f t="shared" si="381"/>
        <v>1.5707813560690704</v>
      </c>
      <c r="AP537" s="31" t="str">
        <f t="shared" si="362"/>
        <v>1+2569.11648139515i</v>
      </c>
      <c r="AQ537" s="31">
        <f t="shared" si="382"/>
        <v>2569.1166760145784</v>
      </c>
      <c r="AR537" s="31">
        <f t="shared" si="383"/>
        <v>1.5704070879430425</v>
      </c>
      <c r="AS537" s="58" t="str">
        <f t="shared" si="384"/>
        <v>-0.00208172788226053+0.0647016848051082i</v>
      </c>
      <c r="AT537" s="49">
        <f t="shared" si="385"/>
        <v>-23.777194793472987</v>
      </c>
      <c r="AU537" s="61">
        <f t="shared" si="386"/>
        <v>91.842812761465979</v>
      </c>
      <c r="AV537" s="58" t="str">
        <f t="shared" si="363"/>
        <v>-0.0000201507342477407-0.0000361138115153353i</v>
      </c>
      <c r="AW537" s="64">
        <f t="shared" si="387"/>
        <v>-87.669379954003034</v>
      </c>
      <c r="AX537" s="61">
        <f t="shared" si="388"/>
        <v>-119.16058251922014</v>
      </c>
    </row>
    <row r="538" spans="14:50" x14ac:dyDescent="0.25">
      <c r="N538" s="10">
        <v>20</v>
      </c>
      <c r="O538" s="50">
        <f t="shared" si="353"/>
        <v>1584893.1924611153</v>
      </c>
      <c r="P538" s="48" t="str">
        <f t="shared" si="354"/>
        <v>304.285714285714</v>
      </c>
      <c r="Q538" s="17" t="str">
        <f t="shared" si="355"/>
        <v>1+518536.534658125i</v>
      </c>
      <c r="R538" s="17">
        <f t="shared" si="364"/>
        <v>518536.53465908917</v>
      </c>
      <c r="S538" s="17">
        <f t="shared" si="365"/>
        <v>1.5707943982904746</v>
      </c>
      <c r="T538" s="17" t="str">
        <f t="shared" si="356"/>
        <v>1+10.7548318299463i</v>
      </c>
      <c r="U538" s="17">
        <f t="shared" si="366"/>
        <v>10.801222509069335</v>
      </c>
      <c r="V538" s="17">
        <f t="shared" si="367"/>
        <v>1.4780814408395422</v>
      </c>
      <c r="W538" s="31" t="str">
        <f t="shared" si="357"/>
        <v>1-33.6088494685822i</v>
      </c>
      <c r="X538" s="17">
        <f t="shared" si="368"/>
        <v>33.623723211474037</v>
      </c>
      <c r="Y538" s="17">
        <f t="shared" si="369"/>
        <v>-1.5410510343812711</v>
      </c>
      <c r="Z538" s="31" t="str">
        <f t="shared" si="358"/>
        <v>-156.718010522727+296.478756025415i</v>
      </c>
      <c r="AA538" s="17">
        <f t="shared" si="370"/>
        <v>335.35084254639816</v>
      </c>
      <c r="AB538" s="17">
        <f t="shared" si="371"/>
        <v>2.0570595520041728</v>
      </c>
      <c r="AC538" s="66" t="str">
        <f t="shared" si="372"/>
        <v>-0.000542042086110065+0.000331755501133484i</v>
      </c>
      <c r="AD538" s="64">
        <f t="shared" si="373"/>
        <v>-63.93756969340896</v>
      </c>
      <c r="AE538" s="61">
        <f t="shared" si="374"/>
        <v>148.53138801065779</v>
      </c>
      <c r="AF538" s="31" t="str">
        <f t="shared" si="359"/>
        <v>-1512.12121212121</v>
      </c>
      <c r="AG538" s="31" t="str">
        <f t="shared" si="375"/>
        <v>9958177.62032063i</v>
      </c>
      <c r="AH538" s="31">
        <f t="shared" si="376"/>
        <v>9958177.6203206293</v>
      </c>
      <c r="AI538" s="31">
        <f t="shared" si="377"/>
        <v>1.5707963267948966</v>
      </c>
      <c r="AJ538" s="31" t="str">
        <f t="shared" si="360"/>
        <v>-431099.125304951+13725.0275942266i</v>
      </c>
      <c r="AK538" s="31">
        <f t="shared" si="378"/>
        <v>431317.55380595871</v>
      </c>
      <c r="AL538" s="31">
        <f t="shared" si="379"/>
        <v>3.1097661145914568</v>
      </c>
      <c r="AM538" s="31" t="str">
        <f t="shared" si="361"/>
        <v>1+68352.9311858806i</v>
      </c>
      <c r="AN538" s="31">
        <f t="shared" si="380"/>
        <v>68352.931193195574</v>
      </c>
      <c r="AO538" s="31">
        <f t="shared" si="381"/>
        <v>1.5707816968443944</v>
      </c>
      <c r="AP538" s="31" t="str">
        <f t="shared" si="362"/>
        <v>1+2628.95889176464i</v>
      </c>
      <c r="AQ538" s="31">
        <f t="shared" si="382"/>
        <v>2628.9590819539899</v>
      </c>
      <c r="AR538" s="31">
        <f t="shared" si="383"/>
        <v>1.5704159481001581</v>
      </c>
      <c r="AS538" s="58" t="str">
        <f t="shared" si="384"/>
        <v>-0.00198812912970875+0.0632318676849727i</v>
      </c>
      <c r="AT538" s="49">
        <f t="shared" si="385"/>
        <v>-23.976988523755011</v>
      </c>
      <c r="AU538" s="61">
        <f t="shared" si="386"/>
        <v>91.800894032869721</v>
      </c>
      <c r="AV538" s="58" t="str">
        <f t="shared" si="363"/>
        <v>-0.0000198998702905108-0.0000349339062443428i</v>
      </c>
      <c r="AW538" s="64">
        <f t="shared" si="387"/>
        <v>-87.914558217163972</v>
      </c>
      <c r="AX538" s="61">
        <f t="shared" si="388"/>
        <v>-119.66771795647253</v>
      </c>
    </row>
    <row r="539" spans="14:50" x14ac:dyDescent="0.25">
      <c r="N539" s="10">
        <v>21</v>
      </c>
      <c r="O539" s="50">
        <f t="shared" si="353"/>
        <v>1621810.0973589318</v>
      </c>
      <c r="P539" s="48" t="str">
        <f t="shared" si="354"/>
        <v>304.285714285714</v>
      </c>
      <c r="Q539" s="17" t="str">
        <f t="shared" si="355"/>
        <v>1+530614.802157204i</v>
      </c>
      <c r="R539" s="17">
        <f t="shared" si="364"/>
        <v>530614.8021581464</v>
      </c>
      <c r="S539" s="17">
        <f t="shared" si="365"/>
        <v>1.5707944421885949</v>
      </c>
      <c r="T539" s="17" t="str">
        <f t="shared" si="356"/>
        <v>1+11.005344044742i</v>
      </c>
      <c r="U539" s="17">
        <f t="shared" si="366"/>
        <v>11.050683125632469</v>
      </c>
      <c r="V539" s="17">
        <f t="shared" si="367"/>
        <v>1.4801802221433618</v>
      </c>
      <c r="W539" s="31" t="str">
        <f t="shared" si="357"/>
        <v>1-34.3917001398188i</v>
      </c>
      <c r="X539" s="17">
        <f t="shared" si="368"/>
        <v>34.406235459683941</v>
      </c>
      <c r="Y539" s="17">
        <f t="shared" si="369"/>
        <v>-1.5417277341100073</v>
      </c>
      <c r="Z539" s="31" t="str">
        <f t="shared" si="358"/>
        <v>-164.151031360139+303.384633400921i</v>
      </c>
      <c r="AA539" s="17">
        <f t="shared" si="370"/>
        <v>344.94607822152233</v>
      </c>
      <c r="AB539" s="17">
        <f t="shared" si="371"/>
        <v>2.0667543546752181</v>
      </c>
      <c r="AC539" s="66" t="str">
        <f t="shared" si="372"/>
        <v>-0.000536375947200886+0.000334418275471926i</v>
      </c>
      <c r="AD539" s="64">
        <f t="shared" si="373"/>
        <v>-63.984454526294421</v>
      </c>
      <c r="AE539" s="61">
        <f t="shared" si="374"/>
        <v>148.05739349159336</v>
      </c>
      <c r="AF539" s="31" t="str">
        <f t="shared" si="359"/>
        <v>-1512.12121212121</v>
      </c>
      <c r="AG539" s="31" t="str">
        <f t="shared" si="375"/>
        <v>10190133.3747611i</v>
      </c>
      <c r="AH539" s="31">
        <f t="shared" si="376"/>
        <v>10190133.374761101</v>
      </c>
      <c r="AI539" s="31">
        <f t="shared" si="377"/>
        <v>1.5707963267948966</v>
      </c>
      <c r="AJ539" s="31" t="str">
        <f t="shared" si="360"/>
        <v>-451416.248275131+14044.724556032i</v>
      </c>
      <c r="AK539" s="31">
        <f t="shared" si="378"/>
        <v>451634.67924269219</v>
      </c>
      <c r="AL539" s="31">
        <f t="shared" si="379"/>
        <v>3.1104901057536729</v>
      </c>
      <c r="AM539" s="31" t="str">
        <f t="shared" si="361"/>
        <v>1+69945.07548436i</v>
      </c>
      <c r="AN539" s="31">
        <f t="shared" si="380"/>
        <v>69945.075491508469</v>
      </c>
      <c r="AO539" s="31">
        <f t="shared" si="381"/>
        <v>1.5707820298627251</v>
      </c>
      <c r="AP539" s="31" t="str">
        <f t="shared" si="362"/>
        <v>1+2690.19521093693i</v>
      </c>
      <c r="AQ539" s="31">
        <f t="shared" si="382"/>
        <v>2690.1953967970417</v>
      </c>
      <c r="AR539" s="31">
        <f t="shared" si="383"/>
        <v>1.5704246065755327</v>
      </c>
      <c r="AS539" s="58" t="str">
        <f t="shared" si="384"/>
        <v>-0.00189873471361219+0.0617953095075706i</v>
      </c>
      <c r="AT539" s="49">
        <f t="shared" si="385"/>
        <v>-24.176791528555267</v>
      </c>
      <c r="AU539" s="61">
        <f t="shared" si="386"/>
        <v>91.759927569510779</v>
      </c>
      <c r="AV539" s="58" t="str">
        <f t="shared" si="363"/>
        <v>-0.0000196470452072787-0.0000337804892582i</v>
      </c>
      <c r="AW539" s="64">
        <f t="shared" si="387"/>
        <v>-88.161246054849698</v>
      </c>
      <c r="AX539" s="61">
        <f t="shared" si="388"/>
        <v>-120.18267893889578</v>
      </c>
    </row>
    <row r="540" spans="14:50" x14ac:dyDescent="0.25">
      <c r="N540" s="10">
        <v>22</v>
      </c>
      <c r="O540" s="50">
        <f t="shared" si="353"/>
        <v>1659586.9074375622</v>
      </c>
      <c r="P540" s="48" t="str">
        <f t="shared" si="354"/>
        <v>304.285714285714</v>
      </c>
      <c r="Q540" s="17" t="str">
        <f t="shared" si="355"/>
        <v>1+542974.408647908i</v>
      </c>
      <c r="R540" s="17">
        <f t="shared" si="364"/>
        <v>542974.40864882886</v>
      </c>
      <c r="S540" s="17">
        <f t="shared" si="365"/>
        <v>1.5707944850874715</v>
      </c>
      <c r="T540" s="17" t="str">
        <f t="shared" si="356"/>
        <v>1+11.2616914386232i</v>
      </c>
      <c r="U540" s="17">
        <f t="shared" si="366"/>
        <v>11.306002567608019</v>
      </c>
      <c r="V540" s="17">
        <f t="shared" si="367"/>
        <v>1.4822320031523111</v>
      </c>
      <c r="W540" s="31" t="str">
        <f t="shared" si="357"/>
        <v>1-35.1927857456977i</v>
      </c>
      <c r="X540" s="17">
        <f t="shared" si="368"/>
        <v>35.206990336332112</v>
      </c>
      <c r="Y540" s="17">
        <f t="shared" si="369"/>
        <v>-1.5423890560053533</v>
      </c>
      <c r="Z540" s="31" t="str">
        <f t="shared" si="358"/>
        <v>-171.934359677251+310.451369324829i</v>
      </c>
      <c r="AA540" s="17">
        <f t="shared" si="370"/>
        <v>354.88234212663735</v>
      </c>
      <c r="AB540" s="17">
        <f t="shared" si="371"/>
        <v>2.0765680770988864</v>
      </c>
      <c r="AC540" s="66" t="str">
        <f t="shared" si="372"/>
        <v>-0.000530573481268652+0.00033703994611678i</v>
      </c>
      <c r="AD540" s="64">
        <f t="shared" si="373"/>
        <v>-64.032884149176624</v>
      </c>
      <c r="AE540" s="61">
        <f t="shared" si="374"/>
        <v>147.57477359627467</v>
      </c>
      <c r="AF540" s="31" t="str">
        <f t="shared" si="359"/>
        <v>-1512.12121212121</v>
      </c>
      <c r="AG540" s="31" t="str">
        <f t="shared" si="375"/>
        <v>10427492.0727993i</v>
      </c>
      <c r="AH540" s="31">
        <f t="shared" si="376"/>
        <v>10427492.072799301</v>
      </c>
      <c r="AI540" s="31">
        <f t="shared" si="377"/>
        <v>1.5707963267948966</v>
      </c>
      <c r="AJ540" s="31" t="str">
        <f t="shared" si="360"/>
        <v>-472690.887751473+14371.868216701i</v>
      </c>
      <c r="AK540" s="31">
        <f t="shared" si="378"/>
        <v>472909.32107467897</v>
      </c>
      <c r="AL540" s="31">
        <f t="shared" si="379"/>
        <v>3.1111976481663315</v>
      </c>
      <c r="AM540" s="31" t="str">
        <f t="shared" si="361"/>
        <v>1+71574.3055876942i</v>
      </c>
      <c r="AN540" s="31">
        <f t="shared" si="380"/>
        <v>71574.305594679958</v>
      </c>
      <c r="AO540" s="31">
        <f t="shared" si="381"/>
        <v>1.570782355300633</v>
      </c>
      <c r="AP540" s="31" t="str">
        <f t="shared" si="362"/>
        <v>1+2752.85790721901i</v>
      </c>
      <c r="AQ540" s="31">
        <f t="shared" si="382"/>
        <v>2752.8580888484294</v>
      </c>
      <c r="AR540" s="31">
        <f t="shared" si="383"/>
        <v>1.5704330679599994</v>
      </c>
      <c r="AS540" s="58" t="str">
        <f t="shared" si="384"/>
        <v>-0.00181335613705704+0.0603912664065816i</v>
      </c>
      <c r="AT540" s="49">
        <f t="shared" si="385"/>
        <v>-24.376603391255948</v>
      </c>
      <c r="AU540" s="61">
        <f t="shared" si="386"/>
        <v>91.719891823276342</v>
      </c>
      <c r="AV540" s="58" t="str">
        <f t="shared" si="363"/>
        <v>-0.0000193921504971801-0.0000326531779102868i</v>
      </c>
      <c r="AW540" s="64">
        <f t="shared" si="387"/>
        <v>-88.409487540432565</v>
      </c>
      <c r="AX540" s="61">
        <f t="shared" si="388"/>
        <v>-120.70533458044899</v>
      </c>
    </row>
    <row r="541" spans="14:50" x14ac:dyDescent="0.25">
      <c r="N541" s="10">
        <v>23</v>
      </c>
      <c r="O541" s="50">
        <f t="shared" si="353"/>
        <v>1698243.6524617488</v>
      </c>
      <c r="P541" s="48" t="str">
        <f t="shared" si="354"/>
        <v>304.285714285714</v>
      </c>
      <c r="Q541" s="17" t="str">
        <f t="shared" si="355"/>
        <v>1+555621.907357194i</v>
      </c>
      <c r="R541" s="17">
        <f t="shared" si="364"/>
        <v>555621.90735809389</v>
      </c>
      <c r="S541" s="17">
        <f t="shared" si="365"/>
        <v>1.5707945270098509</v>
      </c>
      <c r="T541" s="17" t="str">
        <f t="shared" si="356"/>
        <v>1+11.5240099303714i</v>
      </c>
      <c r="U541" s="17">
        <f t="shared" si="366"/>
        <v>11.567316234775406</v>
      </c>
      <c r="V541" s="17">
        <f t="shared" si="367"/>
        <v>1.4842378026088081</v>
      </c>
      <c r="W541" s="31" t="str">
        <f t="shared" si="357"/>
        <v>1-36.0125310324106i</v>
      </c>
      <c r="X541" s="17">
        <f t="shared" si="368"/>
        <v>36.026412413121804</v>
      </c>
      <c r="Y541" s="17">
        <f t="shared" si="369"/>
        <v>-1.5430353483937915</v>
      </c>
      <c r="Z541" s="31" t="str">
        <f t="shared" si="358"/>
        <v>-180.084504956954+317.682710674064i</v>
      </c>
      <c r="AA541" s="17">
        <f t="shared" si="370"/>
        <v>365.17493559499985</v>
      </c>
      <c r="AB541" s="17">
        <f t="shared" si="371"/>
        <v>2.0864985330953125</v>
      </c>
      <c r="AC541" s="66" t="str">
        <f t="shared" si="372"/>
        <v>-0.000524635383328591+0.000339613711217173i</v>
      </c>
      <c r="AD541" s="64">
        <f t="shared" si="373"/>
        <v>-64.082902676841911</v>
      </c>
      <c r="AE541" s="61">
        <f t="shared" si="374"/>
        <v>147.08369199428171</v>
      </c>
      <c r="AF541" s="31" t="str">
        <f t="shared" si="359"/>
        <v>-1512.12121212121</v>
      </c>
      <c r="AG541" s="31" t="str">
        <f t="shared" si="375"/>
        <v>10670379.5651587i</v>
      </c>
      <c r="AH541" s="31">
        <f t="shared" si="376"/>
        <v>10670379.565158701</v>
      </c>
      <c r="AI541" s="31">
        <f t="shared" si="377"/>
        <v>1.5707963267948966</v>
      </c>
      <c r="AJ541" s="31" t="str">
        <f t="shared" si="360"/>
        <v>-494968.170096644+14706.6320321326i</v>
      </c>
      <c r="AK541" s="31">
        <f t="shared" si="378"/>
        <v>495186.60566956864</v>
      </c>
      <c r="AL541" s="31">
        <f t="shared" si="379"/>
        <v>3.1118891141619902</v>
      </c>
      <c r="AM541" s="31" t="str">
        <f t="shared" si="361"/>
        <v>1+73241.4853352492i</v>
      </c>
      <c r="AN541" s="31">
        <f t="shared" si="380"/>
        <v>73241.485342075946</v>
      </c>
      <c r="AO541" s="31">
        <f t="shared" si="381"/>
        <v>1.5707826733306698</v>
      </c>
      <c r="AP541" s="31" t="str">
        <f t="shared" si="362"/>
        <v>1+2816.9802052019i</v>
      </c>
      <c r="AQ541" s="31">
        <f t="shared" si="382"/>
        <v>2816.9803826969296</v>
      </c>
      <c r="AR541" s="31">
        <f t="shared" si="383"/>
        <v>1.5704413367398911</v>
      </c>
      <c r="AS541" s="58" t="str">
        <f t="shared" si="384"/>
        <v>-0.00173181332284191+0.0590190105701711i</v>
      </c>
      <c r="AT541" s="49">
        <f t="shared" si="385"/>
        <v>-24.576423713919318</v>
      </c>
      <c r="AU541" s="61">
        <f t="shared" si="386"/>
        <v>91.680765728016681</v>
      </c>
      <c r="AV541" s="58" t="str">
        <f t="shared" si="363"/>
        <v>-0.0000191350946656186-0.0000315516087838616i</v>
      </c>
      <c r="AW541" s="64">
        <f t="shared" si="387"/>
        <v>-88.659326390761208</v>
      </c>
      <c r="AX541" s="61">
        <f t="shared" si="388"/>
        <v>-121.23554227770153</v>
      </c>
    </row>
    <row r="542" spans="14:50" x14ac:dyDescent="0.25">
      <c r="N542" s="10">
        <v>24</v>
      </c>
      <c r="O542" s="50">
        <f t="shared" si="353"/>
        <v>1737800.8287493798</v>
      </c>
      <c r="P542" s="48" t="str">
        <f t="shared" si="354"/>
        <v>304.285714285714</v>
      </c>
      <c r="Q542" s="17" t="str">
        <f t="shared" si="355"/>
        <v>1+568564.004156279i</v>
      </c>
      <c r="R542" s="17">
        <f t="shared" si="364"/>
        <v>568564.00415715843</v>
      </c>
      <c r="S542" s="17">
        <f t="shared" si="365"/>
        <v>1.57079456797796</v>
      </c>
      <c r="T542" s="17" t="str">
        <f t="shared" si="356"/>
        <v>1+11.7924386047228i</v>
      </c>
      <c r="U542" s="17">
        <f t="shared" si="366"/>
        <v>11.834762703415587</v>
      </c>
      <c r="V542" s="17">
        <f t="shared" si="367"/>
        <v>1.48619861942012</v>
      </c>
      <c r="W542" s="31" t="str">
        <f t="shared" si="357"/>
        <v>1-36.8513706397588i</v>
      </c>
      <c r="X542" s="17">
        <f t="shared" si="368"/>
        <v>36.864936159294743</v>
      </c>
      <c r="Y542" s="17">
        <f t="shared" si="369"/>
        <v>-1.5436669517872461</v>
      </c>
      <c r="Z542" s="31" t="str">
        <f t="shared" si="358"/>
        <v>-188.61875475009+325.082491601522i</v>
      </c>
      <c r="AA542" s="17">
        <f t="shared" si="370"/>
        <v>375.83994065203899</v>
      </c>
      <c r="AB542" s="17">
        <f t="shared" si="371"/>
        <v>2.0965433255506394</v>
      </c>
      <c r="AC542" s="66" t="str">
        <f t="shared" si="372"/>
        <v>-0.000518562704643998+0.000342132706618987i</v>
      </c>
      <c r="AD542" s="64">
        <f t="shared" si="373"/>
        <v>-64.134553757622527</v>
      </c>
      <c r="AE542" s="61">
        <f t="shared" si="374"/>
        <v>146.58432375212212</v>
      </c>
      <c r="AF542" s="31" t="str">
        <f t="shared" si="359"/>
        <v>-1512.12121212121</v>
      </c>
      <c r="AG542" s="31" t="str">
        <f t="shared" si="375"/>
        <v>10918924.6340026i</v>
      </c>
      <c r="AH542" s="31">
        <f t="shared" si="376"/>
        <v>10918924.6340026</v>
      </c>
      <c r="AI542" s="31">
        <f t="shared" si="377"/>
        <v>1.5707963267948966</v>
      </c>
      <c r="AJ542" s="31" t="str">
        <f t="shared" si="360"/>
        <v>-518295.348413254+15049.193498533i</v>
      </c>
      <c r="AK542" s="31">
        <f t="shared" si="378"/>
        <v>518513.78613473021</v>
      </c>
      <c r="AL542" s="31">
        <f t="shared" si="379"/>
        <v>3.1125648677368849</v>
      </c>
      <c r="AM542" s="31" t="str">
        <f t="shared" si="361"/>
        <v>1+74947.4986877937i</v>
      </c>
      <c r="AN542" s="31">
        <f t="shared" si="380"/>
        <v>74947.498694465045</v>
      </c>
      <c r="AO542" s="31">
        <f t="shared" si="381"/>
        <v>1.5707829841214593</v>
      </c>
      <c r="AP542" s="31" t="str">
        <f t="shared" si="362"/>
        <v>1+2882.59610337668i</v>
      </c>
      <c r="AQ542" s="31">
        <f t="shared" si="382"/>
        <v>2882.5962768314293</v>
      </c>
      <c r="AR542" s="31">
        <f t="shared" si="383"/>
        <v>1.5704494172994203</v>
      </c>
      <c r="AS542" s="58" t="str">
        <f t="shared" si="384"/>
        <v>-0.00165393424014673+0.057677829933815i</v>
      </c>
      <c r="AT542" s="49">
        <f t="shared" si="385"/>
        <v>-24.776252116453456</v>
      </c>
      <c r="AU542" s="61">
        <f t="shared" si="386"/>
        <v>91.642528689142011</v>
      </c>
      <c r="AV542" s="58" t="str">
        <f t="shared" si="363"/>
        <v>-0.0000188758034542919-0.0000304754364866269i</v>
      </c>
      <c r="AW542" s="64">
        <f t="shared" si="387"/>
        <v>-88.91080587407599</v>
      </c>
      <c r="AX542" s="61">
        <f t="shared" si="388"/>
        <v>-121.77314755873579</v>
      </c>
    </row>
    <row r="543" spans="14:50" x14ac:dyDescent="0.25">
      <c r="N543" s="10">
        <v>25</v>
      </c>
      <c r="O543" s="50">
        <f t="shared" si="353"/>
        <v>1778279.4100389241</v>
      </c>
      <c r="P543" s="48" t="str">
        <f t="shared" si="354"/>
        <v>304.285714285714</v>
      </c>
      <c r="Q543" s="17" t="str">
        <f t="shared" si="355"/>
        <v>1+581807.561116203i</v>
      </c>
      <c r="R543" s="17">
        <f t="shared" si="364"/>
        <v>581807.56111706235</v>
      </c>
      <c r="S543" s="17">
        <f t="shared" si="365"/>
        <v>1.5707946080135213</v>
      </c>
      <c r="T543" s="17" t="str">
        <f t="shared" si="356"/>
        <v>1+12.0671197861138i</v>
      </c>
      <c r="U543" s="17">
        <f t="shared" si="366"/>
        <v>12.108483799899108</v>
      </c>
      <c r="V543" s="17">
        <f t="shared" si="367"/>
        <v>1.4881154328921586</v>
      </c>
      <c r="W543" s="31" t="str">
        <f t="shared" si="357"/>
        <v>1-37.7097493316057i</v>
      </c>
      <c r="X543" s="17">
        <f t="shared" si="368"/>
        <v>37.72300617199717</v>
      </c>
      <c r="Y543" s="17">
        <f t="shared" si="369"/>
        <v>-1.5442841990533547</v>
      </c>
      <c r="Z543" s="31" t="str">
        <f t="shared" si="358"/>
        <v>-197.55521134468+332.654635569003i</v>
      </c>
      <c r="AA543" s="17">
        <f t="shared" si="370"/>
        <v>386.89425957874766</v>
      </c>
      <c r="AB543" s="17">
        <f t="shared" si="371"/>
        <v>2.1066998443302554</v>
      </c>
      <c r="AC543" s="66" t="str">
        <f t="shared" si="372"/>
        <v>-0.000512356864601152+0.000344590026929147i</v>
      </c>
      <c r="AD543" s="64">
        <f t="shared" si="373"/>
        <v>-64.187880478145388</v>
      </c>
      <c r="AE543" s="61">
        <f t="shared" si="374"/>
        <v>146.07685545643372</v>
      </c>
      <c r="AF543" s="31" t="str">
        <f t="shared" si="359"/>
        <v>-1512.12121212121</v>
      </c>
      <c r="AG543" s="31" t="str">
        <f t="shared" si="375"/>
        <v>11173259.0612165i</v>
      </c>
      <c r="AH543" s="31">
        <f t="shared" si="376"/>
        <v>11173259.0612165</v>
      </c>
      <c r="AI543" s="31">
        <f t="shared" si="377"/>
        <v>1.5707963267948966</v>
      </c>
      <c r="AJ543" s="31" t="str">
        <f t="shared" si="360"/>
        <v>-542721.902774049+15399.7342465259i</v>
      </c>
      <c r="AK543" s="31">
        <f t="shared" si="378"/>
        <v>542940.34254745522</v>
      </c>
      <c r="AL543" s="31">
        <f t="shared" si="379"/>
        <v>3.1132252647314411</v>
      </c>
      <c r="AM543" s="31" t="str">
        <f t="shared" si="361"/>
        <v>1+76693.2501961899i</v>
      </c>
      <c r="AN543" s="31">
        <f t="shared" si="380"/>
        <v>76693.250202709372</v>
      </c>
      <c r="AO543" s="31">
        <f t="shared" si="381"/>
        <v>1.5707832878377865</v>
      </c>
      <c r="AP543" s="31" t="str">
        <f t="shared" si="362"/>
        <v>1+2949.74039216115i</v>
      </c>
      <c r="AQ543" s="31">
        <f t="shared" si="382"/>
        <v>2949.7405616675874</v>
      </c>
      <c r="AR543" s="31">
        <f t="shared" si="383"/>
        <v>1.570457313923002</v>
      </c>
      <c r="AS543" s="58" t="str">
        <f t="shared" si="384"/>
        <v>-0.00157955454751184+0.0563670278762669i</v>
      </c>
      <c r="AT543" s="49">
        <f t="shared" si="385"/>
        <v>-24.976088235814462</v>
      </c>
      <c r="AU543" s="61">
        <f t="shared" si="386"/>
        <v>91.605160573418161</v>
      </c>
      <c r="AV543" s="58" t="str">
        <f t="shared" si="363"/>
        <v>-0.0000186142200383691-0.000029424332413633i</v>
      </c>
      <c r="AW543" s="64">
        <f t="shared" si="387"/>
        <v>-89.163968713959861</v>
      </c>
      <c r="AX543" s="61">
        <f t="shared" si="388"/>
        <v>-122.31798397014806</v>
      </c>
    </row>
    <row r="544" spans="14:50" x14ac:dyDescent="0.25">
      <c r="N544" s="10">
        <v>26</v>
      </c>
      <c r="O544" s="50">
        <f t="shared" si="353"/>
        <v>1819700.8586099846</v>
      </c>
      <c r="P544" s="48" t="str">
        <f t="shared" si="354"/>
        <v>304.285714285714</v>
      </c>
      <c r="Q544" s="17" t="str">
        <f t="shared" si="355"/>
        <v>1+595359.600146168i</v>
      </c>
      <c r="R544" s="17">
        <f t="shared" si="364"/>
        <v>595359.60014700785</v>
      </c>
      <c r="S544" s="17">
        <f t="shared" si="365"/>
        <v>1.5707946471377621</v>
      </c>
      <c r="T544" s="17" t="str">
        <f t="shared" si="356"/>
        <v>1+12.3481991141427i</v>
      </c>
      <c r="U544" s="17">
        <f t="shared" si="366"/>
        <v>12.388624675988638</v>
      </c>
      <c r="V544" s="17">
        <f t="shared" si="367"/>
        <v>1.4899892029718194</v>
      </c>
      <c r="W544" s="31" t="str">
        <f t="shared" si="357"/>
        <v>1-38.588122231696i</v>
      </c>
      <c r="X544" s="17">
        <f t="shared" si="368"/>
        <v>38.601077412014178</v>
      </c>
      <c r="Y544" s="17">
        <f t="shared" si="369"/>
        <v>-1.5448874155823693</v>
      </c>
      <c r="Z544" s="31" t="str">
        <f t="shared" si="358"/>
        <v>-206.912830163294+340.403157427469i</v>
      </c>
      <c r="AA544" s="17">
        <f t="shared" si="370"/>
        <v>398.35565625804082</v>
      </c>
      <c r="AB544" s="17">
        <f t="shared" si="371"/>
        <v>2.1169652649252919</v>
      </c>
      <c r="AC544" s="66" t="str">
        <f t="shared" si="372"/>
        <v>-0.000506019661198365+0.000346978748107239i</v>
      </c>
      <c r="AD544" s="64">
        <f t="shared" si="373"/>
        <v>-64.2429252644678</v>
      </c>
      <c r="AE544" s="61">
        <f t="shared" si="374"/>
        <v>145.56148529585505</v>
      </c>
      <c r="AF544" s="31" t="str">
        <f t="shared" si="359"/>
        <v>-1512.12121212121</v>
      </c>
      <c r="AG544" s="31" t="str">
        <f t="shared" si="375"/>
        <v>11433517.6982803i</v>
      </c>
      <c r="AH544" s="31">
        <f t="shared" si="376"/>
        <v>11433517.698280299</v>
      </c>
      <c r="AI544" s="31">
        <f t="shared" si="377"/>
        <v>1.5707963267948966</v>
      </c>
      <c r="AJ544" s="31" t="str">
        <f t="shared" si="360"/>
        <v>-568299.64517576+15758.4401374558i</v>
      </c>
      <c r="AK544" s="31">
        <f t="shared" si="378"/>
        <v>568518.08690881648</v>
      </c>
      <c r="AL544" s="31">
        <f t="shared" si="379"/>
        <v>3.1138706530072895</v>
      </c>
      <c r="AM544" s="31" t="str">
        <f t="shared" si="361"/>
        <v>1+78479.6654809958i</v>
      </c>
      <c r="AN544" s="31">
        <f t="shared" si="380"/>
        <v>78479.665487366874</v>
      </c>
      <c r="AO544" s="31">
        <f t="shared" si="381"/>
        <v>1.5707835846406861</v>
      </c>
      <c r="AP544" s="31" t="str">
        <f t="shared" si="362"/>
        <v>1+3018.448672346i</v>
      </c>
      <c r="AQ544" s="31">
        <f t="shared" si="382"/>
        <v>3018.4488379940003</v>
      </c>
      <c r="AR544" s="31">
        <f t="shared" si="383"/>
        <v>1.5704650307975268</v>
      </c>
      <c r="AS544" s="58" t="str">
        <f t="shared" si="384"/>
        <v>-0.00150851725143685+0.0550859229188417i</v>
      </c>
      <c r="AT544" s="49">
        <f t="shared" si="385"/>
        <v>-25.175931725244666</v>
      </c>
      <c r="AU544" s="61">
        <f t="shared" si="386"/>
        <v>91.568641698959638</v>
      </c>
      <c r="AV544" s="58" t="str">
        <f t="shared" si="363"/>
        <v>-0.0000183503051842276-0.0000283979834795933i</v>
      </c>
      <c r="AW544" s="64">
        <f t="shared" si="387"/>
        <v>-89.418856989712467</v>
      </c>
      <c r="AX544" s="61">
        <f t="shared" si="388"/>
        <v>-122.8698730051853</v>
      </c>
    </row>
    <row r="545" spans="14:50" x14ac:dyDescent="0.25">
      <c r="N545" s="10">
        <v>27</v>
      </c>
      <c r="O545" s="50">
        <f t="shared" si="353"/>
        <v>1862087.1366628683</v>
      </c>
      <c r="P545" s="48" t="str">
        <f t="shared" si="354"/>
        <v>304.285714285714</v>
      </c>
      <c r="Q545" s="17" t="str">
        <f t="shared" si="355"/>
        <v>1+609227.306716645i</v>
      </c>
      <c r="R545" s="17">
        <f t="shared" si="364"/>
        <v>609227.30671746575</v>
      </c>
      <c r="S545" s="17">
        <f t="shared" si="365"/>
        <v>1.5707946853714263</v>
      </c>
      <c r="T545" s="17" t="str">
        <f t="shared" si="356"/>
        <v>1+12.6358256207897i</v>
      </c>
      <c r="U545" s="17">
        <f t="shared" si="366"/>
        <v>12.675333885898445</v>
      </c>
      <c r="V545" s="17">
        <f t="shared" si="367"/>
        <v>1.4918208704968201</v>
      </c>
      <c r="W545" s="31" t="str">
        <f t="shared" si="357"/>
        <v>1-39.4869550649677i</v>
      </c>
      <c r="X545" s="17">
        <f t="shared" si="368"/>
        <v>39.499615444998689</v>
      </c>
      <c r="Y545" s="17">
        <f t="shared" si="369"/>
        <v>-1.545476919450733</v>
      </c>
      <c r="Z545" s="31" t="str">
        <f t="shared" si="358"/>
        <v>-216.711459970043+348.332165545771i</v>
      </c>
      <c r="AA545" s="17">
        <f t="shared" si="370"/>
        <v>410.2427993714868</v>
      </c>
      <c r="AB545" s="17">
        <f t="shared" si="371"/>
        <v>2.1273365478815336</v>
      </c>
      <c r="AC545" s="66" t="str">
        <f t="shared" si="372"/>
        <v>-0.000499553279965729+0.000349291951494953i</v>
      </c>
      <c r="AD545" s="64">
        <f t="shared" si="373"/>
        <v>-64.299729780040536</v>
      </c>
      <c r="AE545" s="61">
        <f t="shared" si="374"/>
        <v>145.0384230986887</v>
      </c>
      <c r="AF545" s="31" t="str">
        <f t="shared" si="359"/>
        <v>-1512.12121212121</v>
      </c>
      <c r="AG545" s="31" t="str">
        <f t="shared" si="375"/>
        <v>11699838.5377682i</v>
      </c>
      <c r="AH545" s="31">
        <f t="shared" si="376"/>
        <v>11699838.5377682</v>
      </c>
      <c r="AI545" s="31">
        <f t="shared" si="377"/>
        <v>1.5707963267948966</v>
      </c>
      <c r="AJ545" s="31" t="str">
        <f t="shared" si="360"/>
        <v>-595082.829439282+16125.5013619343i</v>
      </c>
      <c r="AK545" s="31">
        <f t="shared" si="378"/>
        <v>595301.27304385568</v>
      </c>
      <c r="AL545" s="31">
        <f t="shared" si="379"/>
        <v>3.1145013726208211</v>
      </c>
      <c r="AM545" s="31" t="str">
        <f t="shared" si="361"/>
        <v>1+80307.6917232407i</v>
      </c>
      <c r="AN545" s="31">
        <f t="shared" si="380"/>
        <v>80307.691729466751</v>
      </c>
      <c r="AO545" s="31">
        <f t="shared" si="381"/>
        <v>1.5707838746875269</v>
      </c>
      <c r="AP545" s="31" t="str">
        <f t="shared" si="362"/>
        <v>1+3088.7573739708i</v>
      </c>
      <c r="AQ545" s="31">
        <f t="shared" si="382"/>
        <v>3088.7575358481918</v>
      </c>
      <c r="AR545" s="31">
        <f t="shared" si="383"/>
        <v>1.57047257201458</v>
      </c>
      <c r="AS545" s="58" t="str">
        <f t="shared" si="384"/>
        <v>-0.00144067237993521+0.0538338484281852i</v>
      </c>
      <c r="AT545" s="49">
        <f t="shared" si="385"/>
        <v>-25.37578225354401</v>
      </c>
      <c r="AU545" s="61">
        <f t="shared" si="386"/>
        <v>91.532952825417539</v>
      </c>
      <c r="AV545" s="58" t="str">
        <f t="shared" si="363"/>
        <v>-0.0000180840373612116-0.0000273960908225303i</v>
      </c>
      <c r="AW545" s="64">
        <f t="shared" si="387"/>
        <v>-89.675512033584553</v>
      </c>
      <c r="AX545" s="61">
        <f t="shared" si="388"/>
        <v>-123.42862407589364</v>
      </c>
    </row>
    <row r="546" spans="14:50" x14ac:dyDescent="0.25">
      <c r="N546" s="10">
        <v>28</v>
      </c>
      <c r="O546" s="50">
        <f t="shared" si="353"/>
        <v>1905460.7179632513</v>
      </c>
      <c r="P546" s="48" t="str">
        <f t="shared" si="354"/>
        <v>304.285714285714</v>
      </c>
      <c r="Q546" s="17" t="str">
        <f t="shared" si="355"/>
        <v>1+623418.033669226i</v>
      </c>
      <c r="R546" s="17">
        <f t="shared" si="364"/>
        <v>623418.03367002809</v>
      </c>
      <c r="S546" s="17">
        <f t="shared" si="365"/>
        <v>1.570794722734786</v>
      </c>
      <c r="T546" s="17" t="str">
        <f t="shared" si="356"/>
        <v>1+12.9301518094358i</v>
      </c>
      <c r="U546" s="17">
        <f t="shared" si="366"/>
        <v>12.968763465151792</v>
      </c>
      <c r="V546" s="17">
        <f t="shared" si="367"/>
        <v>1.4936113574520662</v>
      </c>
      <c r="W546" s="31" t="str">
        <f t="shared" si="357"/>
        <v>1-40.4067244044868i</v>
      </c>
      <c r="X546" s="17">
        <f t="shared" si="368"/>
        <v>40.419096688324807</v>
      </c>
      <c r="Y546" s="17">
        <f t="shared" si="369"/>
        <v>-1.5460530215813701</v>
      </c>
      <c r="Z546" s="31" t="str">
        <f t="shared" si="358"/>
        <v>-226.971884972477+356.44586398897i</v>
      </c>
      <c r="AA546" s="17">
        <f t="shared" si="370"/>
        <v>422.57530751666337</v>
      </c>
      <c r="AB546" s="17">
        <f t="shared" si="371"/>
        <v>2.1378104390565325</v>
      </c>
      <c r="AC546" s="66" t="str">
        <f t="shared" si="372"/>
        <v>-0.000492960301136117+0.000351522749171218i</v>
      </c>
      <c r="AD546" s="64">
        <f t="shared" si="373"/>
        <v>-64.358334820991544</v>
      </c>
      <c r="AE546" s="61">
        <f t="shared" si="374"/>
        <v>144.50789032367396</v>
      </c>
      <c r="AF546" s="31" t="str">
        <f t="shared" si="359"/>
        <v>-1512.12121212121</v>
      </c>
      <c r="AG546" s="31" t="str">
        <f t="shared" si="375"/>
        <v>11972362.7865146i</v>
      </c>
      <c r="AH546" s="31">
        <f t="shared" si="376"/>
        <v>11972362.786514601</v>
      </c>
      <c r="AI546" s="31">
        <f t="shared" si="377"/>
        <v>1.5707963267948966</v>
      </c>
      <c r="AJ546" s="31" t="str">
        <f t="shared" si="360"/>
        <v>-623128.266289336+16501.1125406812i</v>
      </c>
      <c r="AK546" s="31">
        <f t="shared" si="378"/>
        <v>623346.71168125526</v>
      </c>
      <c r="AL546" s="31">
        <f t="shared" si="379"/>
        <v>3.1151177559933352</v>
      </c>
      <c r="AM546" s="31" t="str">
        <f t="shared" si="361"/>
        <v>1+82178.298166636i</v>
      </c>
      <c r="AN546" s="31">
        <f t="shared" si="380"/>
        <v>82178.29817272033</v>
      </c>
      <c r="AO546" s="31">
        <f t="shared" si="381"/>
        <v>1.5707841581320956</v>
      </c>
      <c r="AP546" s="31" t="str">
        <f t="shared" si="362"/>
        <v>1+3160.70377563985i</v>
      </c>
      <c r="AQ546" s="31">
        <f t="shared" si="382"/>
        <v>3160.7039338324626</v>
      </c>
      <c r="AR546" s="31">
        <f t="shared" si="383"/>
        <v>1.5704799415726114</v>
      </c>
      <c r="AS546" s="58" t="str">
        <f t="shared" si="384"/>
        <v>-0.001375876670407+0.0526101523226641i</v>
      </c>
      <c r="AT546" s="49">
        <f t="shared" si="385"/>
        <v>-25.575639504374333</v>
      </c>
      <c r="AU546" s="61">
        <f t="shared" si="386"/>
        <v>91.498075144360016</v>
      </c>
      <c r="AV546" s="58" t="str">
        <f t="shared" si="363"/>
        <v>-0.0000178154128010094-0.0000264183684814995i</v>
      </c>
      <c r="AW546" s="64">
        <f t="shared" si="387"/>
        <v>-89.933974325365881</v>
      </c>
      <c r="AX546" s="61">
        <f t="shared" si="388"/>
        <v>-123.99403453196598</v>
      </c>
    </row>
    <row r="547" spans="14:50" x14ac:dyDescent="0.25">
      <c r="N547" s="10">
        <v>29</v>
      </c>
      <c r="O547" s="50">
        <f t="shared" si="353"/>
        <v>1949844.5997580495</v>
      </c>
      <c r="P547" s="48" t="str">
        <f t="shared" si="354"/>
        <v>304.285714285714</v>
      </c>
      <c r="Q547" s="17" t="str">
        <f t="shared" si="355"/>
        <v>1+637939.305115162i</v>
      </c>
      <c r="R547" s="17">
        <f t="shared" si="364"/>
        <v>637939.30511594575</v>
      </c>
      <c r="S547" s="17">
        <f t="shared" si="365"/>
        <v>1.5707947592476519</v>
      </c>
      <c r="T547" s="17" t="str">
        <f t="shared" si="356"/>
        <v>1+13.2313337357219i</v>
      </c>
      <c r="U547" s="17">
        <f t="shared" si="366"/>
        <v>13.269069011277788</v>
      </c>
      <c r="V547" s="17">
        <f t="shared" si="367"/>
        <v>1.4953615672316269</v>
      </c>
      <c r="W547" s="31" t="str">
        <f t="shared" si="357"/>
        <v>1-41.3479179241308i</v>
      </c>
      <c r="X547" s="17">
        <f t="shared" si="368"/>
        <v>41.360008663691751</v>
      </c>
      <c r="Y547" s="17">
        <f t="shared" si="369"/>
        <v>-1.5466160259007424</v>
      </c>
      <c r="Z547" s="31" t="str">
        <f t="shared" si="358"/>
        <v>-237.715868907652+364.74855474737i</v>
      </c>
      <c r="AA547" s="17">
        <f t="shared" si="370"/>
        <v>435.37379631853725</v>
      </c>
      <c r="AB547" s="17">
        <f t="shared" si="371"/>
        <v>2.1483834707465896</v>
      </c>
      <c r="AC547" s="66" t="str">
        <f t="shared" si="372"/>
        <v>-0.000486243704895191+0.000353664310498147i</v>
      </c>
      <c r="AD547" s="64">
        <f t="shared" si="373"/>
        <v>-64.418780209272313</v>
      </c>
      <c r="AE547" s="61">
        <f t="shared" si="374"/>
        <v>143.9701200014261</v>
      </c>
      <c r="AF547" s="31" t="str">
        <f t="shared" si="359"/>
        <v>-1512.12121212121</v>
      </c>
      <c r="AG547" s="31" t="str">
        <f t="shared" si="375"/>
        <v>12251234.9404832i</v>
      </c>
      <c r="AH547" s="31">
        <f t="shared" si="376"/>
        <v>12251234.940483199</v>
      </c>
      <c r="AI547" s="31">
        <f t="shared" si="377"/>
        <v>1.5707963267948966</v>
      </c>
      <c r="AJ547" s="31" t="str">
        <f t="shared" si="360"/>
        <v>-652495.443857563+16885.4728277151i</v>
      </c>
      <c r="AK547" s="31">
        <f t="shared" si="378"/>
        <v>652713.8909564385</v>
      </c>
      <c r="AL547" s="31">
        <f t="shared" si="379"/>
        <v>3.1157201280778071</v>
      </c>
      <c r="AM547" s="31" t="str">
        <f t="shared" si="361"/>
        <v>1+84092.4766314765i</v>
      </c>
      <c r="AN547" s="31">
        <f t="shared" si="380"/>
        <v>84092.47663742234</v>
      </c>
      <c r="AO547" s="31">
        <f t="shared" si="381"/>
        <v>1.5707844351246782</v>
      </c>
      <c r="AP547" s="31" t="str">
        <f t="shared" si="362"/>
        <v>1+3234.32602428756i</v>
      </c>
      <c r="AQ547" s="31">
        <f t="shared" si="382"/>
        <v>3234.3261788792688</v>
      </c>
      <c r="AR547" s="31">
        <f t="shared" si="383"/>
        <v>1.5704871433790548</v>
      </c>
      <c r="AS547" s="58" t="str">
        <f t="shared" si="384"/>
        <v>-0.0013139932712189+0.0514141967825075i</v>
      </c>
      <c r="AT547" s="49">
        <f t="shared" si="385"/>
        <v>-25.775503175594082</v>
      </c>
      <c r="AU547" s="61">
        <f t="shared" si="386"/>
        <v>91.463990269843308</v>
      </c>
      <c r="AV547" s="58" t="str">
        <f t="shared" si="363"/>
        <v>-0.0000175444454984967-0.0000254645420520017i</v>
      </c>
      <c r="AW547" s="64">
        <f t="shared" si="387"/>
        <v>-90.194283384866395</v>
      </c>
      <c r="AX547" s="61">
        <f t="shared" si="388"/>
        <v>-124.56588972873054</v>
      </c>
    </row>
    <row r="548" spans="14:50" x14ac:dyDescent="0.25">
      <c r="N548" s="10">
        <v>30</v>
      </c>
      <c r="O548" s="50">
        <f t="shared" si="353"/>
        <v>1995262.31496888</v>
      </c>
      <c r="P548" s="48" t="str">
        <f t="shared" si="354"/>
        <v>304.285714285714</v>
      </c>
      <c r="Q548" s="17" t="str">
        <f t="shared" si="355"/>
        <v>1+652798.820424801i</v>
      </c>
      <c r="R548" s="17">
        <f t="shared" si="364"/>
        <v>652798.82042556687</v>
      </c>
      <c r="S548" s="17">
        <f t="shared" si="365"/>
        <v>1.5707947949293835</v>
      </c>
      <c r="T548" s="17" t="str">
        <f t="shared" si="356"/>
        <v>1+13.5395310902921i</v>
      </c>
      <c r="U548" s="17">
        <f t="shared" si="366"/>
        <v>13.576409766392086</v>
      </c>
      <c r="V548" s="17">
        <f t="shared" si="367"/>
        <v>1.4970723849054917</v>
      </c>
      <c r="W548" s="31" t="str">
        <f t="shared" si="357"/>
        <v>1-42.3110346571629i</v>
      </c>
      <c r="X548" s="17">
        <f t="shared" si="368"/>
        <v>42.322850255620075</v>
      </c>
      <c r="Y548" s="17">
        <f t="shared" si="369"/>
        <v>-1.5471662294927135</v>
      </c>
      <c r="Z548" s="31" t="str">
        <f t="shared" si="358"/>
        <v>-248.96620120598+373.244640017517i</v>
      </c>
      <c r="AA548" s="17">
        <f t="shared" si="370"/>
        <v>448.65992761193013</v>
      </c>
      <c r="AB548" s="17">
        <f t="shared" si="371"/>
        <v>2.1590519637205383</v>
      </c>
      <c r="AC548" s="66" t="str">
        <f t="shared" si="372"/>
        <v>-0.000479406874548064+0.000355709889700153i</v>
      </c>
      <c r="AD548" s="64">
        <f t="shared" si="373"/>
        <v>-64.481104684259321</v>
      </c>
      <c r="AE548" s="61">
        <f t="shared" si="374"/>
        <v>143.42535662437726</v>
      </c>
      <c r="AF548" s="31" t="str">
        <f t="shared" si="359"/>
        <v>-1512.12121212121</v>
      </c>
      <c r="AG548" s="31" t="str">
        <f t="shared" si="375"/>
        <v>12536602.8613816i</v>
      </c>
      <c r="AH548" s="31">
        <f t="shared" si="376"/>
        <v>12536602.8613816</v>
      </c>
      <c r="AI548" s="31">
        <f t="shared" si="377"/>
        <v>1.5707963267948966</v>
      </c>
      <c r="AJ548" s="31" t="str">
        <f t="shared" si="360"/>
        <v>-683246.653864948+17278.7860159479i</v>
      </c>
      <c r="AK548" s="31">
        <f t="shared" si="378"/>
        <v>683465.10259400436</v>
      </c>
      <c r="AL548" s="31">
        <f t="shared" si="379"/>
        <v>3.1163088065223326</v>
      </c>
      <c r="AM548" s="31" t="str">
        <f t="shared" si="361"/>
        <v>1+86051.2420405231i</v>
      </c>
      <c r="AN548" s="31">
        <f t="shared" si="380"/>
        <v>86051.242046333602</v>
      </c>
      <c r="AO548" s="31">
        <f t="shared" si="381"/>
        <v>1.5707847058121398</v>
      </c>
      <c r="AP548" s="31" t="str">
        <f t="shared" si="362"/>
        <v>1+3309.66315540474i</v>
      </c>
      <c r="AQ548" s="31">
        <f t="shared" si="382"/>
        <v>3309.6633064775119</v>
      </c>
      <c r="AR548" s="31">
        <f t="shared" si="383"/>
        <v>1.5704941812524005</v>
      </c>
      <c r="AS548" s="58" t="str">
        <f t="shared" si="384"/>
        <v>-0.00125489145640317+0.0502453579637984i</v>
      </c>
      <c r="AT548" s="49">
        <f t="shared" si="385"/>
        <v>-25.975372978623664</v>
      </c>
      <c r="AU548" s="61">
        <f t="shared" si="386"/>
        <v>91.430680229170221</v>
      </c>
      <c r="AV548" s="58" t="str">
        <f t="shared" si="363"/>
        <v>-0.0000172711671482361-0.0000245343473235161i</v>
      </c>
      <c r="AW548" s="64">
        <f t="shared" si="387"/>
        <v>-90.456477662882989</v>
      </c>
      <c r="AX548" s="61">
        <f t="shared" si="388"/>
        <v>-125.14396314645248</v>
      </c>
    </row>
    <row r="549" spans="14:50" x14ac:dyDescent="0.25">
      <c r="N549" s="10">
        <v>31</v>
      </c>
      <c r="O549" s="50">
        <f t="shared" si="353"/>
        <v>2041737.9446695296</v>
      </c>
      <c r="P549" s="48" t="str">
        <f t="shared" si="354"/>
        <v>304.285714285714</v>
      </c>
      <c r="Q549" s="17" t="str">
        <f t="shared" si="355"/>
        <v>1+668004.458309839i</v>
      </c>
      <c r="R549" s="17">
        <f t="shared" si="364"/>
        <v>668004.45831058745</v>
      </c>
      <c r="S549" s="17">
        <f t="shared" si="365"/>
        <v>1.5707948297988996</v>
      </c>
      <c r="T549" s="17" t="str">
        <f t="shared" si="356"/>
        <v>1+13.8549072834633i</v>
      </c>
      <c r="U549" s="17">
        <f t="shared" si="366"/>
        <v>13.890948701703723</v>
      </c>
      <c r="V549" s="17">
        <f t="shared" si="367"/>
        <v>1.4987446774903108</v>
      </c>
      <c r="W549" s="31" t="str">
        <f t="shared" si="357"/>
        <v>1-43.2965852608228i</v>
      </c>
      <c r="X549" s="17">
        <f t="shared" si="368"/>
        <v>43.308131975966113</v>
      </c>
      <c r="Y549" s="17">
        <f t="shared" si="369"/>
        <v>-1.5477039227492684</v>
      </c>
      <c r="Z549" s="31" t="str">
        <f t="shared" si="358"/>
        <v>-260.746745330615+381.938624536277i</v>
      </c>
      <c r="AA549" s="17">
        <f t="shared" si="370"/>
        <v>462.45646077568398</v>
      </c>
      <c r="AB549" s="17">
        <f t="shared" si="371"/>
        <v>2.1698120301913653</v>
      </c>
      <c r="AC549" s="66" t="str">
        <f t="shared" si="372"/>
        <v>-0.000472453597453732+0.000357652854296505i</v>
      </c>
      <c r="AD549" s="64">
        <f t="shared" si="373"/>
        <v>-64.545345793444454</v>
      </c>
      <c r="AE549" s="61">
        <f t="shared" si="374"/>
        <v>142.87385598339048</v>
      </c>
      <c r="AF549" s="31" t="str">
        <f t="shared" si="359"/>
        <v>-1512.12121212121</v>
      </c>
      <c r="AG549" s="31" t="str">
        <f t="shared" si="375"/>
        <v>12828617.8550586i</v>
      </c>
      <c r="AH549" s="31">
        <f t="shared" si="376"/>
        <v>12828617.855058599</v>
      </c>
      <c r="AI549" s="31">
        <f t="shared" si="377"/>
        <v>1.5707963267948966</v>
      </c>
      <c r="AJ549" s="31" t="str">
        <f t="shared" si="360"/>
        <v>-715447.123750782+17681.2606452382i</v>
      </c>
      <c r="AK549" s="31">
        <f t="shared" si="378"/>
        <v>715665.5740366946</v>
      </c>
      <c r="AL549" s="31">
        <f t="shared" si="379"/>
        <v>3.1168841018302826</v>
      </c>
      <c r="AM549" s="31" t="str">
        <f t="shared" si="361"/>
        <v>1+88055.632957122i</v>
      </c>
      <c r="AN549" s="31">
        <f t="shared" si="380"/>
        <v>88055.632962800213</v>
      </c>
      <c r="AO549" s="31">
        <f t="shared" si="381"/>
        <v>1.5707849703380026</v>
      </c>
      <c r="AP549" s="31" t="str">
        <f t="shared" si="362"/>
        <v>1+3386.75511373547i</v>
      </c>
      <c r="AQ549" s="31">
        <f t="shared" si="382"/>
        <v>3386.7552613694061</v>
      </c>
      <c r="AR549" s="31">
        <f t="shared" si="383"/>
        <v>1.570501058924219</v>
      </c>
      <c r="AS549" s="58" t="str">
        <f t="shared" si="384"/>
        <v>-0.00119844635291401+0.0491030257164249i</v>
      </c>
      <c r="AT549" s="49">
        <f t="shared" si="385"/>
        <v>-26.175248637837406</v>
      </c>
      <c r="AU549" s="61">
        <f t="shared" si="386"/>
        <v>91.398127453834604</v>
      </c>
      <c r="AV549" s="58" t="str">
        <f t="shared" si="363"/>
        <v>-0.0000169956270112845-0.000023627528904429i</v>
      </c>
      <c r="AW549" s="64">
        <f t="shared" si="387"/>
        <v>-90.720594431281853</v>
      </c>
      <c r="AX549" s="61">
        <f t="shared" si="388"/>
        <v>-125.72801656277485</v>
      </c>
    </row>
    <row r="550" spans="14:50" x14ac:dyDescent="0.25">
      <c r="N550" s="10">
        <v>32</v>
      </c>
      <c r="O550" s="50">
        <f t="shared" si="353"/>
        <v>2089296.1308540432</v>
      </c>
      <c r="P550" s="48" t="str">
        <f t="shared" si="354"/>
        <v>304.285714285714</v>
      </c>
      <c r="Q550" s="17" t="str">
        <f t="shared" si="355"/>
        <v>1+683564.281000763i</v>
      </c>
      <c r="R550" s="17">
        <f t="shared" si="364"/>
        <v>683564.28100149438</v>
      </c>
      <c r="S550" s="17">
        <f t="shared" si="365"/>
        <v>1.5707948638746889</v>
      </c>
      <c r="T550" s="17" t="str">
        <f t="shared" si="356"/>
        <v>1+14.1776295318676i</v>
      </c>
      <c r="U550" s="17">
        <f t="shared" si="366"/>
        <v>14.212852603994888</v>
      </c>
      <c r="V550" s="17">
        <f t="shared" si="367"/>
        <v>1.500379294223412</v>
      </c>
      <c r="W550" s="31" t="str">
        <f t="shared" si="357"/>
        <v>1-44.3050922870864i</v>
      </c>
      <c r="X550" s="17">
        <f t="shared" si="368"/>
        <v>44.316376234607027</v>
      </c>
      <c r="Y550" s="17">
        <f t="shared" si="369"/>
        <v>-1.5482293895181387</v>
      </c>
      <c r="Z550" s="31" t="str">
        <f t="shared" si="358"/>
        <v>-273.082489395099+390.835117969324i</v>
      </c>
      <c r="AA550" s="17">
        <f t="shared" si="370"/>
        <v>476.78730630368068</v>
      </c>
      <c r="AB550" s="17">
        <f t="shared" si="371"/>
        <v>2.1806595777508306</v>
      </c>
      <c r="AC550" s="66" t="str">
        <f t="shared" si="372"/>
        <v>-0.000465388063594461+0.000359486714186567i</v>
      </c>
      <c r="AD550" s="64">
        <f t="shared" si="373"/>
        <v>-64.611539782891953</v>
      </c>
      <c r="AE550" s="61">
        <f t="shared" si="374"/>
        <v>142.31588494956429</v>
      </c>
      <c r="AF550" s="31" t="str">
        <f t="shared" si="359"/>
        <v>-1512.12121212121</v>
      </c>
      <c r="AG550" s="31" t="str">
        <f t="shared" si="375"/>
        <v>13127434.7517293i</v>
      </c>
      <c r="AH550" s="31">
        <f t="shared" si="376"/>
        <v>13127434.7517293</v>
      </c>
      <c r="AI550" s="31">
        <f t="shared" si="377"/>
        <v>1.5707963267948966</v>
      </c>
      <c r="AJ550" s="31" t="str">
        <f t="shared" si="360"/>
        <v>-749165.155028906+18093.1101129618i</v>
      </c>
      <c r="AK550" s="31">
        <f t="shared" si="378"/>
        <v>749383.6068016463</v>
      </c>
      <c r="AL550" s="31">
        <f t="shared" si="379"/>
        <v>3.1174463175172225</v>
      </c>
      <c r="AM550" s="31" t="str">
        <f t="shared" si="361"/>
        <v>1+90106.7121358697i</v>
      </c>
      <c r="AN550" s="31">
        <f t="shared" si="380"/>
        <v>90106.712141418684</v>
      </c>
      <c r="AO550" s="31">
        <f t="shared" si="381"/>
        <v>1.5707852288425215</v>
      </c>
      <c r="AP550" s="31" t="str">
        <f t="shared" si="362"/>
        <v>1+3465.64277445653i</v>
      </c>
      <c r="AQ550" s="31">
        <f t="shared" si="382"/>
        <v>3465.6429187299077</v>
      </c>
      <c r="AR550" s="31">
        <f t="shared" si="383"/>
        <v>1.5705077800411407</v>
      </c>
      <c r="AS550" s="58" t="str">
        <f t="shared" si="384"/>
        <v>-0.00114453867989935+0.0479866033060496i</v>
      </c>
      <c r="AT550" s="49">
        <f t="shared" si="385"/>
        <v>-26.375129889984258</v>
      </c>
      <c r="AU550" s="61">
        <f t="shared" si="386"/>
        <v>91.366314770648046</v>
      </c>
      <c r="AV550" s="58" t="str">
        <f t="shared" si="363"/>
        <v>-0.0000167178917075187-0.0000227438388403744i</v>
      </c>
      <c r="AW550" s="64">
        <f t="shared" si="387"/>
        <v>-90.986669672876218</v>
      </c>
      <c r="AX550" s="61">
        <f t="shared" si="388"/>
        <v>-126.31780027978768</v>
      </c>
    </row>
    <row r="551" spans="14:50" x14ac:dyDescent="0.25">
      <c r="N551" s="10">
        <v>33</v>
      </c>
      <c r="O551" s="50">
        <f t="shared" si="353"/>
        <v>2137962.0895022359</v>
      </c>
      <c r="P551" s="48" t="str">
        <f t="shared" si="354"/>
        <v>304.285714285714</v>
      </c>
      <c r="Q551" s="17" t="str">
        <f t="shared" si="355"/>
        <v>1+699486.538521511i</v>
      </c>
      <c r="R551" s="17">
        <f t="shared" si="364"/>
        <v>699486.5385222258</v>
      </c>
      <c r="S551" s="17">
        <f t="shared" si="365"/>
        <v>1.5707948971748182</v>
      </c>
      <c r="T551" s="17" t="str">
        <f t="shared" si="356"/>
        <v>1+14.5078689471128i</v>
      </c>
      <c r="U551" s="17">
        <f t="shared" si="366"/>
        <v>14.542292164119104</v>
      </c>
      <c r="V551" s="17">
        <f t="shared" si="367"/>
        <v>1.5019770668394179</v>
      </c>
      <c r="W551" s="31" t="str">
        <f t="shared" si="357"/>
        <v>1-45.3370904597275i</v>
      </c>
      <c r="X551" s="17">
        <f t="shared" si="368"/>
        <v>45.348117616429398</v>
      </c>
      <c r="Y551" s="17">
        <f t="shared" si="369"/>
        <v>-1.5487429072473802</v>
      </c>
      <c r="Z551" s="31" t="str">
        <f t="shared" si="358"/>
        <v>-285.999599166465+399.938837355231i</v>
      </c>
      <c r="AA551" s="17">
        <f t="shared" si="370"/>
        <v>491.67758170210743</v>
      </c>
      <c r="AB551" s="17">
        <f t="shared" si="371"/>
        <v>2.1915903142847721</v>
      </c>
      <c r="AC551" s="66" t="str">
        <f t="shared" si="372"/>
        <v>-0.000458214861667078+0.000361205151167334i</v>
      </c>
      <c r="AD551" s="64">
        <f t="shared" si="373"/>
        <v>-64.679721488171097</v>
      </c>
      <c r="AE551" s="61">
        <f t="shared" si="374"/>
        <v>141.75172120017109</v>
      </c>
      <c r="AF551" s="31" t="str">
        <f t="shared" si="359"/>
        <v>-1512.12121212121</v>
      </c>
      <c r="AG551" s="31" t="str">
        <f t="shared" si="375"/>
        <v>13433211.9880674i</v>
      </c>
      <c r="AH551" s="31">
        <f t="shared" si="376"/>
        <v>13433211.9880674</v>
      </c>
      <c r="AI551" s="31">
        <f t="shared" si="377"/>
        <v>1.5707963267948966</v>
      </c>
      <c r="AJ551" s="31" t="str">
        <f t="shared" si="360"/>
        <v>-784472.268164291+18514.5527871578i</v>
      </c>
      <c r="AK551" s="31">
        <f t="shared" si="378"/>
        <v>784690.72135697887</v>
      </c>
      <c r="AL551" s="31">
        <f t="shared" si="379"/>
        <v>3.117995750264638</v>
      </c>
      <c r="AM551" s="31" t="str">
        <f t="shared" si="361"/>
        <v>1+92205.5670860944i</v>
      </c>
      <c r="AN551" s="31">
        <f t="shared" si="380"/>
        <v>92205.567091517078</v>
      </c>
      <c r="AO551" s="31">
        <f t="shared" si="381"/>
        <v>1.5707854814627593</v>
      </c>
      <c r="AP551" s="31" t="str">
        <f t="shared" si="362"/>
        <v>1+3546.36796484979i</v>
      </c>
      <c r="AQ551" s="31">
        <f t="shared" si="382"/>
        <v>3546.3681058391053</v>
      </c>
      <c r="AR551" s="31">
        <f t="shared" si="383"/>
        <v>1.5705143481667883</v>
      </c>
      <c r="AS551" s="58" t="str">
        <f t="shared" si="384"/>
        <v>-0.0010930544994713+0.0468955071401818i</v>
      </c>
      <c r="AT551" s="49">
        <f t="shared" si="385"/>
        <v>-26.575016483632965</v>
      </c>
      <c r="AU551" s="61">
        <f t="shared" si="386"/>
        <v>91.335225393047196</v>
      </c>
      <c r="AV551" s="58" t="str">
        <f t="shared" si="363"/>
        <v>-0.0000164380449293683-0.0000218830352327615i</v>
      </c>
      <c r="AW551" s="64">
        <f t="shared" si="387"/>
        <v>-91.254737971804076</v>
      </c>
      <c r="AX551" s="61">
        <f t="shared" si="388"/>
        <v>-126.91305340678167</v>
      </c>
    </row>
    <row r="552" spans="14:50" x14ac:dyDescent="0.25">
      <c r="N552" s="10">
        <v>34</v>
      </c>
      <c r="O552" s="50">
        <f t="shared" si="353"/>
        <v>2187761.6239495561</v>
      </c>
      <c r="P552" s="48" t="str">
        <f t="shared" si="354"/>
        <v>304.285714285714</v>
      </c>
      <c r="Q552" s="17" t="str">
        <f t="shared" si="355"/>
        <v>1+715779.673063785i</v>
      </c>
      <c r="R552" s="17">
        <f t="shared" si="364"/>
        <v>715779.67306448345</v>
      </c>
      <c r="S552" s="17">
        <f t="shared" si="365"/>
        <v>1.5707949297169443</v>
      </c>
      <c r="T552" s="17" t="str">
        <f t="shared" si="356"/>
        <v>1+14.8458006265081i</v>
      </c>
      <c r="U552" s="17">
        <f t="shared" si="366"/>
        <v>14.879442067565176</v>
      </c>
      <c r="V552" s="17">
        <f t="shared" si="367"/>
        <v>1.5035388098488482</v>
      </c>
      <c r="W552" s="31" t="str">
        <f t="shared" si="357"/>
        <v>1-46.3931269578378i</v>
      </c>
      <c r="X552" s="17">
        <f t="shared" si="368"/>
        <v>46.403903164777596</v>
      </c>
      <c r="Y552" s="17">
        <f t="shared" si="369"/>
        <v>-1.5492447471269502</v>
      </c>
      <c r="Z552" s="31" t="str">
        <f t="shared" si="358"/>
        <v>-299.525473566371+409.25460960652i</v>
      </c>
      <c r="AA552" s="17">
        <f t="shared" si="370"/>
        <v>507.15366980762735</v>
      </c>
      <c r="AB552" s="17">
        <f t="shared" si="371"/>
        <v>2.2025997538795945</v>
      </c>
      <c r="AC552" s="66" t="str">
        <f t="shared" si="372"/>
        <v>-0.000450938972605209+0.000362802048645311i</v>
      </c>
      <c r="AD552" s="64">
        <f t="shared" si="373"/>
        <v>-64.749924226507034</v>
      </c>
      <c r="AE552" s="61">
        <f t="shared" si="374"/>
        <v>141.18165288809067</v>
      </c>
      <c r="AF552" s="31" t="str">
        <f t="shared" si="359"/>
        <v>-1512.12121212121</v>
      </c>
      <c r="AG552" s="31" t="str">
        <f t="shared" si="375"/>
        <v>13746111.6912112i</v>
      </c>
      <c r="AH552" s="31">
        <f t="shared" si="376"/>
        <v>13746111.691211199</v>
      </c>
      <c r="AI552" s="31">
        <f t="shared" si="377"/>
        <v>1.5707963267948966</v>
      </c>
      <c r="AJ552" s="31" t="str">
        <f t="shared" si="360"/>
        <v>-821443.354277617+18945.8121223107i</v>
      </c>
      <c r="AK552" s="31">
        <f t="shared" si="378"/>
        <v>821661.80882637866</v>
      </c>
      <c r="AL552" s="31">
        <f t="shared" si="379"/>
        <v>3.118532690070519</v>
      </c>
      <c r="AM552" s="31" t="str">
        <f t="shared" si="361"/>
        <v>1+94353.3106484735i</v>
      </c>
      <c r="AN552" s="31">
        <f t="shared" si="380"/>
        <v>94353.310653772744</v>
      </c>
      <c r="AO552" s="31">
        <f t="shared" si="381"/>
        <v>1.5707857283326583</v>
      </c>
      <c r="AP552" s="31" t="str">
        <f t="shared" si="362"/>
        <v>1+3628.97348647975i</v>
      </c>
      <c r="AQ552" s="31">
        <f t="shared" si="382"/>
        <v>3628.9736242597569</v>
      </c>
      <c r="AR552" s="31">
        <f t="shared" si="383"/>
        <v>1.5705207667836663</v>
      </c>
      <c r="AS552" s="58" t="str">
        <f t="shared" si="384"/>
        <v>-0.00104388497847759+0.045829166498393i</v>
      </c>
      <c r="AT552" s="49">
        <f t="shared" si="385"/>
        <v>-26.77490817864296</v>
      </c>
      <c r="AU552" s="61">
        <f t="shared" si="386"/>
        <v>91.304842912578394</v>
      </c>
      <c r="AV552" s="58" t="str">
        <f t="shared" si="363"/>
        <v>-0.0000161561870736113-0.0000210448808648801i</v>
      </c>
      <c r="AW552" s="64">
        <f t="shared" si="387"/>
        <v>-91.524832405150022</v>
      </c>
      <c r="AX552" s="61">
        <f t="shared" si="388"/>
        <v>-127.51350419933091</v>
      </c>
    </row>
    <row r="553" spans="14:50" x14ac:dyDescent="0.25">
      <c r="N553" s="10">
        <v>35</v>
      </c>
      <c r="O553" s="50">
        <f t="shared" si="353"/>
        <v>2238721.1385683389</v>
      </c>
      <c r="P553" s="48" t="str">
        <f t="shared" si="354"/>
        <v>304.285714285714</v>
      </c>
      <c r="Q553" s="17" t="str">
        <f t="shared" si="355"/>
        <v>1+732452.323463177i</v>
      </c>
      <c r="R553" s="17">
        <f t="shared" si="364"/>
        <v>732452.32346385974</v>
      </c>
      <c r="S553" s="17">
        <f t="shared" si="365"/>
        <v>1.570794961518321</v>
      </c>
      <c r="T553" s="17" t="str">
        <f t="shared" si="356"/>
        <v>1+15.1916037459029i</v>
      </c>
      <c r="U553" s="17">
        <f t="shared" si="366"/>
        <v>15.22448108713499</v>
      </c>
      <c r="V553" s="17">
        <f t="shared" si="367"/>
        <v>1.505065320818139</v>
      </c>
      <c r="W553" s="31" t="str">
        <f t="shared" si="357"/>
        <v>1-47.4737617059466i</v>
      </c>
      <c r="X553" s="17">
        <f t="shared" si="368"/>
        <v>47.484292671503511</v>
      </c>
      <c r="Y553" s="17">
        <f t="shared" si="369"/>
        <v>-1.549735174227336</v>
      </c>
      <c r="Z553" s="31" t="str">
        <f t="shared" si="358"/>
        <v>-313.68880278786+418.787374068946i</v>
      </c>
      <c r="AA553" s="17">
        <f t="shared" si="370"/>
        <v>523.24327962625978</v>
      </c>
      <c r="AB553" s="17">
        <f t="shared" si="371"/>
        <v>2.2136832237219215</v>
      </c>
      <c r="AC553" s="66" t="str">
        <f t="shared" si="372"/>
        <v>-0.000443565760467071+0.000364271521289686i</v>
      </c>
      <c r="AD553" s="64">
        <f t="shared" si="373"/>
        <v>-64.822179690909351</v>
      </c>
      <c r="AE553" s="61">
        <f t="shared" si="374"/>
        <v>140.6059782545901</v>
      </c>
      <c r="AF553" s="31" t="str">
        <f t="shared" si="359"/>
        <v>-1512.12121212121</v>
      </c>
      <c r="AG553" s="31" t="str">
        <f t="shared" si="375"/>
        <v>14066299.7647249i</v>
      </c>
      <c r="AH553" s="31">
        <f t="shared" si="376"/>
        <v>14066299.764724899</v>
      </c>
      <c r="AI553" s="31">
        <f t="shared" si="377"/>
        <v>1.5707963267948966</v>
      </c>
      <c r="AJ553" s="31" t="str">
        <f t="shared" si="360"/>
        <v>-860156.833999324+19387.1167778283i</v>
      </c>
      <c r="AK553" s="31">
        <f t="shared" si="378"/>
        <v>860375.28984315787</v>
      </c>
      <c r="AL553" s="31">
        <f t="shared" si="379"/>
        <v>3.1190574203968424</v>
      </c>
      <c r="AM553" s="31" t="str">
        <f t="shared" si="361"/>
        <v>1+96551.0815850715i</v>
      </c>
      <c r="AN553" s="31">
        <f t="shared" si="380"/>
        <v>96551.081590250091</v>
      </c>
      <c r="AO553" s="31">
        <f t="shared" si="381"/>
        <v>1.5707859695831126</v>
      </c>
      <c r="AP553" s="31" t="str">
        <f t="shared" si="362"/>
        <v>1+3713.50313788737i</v>
      </c>
      <c r="AQ553" s="31">
        <f t="shared" si="382"/>
        <v>3713.5032725311212</v>
      </c>
      <c r="AR553" s="31">
        <f t="shared" si="383"/>
        <v>1.5705270392950086</v>
      </c>
      <c r="AS553" s="58" t="str">
        <f t="shared" si="384"/>
        <v>-0.000996926160798298+0.0447870232667278i</v>
      </c>
      <c r="AT553" s="49">
        <f t="shared" si="385"/>
        <v>-26.974804745658378</v>
      </c>
      <c r="AU553" s="61">
        <f t="shared" si="386"/>
        <v>91.275151290557247</v>
      </c>
      <c r="AV553" s="58" t="str">
        <f t="shared" si="363"/>
        <v>-0.0000158724347887635-0.00002022914184357i</v>
      </c>
      <c r="AW553" s="64">
        <f t="shared" si="387"/>
        <v>-91.796984436567726</v>
      </c>
      <c r="AX553" s="61">
        <f t="shared" si="388"/>
        <v>-128.1188704548527</v>
      </c>
    </row>
    <row r="554" spans="14:50" x14ac:dyDescent="0.25">
      <c r="N554" s="10">
        <v>36</v>
      </c>
      <c r="O554" s="50">
        <f t="shared" si="353"/>
        <v>2290867.6527677765</v>
      </c>
      <c r="P554" s="48" t="str">
        <f t="shared" si="354"/>
        <v>304.285714285714</v>
      </c>
      <c r="Q554" s="17" t="str">
        <f t="shared" si="355"/>
        <v>1+749513.32977963i</v>
      </c>
      <c r="R554" s="17">
        <f t="shared" si="364"/>
        <v>749513.329780297</v>
      </c>
      <c r="S554" s="17">
        <f t="shared" si="365"/>
        <v>1.57079499259581</v>
      </c>
      <c r="T554" s="17" t="str">
        <f t="shared" si="356"/>
        <v>1+15.5454616546886i</v>
      </c>
      <c r="U554" s="17">
        <f t="shared" si="366"/>
        <v>15.577592177785167</v>
      </c>
      <c r="V554" s="17">
        <f t="shared" si="367"/>
        <v>1.5065573806505528</v>
      </c>
      <c r="W554" s="31" t="str">
        <f t="shared" si="357"/>
        <v>1-48.5795676709019i</v>
      </c>
      <c r="X554" s="17">
        <f t="shared" si="368"/>
        <v>48.589858973779052</v>
      </c>
      <c r="Y554" s="17">
        <f t="shared" si="369"/>
        <v>-1.5502144476352815</v>
      </c>
      <c r="Z554" s="31" t="str">
        <f t="shared" si="358"/>
        <v>-328.519629151132+428.542185140414i</v>
      </c>
      <c r="AA554" s="17">
        <f t="shared" si="370"/>
        <v>539.9755097988409</v>
      </c>
      <c r="AB554" s="17">
        <f t="shared" si="371"/>
        <v>2.2248358719850723</v>
      </c>
      <c r="AC554" s="66" t="str">
        <f t="shared" si="372"/>
        <v>-0.0004361009606507+0.000365607944361459i</v>
      </c>
      <c r="AD554" s="64">
        <f t="shared" si="373"/>
        <v>-64.896517847058064</v>
      </c>
      <c r="AE554" s="61">
        <f t="shared" si="374"/>
        <v>140.02500518577887</v>
      </c>
      <c r="AF554" s="31" t="str">
        <f t="shared" si="359"/>
        <v>-1512.12121212121</v>
      </c>
      <c r="AG554" s="31" t="str">
        <f t="shared" si="375"/>
        <v>14393945.9765635i</v>
      </c>
      <c r="AH554" s="31">
        <f t="shared" si="376"/>
        <v>14393945.9765635</v>
      </c>
      <c r="AI554" s="31">
        <f t="shared" si="377"/>
        <v>1.5707963267948966</v>
      </c>
      <c r="AJ554" s="31" t="str">
        <f t="shared" si="360"/>
        <v>-900694.823810331+19838.7007392803i</v>
      </c>
      <c r="AK554" s="31">
        <f t="shared" si="378"/>
        <v>900913.28089097783</v>
      </c>
      <c r="AL554" s="31">
        <f t="shared" si="379"/>
        <v>3.119570218314013</v>
      </c>
      <c r="AM554" s="31" t="str">
        <f t="shared" si="361"/>
        <v>1+98800.0451831316i</v>
      </c>
      <c r="AN554" s="31">
        <f t="shared" si="380"/>
        <v>98800.045188192336</v>
      </c>
      <c r="AO554" s="31">
        <f t="shared" si="381"/>
        <v>1.5707862053420358</v>
      </c>
      <c r="AP554" s="31" t="str">
        <f t="shared" si="362"/>
        <v>1+3800.00173781276i</v>
      </c>
      <c r="AQ554" s="31">
        <f t="shared" si="382"/>
        <v>3800.001869391645</v>
      </c>
      <c r="AR554" s="31">
        <f t="shared" si="383"/>
        <v>1.5705331690265816</v>
      </c>
      <c r="AS554" s="58" t="str">
        <f t="shared" si="384"/>
        <v>-0.000952078749711115+0.0437685316763397i</v>
      </c>
      <c r="AT554" s="49">
        <f t="shared" si="385"/>
        <v>-27.17470596562481</v>
      </c>
      <c r="AU554" s="61">
        <f t="shared" si="386"/>
        <v>91.246134849900216</v>
      </c>
      <c r="AV554" s="58" t="str">
        <f t="shared" si="363"/>
        <v>-0.0000155869204365418-0.0000194355862648744i</v>
      </c>
      <c r="AW554" s="64">
        <f t="shared" si="387"/>
        <v>-92.071223812682888</v>
      </c>
      <c r="AX554" s="61">
        <f t="shared" si="388"/>
        <v>-128.72885996432092</v>
      </c>
    </row>
    <row r="555" spans="14:50" x14ac:dyDescent="0.25">
      <c r="N555" s="10">
        <v>37</v>
      </c>
      <c r="O555" s="50">
        <f t="shared" si="353"/>
        <v>2344228.8153199251</v>
      </c>
      <c r="P555" s="48" t="str">
        <f t="shared" si="354"/>
        <v>304.285714285714</v>
      </c>
      <c r="Q555" s="17" t="str">
        <f t="shared" si="355"/>
        <v>1+766971.73798451i</v>
      </c>
      <c r="R555" s="17">
        <f t="shared" si="364"/>
        <v>766971.73798516195</v>
      </c>
      <c r="S555" s="17">
        <f t="shared" si="365"/>
        <v>1.5707950229658889</v>
      </c>
      <c r="T555" s="17" t="str">
        <f t="shared" si="356"/>
        <v>1+15.907561973012i</v>
      </c>
      <c r="U555" s="17">
        <f t="shared" si="366"/>
        <v>15.938962573681433</v>
      </c>
      <c r="V555" s="17">
        <f t="shared" si="367"/>
        <v>1.5080157538674941</v>
      </c>
      <c r="W555" s="31" t="str">
        <f t="shared" si="357"/>
        <v>1-49.7111311656626i</v>
      </c>
      <c r="X555" s="17">
        <f t="shared" si="368"/>
        <v>49.721188257821346</v>
      </c>
      <c r="Y555" s="17">
        <f t="shared" si="369"/>
        <v>-1.5506828205866623</v>
      </c>
      <c r="Z555" s="31" t="str">
        <f t="shared" si="358"/>
        <v>-344.049410827296+438.524214950867i</v>
      </c>
      <c r="AA555" s="17">
        <f t="shared" si="370"/>
        <v>557.38091480502248</v>
      </c>
      <c r="AB555" s="17">
        <f t="shared" si="371"/>
        <v>2.2360526766868078</v>
      </c>
      <c r="AC555" s="66" t="str">
        <f t="shared" si="372"/>
        <v>-0.000428550665428633+0.000366805982444328i</v>
      </c>
      <c r="AD555" s="64">
        <f t="shared" si="373"/>
        <v>-64.97296683372825</v>
      </c>
      <c r="AE555" s="61">
        <f t="shared" si="374"/>
        <v>139.43905071360302</v>
      </c>
      <c r="AF555" s="31" t="str">
        <f t="shared" si="359"/>
        <v>-1512.12121212121</v>
      </c>
      <c r="AG555" s="31" t="str">
        <f t="shared" si="375"/>
        <v>14729224.0490852i</v>
      </c>
      <c r="AH555" s="31">
        <f t="shared" si="376"/>
        <v>14729224.0490852</v>
      </c>
      <c r="AI555" s="31">
        <f t="shared" si="377"/>
        <v>1.5707963267948966</v>
      </c>
      <c r="AJ555" s="31" t="str">
        <f t="shared" si="360"/>
        <v>-943143.310222021+20300.8034424606i</v>
      </c>
      <c r="AK555" s="31">
        <f t="shared" si="378"/>
        <v>943361.76848384133</v>
      </c>
      <c r="AL555" s="31">
        <f t="shared" si="379"/>
        <v>3.1200713546423002</v>
      </c>
      <c r="AM555" s="31" t="str">
        <f t="shared" si="361"/>
        <v>1+101101.393872921i</v>
      </c>
      <c r="AN555" s="31">
        <f t="shared" si="380"/>
        <v>101101.39387786652</v>
      </c>
      <c r="AO555" s="31">
        <f t="shared" si="381"/>
        <v>1.5707864357344308</v>
      </c>
      <c r="AP555" s="31" t="str">
        <f t="shared" si="362"/>
        <v>1+3888.51514895849i</v>
      </c>
      <c r="AQ555" s="31">
        <f t="shared" si="382"/>
        <v>3888.5152775422739</v>
      </c>
      <c r="AR555" s="31">
        <f t="shared" si="383"/>
        <v>1.5705391592284483</v>
      </c>
      <c r="AS555" s="58" t="str">
        <f t="shared" si="384"/>
        <v>-0.000909247899888082+0.0427731580463802i</v>
      </c>
      <c r="AT555" s="49">
        <f t="shared" si="385"/>
        <v>-27.374611629326978</v>
      </c>
      <c r="AU555" s="61">
        <f t="shared" si="386"/>
        <v>91.217778267125951</v>
      </c>
      <c r="AV555" s="58" t="str">
        <f t="shared" si="363"/>
        <v>-0.0000152997914669124-0.0000186639829124642i</v>
      </c>
      <c r="AW555" s="64">
        <f t="shared" si="387"/>
        <v>-92.347578463055243</v>
      </c>
      <c r="AX555" s="61">
        <f t="shared" si="388"/>
        <v>-129.34317101927107</v>
      </c>
    </row>
    <row r="556" spans="14:50" x14ac:dyDescent="0.25">
      <c r="N556" s="10">
        <v>38</v>
      </c>
      <c r="O556" s="50">
        <f t="shared" si="353"/>
        <v>2398832.9190194933</v>
      </c>
      <c r="P556" s="48" t="str">
        <f t="shared" si="354"/>
        <v>304.285714285714</v>
      </c>
      <c r="Q556" s="17" t="str">
        <f t="shared" si="355"/>
        <v>1+784836.804756937i</v>
      </c>
      <c r="R556" s="17">
        <f t="shared" si="364"/>
        <v>784836.80475757411</v>
      </c>
      <c r="S556" s="17">
        <f t="shared" si="365"/>
        <v>1.5707950526446606</v>
      </c>
      <c r="T556" s="17" t="str">
        <f t="shared" si="356"/>
        <v>1+16.278096691255i</v>
      </c>
      <c r="U556" s="17">
        <f t="shared" si="366"/>
        <v>16.308783887520462</v>
      </c>
      <c r="V556" s="17">
        <f t="shared" si="367"/>
        <v>1.5094411888897985</v>
      </c>
      <c r="W556" s="31" t="str">
        <f t="shared" si="357"/>
        <v>1-50.8690521601718i</v>
      </c>
      <c r="X556" s="17">
        <f t="shared" si="368"/>
        <v>50.87888036970034</v>
      </c>
      <c r="Y556" s="17">
        <f t="shared" si="369"/>
        <v>-1.5511405405965577</v>
      </c>
      <c r="Z556" s="31" t="str">
        <f t="shared" si="358"/>
        <v>-360.311088565403+448.73875610464i</v>
      </c>
      <c r="AA556" s="17">
        <f t="shared" si="370"/>
        <v>575.49157402478556</v>
      </c>
      <c r="AB556" s="17">
        <f t="shared" si="371"/>
        <v>2.2473284554938289</v>
      </c>
      <c r="AC556" s="66" t="str">
        <f t="shared" si="372"/>
        <v>-0.00042092130682524+0.000367860617297958i</v>
      </c>
      <c r="AD556" s="64">
        <f t="shared" si="373"/>
        <v>-65.051552867535321</v>
      </c>
      <c r="AE556" s="61">
        <f t="shared" si="374"/>
        <v>138.84844046275168</v>
      </c>
      <c r="AF556" s="31" t="str">
        <f t="shared" si="359"/>
        <v>-1512.12121212121</v>
      </c>
      <c r="AG556" s="31" t="str">
        <f t="shared" si="375"/>
        <v>15072311.751162i</v>
      </c>
      <c r="AH556" s="31">
        <f t="shared" si="376"/>
        <v>15072311.751162</v>
      </c>
      <c r="AI556" s="31">
        <f t="shared" si="377"/>
        <v>1.5707963267948966</v>
      </c>
      <c r="AJ556" s="31" t="str">
        <f t="shared" si="360"/>
        <v>-987592.332165246+20773.6699003389i</v>
      </c>
      <c r="AK556" s="31">
        <f t="shared" si="378"/>
        <v>987810.79155510245</v>
      </c>
      <c r="AL556" s="31">
        <f t="shared" si="379"/>
        <v>3.1205610940903274</v>
      </c>
      <c r="AM556" s="31" t="str">
        <f t="shared" si="361"/>
        <v>1+103456.347859976i</v>
      </c>
      <c r="AN556" s="31">
        <f t="shared" si="380"/>
        <v>103456.34786480897</v>
      </c>
      <c r="AO556" s="31">
        <f t="shared" si="381"/>
        <v>1.5707866608824548</v>
      </c>
      <c r="AP556" s="31" t="str">
        <f t="shared" si="362"/>
        <v>1+3979.09030230677i</v>
      </c>
      <c r="AQ556" s="31">
        <f t="shared" si="382"/>
        <v>3979.0904279636302</v>
      </c>
      <c r="AR556" s="31">
        <f t="shared" si="383"/>
        <v>1.5705450130766914</v>
      </c>
      <c r="AS556" s="58" t="str">
        <f t="shared" si="384"/>
        <v>-0.000868343018604047+0.041800380531146i</v>
      </c>
      <c r="AT556" s="49">
        <f t="shared" si="385"/>
        <v>-27.574521536948566</v>
      </c>
      <c r="AU556" s="61">
        <f t="shared" si="386"/>
        <v>91.190066564522695</v>
      </c>
      <c r="AV556" s="58" t="str">
        <f t="shared" si="363"/>
        <v>-0.0000150112097073135-0.0000179140999978123i</v>
      </c>
      <c r="AW556" s="64">
        <f t="shared" si="387"/>
        <v>-92.626074404483902</v>
      </c>
      <c r="AX556" s="61">
        <f t="shared" si="388"/>
        <v>-129.96149297272564</v>
      </c>
    </row>
    <row r="557" spans="14:50" x14ac:dyDescent="0.25">
      <c r="N557" s="10">
        <v>39</v>
      </c>
      <c r="O557" s="50">
        <f t="shared" si="353"/>
        <v>2454708.915685033</v>
      </c>
      <c r="P557" s="48" t="str">
        <f t="shared" si="354"/>
        <v>304.285714285714</v>
      </c>
      <c r="Q557" s="17" t="str">
        <f t="shared" si="355"/>
        <v>1+803118.002391791i</v>
      </c>
      <c r="R557" s="17">
        <f t="shared" si="364"/>
        <v>803118.00239241356</v>
      </c>
      <c r="S557" s="17">
        <f t="shared" si="365"/>
        <v>1.5707950816478609</v>
      </c>
      <c r="T557" s="17" t="str">
        <f t="shared" si="356"/>
        <v>1+16.6572622718297i</v>
      </c>
      <c r="U557" s="17">
        <f t="shared" si="366"/>
        <v>16.68725221216846</v>
      </c>
      <c r="V557" s="17">
        <f t="shared" si="367"/>
        <v>1.5108344183185742</v>
      </c>
      <c r="W557" s="31" t="str">
        <f t="shared" si="357"/>
        <v>1-52.0539445994678i</v>
      </c>
      <c r="X557" s="17">
        <f t="shared" si="368"/>
        <v>52.063549133385663</v>
      </c>
      <c r="Y557" s="17">
        <f t="shared" si="369"/>
        <v>-1.5515878495865687</v>
      </c>
      <c r="Z557" s="31" t="str">
        <f t="shared" si="358"/>
        <v>-377.339155564179+459.19122448666i</v>
      </c>
      <c r="AA557" s="17">
        <f t="shared" si="370"/>
        <v>594.34116378343333</v>
      </c>
      <c r="AB557" s="17">
        <f t="shared" si="371"/>
        <v>2.258657876438976</v>
      </c>
      <c r="AC557" s="66" t="str">
        <f t="shared" si="372"/>
        <v>-0.000413219636892721+0.000368767174552975i</v>
      </c>
      <c r="AD557" s="64">
        <f t="shared" si="373"/>
        <v>-65.132300152769517</v>
      </c>
      <c r="AE557" s="61">
        <f t="shared" si="374"/>
        <v>138.25350804540315</v>
      </c>
      <c r="AF557" s="31" t="str">
        <f t="shared" si="359"/>
        <v>-1512.12121212121</v>
      </c>
      <c r="AG557" s="31" t="str">
        <f t="shared" si="375"/>
        <v>15423390.9924349i</v>
      </c>
      <c r="AH557" s="31">
        <f t="shared" si="376"/>
        <v>15423390.9924349</v>
      </c>
      <c r="AI557" s="31">
        <f t="shared" si="377"/>
        <v>1.5707963267948966</v>
      </c>
      <c r="AJ557" s="31" t="str">
        <f t="shared" si="360"/>
        <v>-1034136.17197494+21257.5508329704i</v>
      </c>
      <c r="AK557" s="31">
        <f t="shared" si="378"/>
        <v>1034354.6324420841</v>
      </c>
      <c r="AL557" s="31">
        <f t="shared" si="379"/>
        <v>3.1210396953906603</v>
      </c>
      <c r="AM557" s="31" t="str">
        <f t="shared" si="361"/>
        <v>1+105866.155772073i</v>
      </c>
      <c r="AN557" s="31">
        <f t="shared" si="380"/>
        <v>105866.15577679595</v>
      </c>
      <c r="AO557" s="31">
        <f t="shared" si="381"/>
        <v>1.5707868809054839</v>
      </c>
      <c r="AP557" s="31" t="str">
        <f t="shared" si="362"/>
        <v>1+4071.77522200281i</v>
      </c>
      <c r="AQ557" s="31">
        <f t="shared" si="382"/>
        <v>4071.7753447993705</v>
      </c>
      <c r="AR557" s="31">
        <f t="shared" si="383"/>
        <v>1.570550733675097</v>
      </c>
      <c r="AS557" s="58" t="str">
        <f t="shared" si="384"/>
        <v>-0.000829277575756151+0.0408496888715088i</v>
      </c>
      <c r="AT557" s="49">
        <f t="shared" si="385"/>
        <v>-27.774435497649993</v>
      </c>
      <c r="AU557" s="61">
        <f t="shared" si="386"/>
        <v>91.162985102480036</v>
      </c>
      <c r="AV557" s="58" t="str">
        <f t="shared" si="363"/>
        <v>-0.0000147213505677772-0.0000171857039511972i</v>
      </c>
      <c r="AW557" s="64">
        <f t="shared" si="387"/>
        <v>-92.906735650419506</v>
      </c>
      <c r="AX557" s="61">
        <f t="shared" si="388"/>
        <v>-130.5835068521169</v>
      </c>
    </row>
    <row r="558" spans="14:50" x14ac:dyDescent="0.25">
      <c r="N558" s="10">
        <v>40</v>
      </c>
      <c r="O558" s="50">
        <f t="shared" si="353"/>
        <v>2511886.431509587</v>
      </c>
      <c r="P558" s="48" t="str">
        <f t="shared" si="354"/>
        <v>304.285714285714</v>
      </c>
      <c r="Q558" s="17" t="str">
        <f t="shared" si="355"/>
        <v>1+821825.02382204i</v>
      </c>
      <c r="R558" s="17">
        <f t="shared" si="364"/>
        <v>821825.02382264833</v>
      </c>
      <c r="S558" s="17">
        <f t="shared" si="365"/>
        <v>1.5707951099908677</v>
      </c>
      <c r="T558" s="17" t="str">
        <f t="shared" si="356"/>
        <v>1+17.045259753346i</v>
      </c>
      <c r="U558" s="17">
        <f t="shared" si="366"/>
        <v>17.074568224673701</v>
      </c>
      <c r="V558" s="17">
        <f t="shared" si="367"/>
        <v>1.5121961592152373</v>
      </c>
      <c r="W558" s="31" t="str">
        <f t="shared" si="357"/>
        <v>1-53.2664367292063i</v>
      </c>
      <c r="X558" s="17">
        <f t="shared" si="368"/>
        <v>53.275822676205927</v>
      </c>
      <c r="Y558" s="17">
        <f t="shared" si="369"/>
        <v>-1.5520249840094329</v>
      </c>
      <c r="Z558" s="31" t="str">
        <f t="shared" si="358"/>
        <v>-395.169730636725+469.88716213402i</v>
      </c>
      <c r="AA558" s="17">
        <f t="shared" si="370"/>
        <v>613.96503251395723</v>
      </c>
      <c r="AB558" s="17">
        <f t="shared" si="371"/>
        <v>2.2700354695079525</v>
      </c>
      <c r="AC558" s="66" t="str">
        <f t="shared" si="372"/>
        <v>-0.000405452705474953+0.00036952134897018i</v>
      </c>
      <c r="AD558" s="64">
        <f t="shared" si="373"/>
        <v>-65.215230797067164</v>
      </c>
      <c r="AE558" s="61">
        <f t="shared" si="374"/>
        <v>137.65459440625796</v>
      </c>
      <c r="AF558" s="31" t="str">
        <f t="shared" si="359"/>
        <v>-1512.12121212121</v>
      </c>
      <c r="AG558" s="31" t="str">
        <f t="shared" si="375"/>
        <v>15782647.9197648i</v>
      </c>
      <c r="AH558" s="31">
        <f t="shared" si="376"/>
        <v>15782647.9197648</v>
      </c>
      <c r="AI558" s="31">
        <f t="shared" si="377"/>
        <v>1.5707963267948966</v>
      </c>
      <c r="AJ558" s="31" t="str">
        <f t="shared" si="360"/>
        <v>-1082873.55537559+21752.7028004306i</v>
      </c>
      <c r="AK558" s="31">
        <f t="shared" si="378"/>
        <v>1083092.0168715559</v>
      </c>
      <c r="AL558" s="31">
        <f t="shared" si="379"/>
        <v>3.1215074114325438</v>
      </c>
      <c r="AM558" s="31" t="str">
        <f t="shared" si="361"/>
        <v>1+108332.095321265i</v>
      </c>
      <c r="AN558" s="31">
        <f t="shared" si="380"/>
        <v>108332.09532588045</v>
      </c>
      <c r="AO558" s="31">
        <f t="shared" si="381"/>
        <v>1.5707870959201775</v>
      </c>
      <c r="AP558" s="31" t="str">
        <f t="shared" si="362"/>
        <v>1+4166.61905081791i</v>
      </c>
      <c r="AQ558" s="31">
        <f t="shared" si="382"/>
        <v>4166.6191708192791</v>
      </c>
      <c r="AR558" s="31">
        <f t="shared" si="383"/>
        <v>1.5705563240568006</v>
      </c>
      <c r="AS558" s="58" t="str">
        <f t="shared" si="384"/>
        <v>-0.000791968922309148+0.0399205841506138i</v>
      </c>
      <c r="AT558" s="49">
        <f t="shared" si="385"/>
        <v>-27.974353329166131</v>
      </c>
      <c r="AU558" s="61">
        <f t="shared" si="386"/>
        <v>91.136519571981495</v>
      </c>
      <c r="AV558" s="58" t="str">
        <f t="shared" si="363"/>
        <v>-0.0000144304021648101-0.000016478558272521i</v>
      </c>
      <c r="AW558" s="64">
        <f t="shared" si="387"/>
        <v>-93.189584126233314</v>
      </c>
      <c r="AX558" s="61">
        <f t="shared" si="388"/>
        <v>-131.20888602176063</v>
      </c>
    </row>
    <row r="559" spans="14:50" x14ac:dyDescent="0.25">
      <c r="N559" s="10">
        <v>41</v>
      </c>
      <c r="O559" s="50">
        <f t="shared" si="353"/>
        <v>2570395.782768866</v>
      </c>
      <c r="P559" s="48" t="str">
        <f t="shared" si="354"/>
        <v>304.285714285714</v>
      </c>
      <c r="Q559" s="17" t="str">
        <f t="shared" si="355"/>
        <v>1+840967.787758056i</v>
      </c>
      <c r="R559" s="17">
        <f t="shared" si="364"/>
        <v>840967.78775865049</v>
      </c>
      <c r="S559" s="17">
        <f t="shared" si="365"/>
        <v>1.570795137688709</v>
      </c>
      <c r="T559" s="17" t="str">
        <f t="shared" si="356"/>
        <v>1+17.4422948572041i</v>
      </c>
      <c r="U559" s="17">
        <f t="shared" si="366"/>
        <v>17.470937292705525</v>
      </c>
      <c r="V559" s="17">
        <f t="shared" si="367"/>
        <v>1.5135271133803909</v>
      </c>
      <c r="W559" s="31" t="str">
        <f t="shared" si="357"/>
        <v>1-54.5071714287628i</v>
      </c>
      <c r="X559" s="17">
        <f t="shared" si="368"/>
        <v>54.51634376188975</v>
      </c>
      <c r="Y559" s="17">
        <f t="shared" si="369"/>
        <v>-1.5524521749709799</v>
      </c>
      <c r="Z559" s="31" t="str">
        <f t="shared" si="358"/>
        <v>-413.840634823348+480.832240174432i</v>
      </c>
      <c r="AA559" s="17">
        <f t="shared" si="370"/>
        <v>634.40027917881184</v>
      </c>
      <c r="AB559" s="17">
        <f t="shared" si="371"/>
        <v>2.2814556390432266</v>
      </c>
      <c r="AC559" s="66" t="str">
        <f t="shared" si="372"/>
        <v>-0.000397627835581642+0.000370119227993785i</v>
      </c>
      <c r="AD559" s="64">
        <f t="shared" si="373"/>
        <v>-65.300364733635831</v>
      </c>
      <c r="AE559" s="61">
        <f t="shared" si="374"/>
        <v>137.05204712083929</v>
      </c>
      <c r="AF559" s="31" t="str">
        <f t="shared" si="359"/>
        <v>-1512.12121212121</v>
      </c>
      <c r="AG559" s="31" t="str">
        <f t="shared" si="375"/>
        <v>16150273.0159297i</v>
      </c>
      <c r="AH559" s="31">
        <f t="shared" si="376"/>
        <v>16150273.015929701</v>
      </c>
      <c r="AI559" s="31">
        <f t="shared" si="377"/>
        <v>1.5707963267948966</v>
      </c>
      <c r="AJ559" s="31" t="str">
        <f t="shared" si="360"/>
        <v>-1133907.8608917+22259.3883388465i</v>
      </c>
      <c r="AK559" s="31">
        <f t="shared" si="378"/>
        <v>1134126.3233702013</v>
      </c>
      <c r="AL559" s="31">
        <f t="shared" si="379"/>
        <v>3.1219644893918361</v>
      </c>
      <c r="AM559" s="31" t="str">
        <f t="shared" si="361"/>
        <v>1+110855.473981341i</v>
      </c>
      <c r="AN559" s="31">
        <f t="shared" si="380"/>
        <v>110855.47398585138</v>
      </c>
      <c r="AO559" s="31">
        <f t="shared" si="381"/>
        <v>1.5707873060405391</v>
      </c>
      <c r="AP559" s="31" t="str">
        <f t="shared" si="362"/>
        <v>1+4263.67207620544i</v>
      </c>
      <c r="AQ559" s="31">
        <f t="shared" si="382"/>
        <v>4263.672193475245</v>
      </c>
      <c r="AR559" s="31">
        <f t="shared" si="383"/>
        <v>1.5705617871858952</v>
      </c>
      <c r="AS559" s="58" t="str">
        <f t="shared" si="384"/>
        <v>-0.000756338116798556+0.0390125785538502i</v>
      </c>
      <c r="AT559" s="49">
        <f t="shared" si="385"/>
        <v>-28.174274857421469</v>
      </c>
      <c r="AU559" s="61">
        <f t="shared" si="386"/>
        <v>91.110655987255569</v>
      </c>
      <c r="AV559" s="58" t="str">
        <f t="shared" si="363"/>
        <v>-0.0000141385643680474-0.000015792422450718i</v>
      </c>
      <c r="AW559" s="64">
        <f t="shared" si="387"/>
        <v>-93.474639591057311</v>
      </c>
      <c r="AX559" s="61">
        <f t="shared" si="388"/>
        <v>-131.83729689190505</v>
      </c>
    </row>
    <row r="560" spans="14:50" ht="15.75" thickBot="1" x14ac:dyDescent="0.3">
      <c r="N560" s="10">
        <v>42</v>
      </c>
      <c r="O560" s="50">
        <f t="shared" si="353"/>
        <v>2630267.9918953842</v>
      </c>
      <c r="P560" s="48" t="str">
        <f t="shared" si="354"/>
        <v>304.285714285714</v>
      </c>
      <c r="Q560" s="17" t="str">
        <f t="shared" si="355"/>
        <v>1+860556.443946666i</v>
      </c>
      <c r="R560" s="17">
        <f t="shared" si="364"/>
        <v>860556.44394724688</v>
      </c>
      <c r="S560" s="17">
        <f t="shared" si="365"/>
        <v>1.5707951647560705</v>
      </c>
      <c r="T560" s="17" t="str">
        <f t="shared" si="356"/>
        <v>1+17.8485780966715i</v>
      </c>
      <c r="U560" s="17">
        <f t="shared" si="366"/>
        <v>17.876569583479423</v>
      </c>
      <c r="V560" s="17">
        <f t="shared" si="367"/>
        <v>1.5148279676312493</v>
      </c>
      <c r="W560" s="31" t="str">
        <f t="shared" si="357"/>
        <v>1-55.7768065520986i</v>
      </c>
      <c r="X560" s="17">
        <f t="shared" si="368"/>
        <v>55.785770131371578</v>
      </c>
      <c r="Y560" s="17">
        <f t="shared" si="369"/>
        <v>-1.5528696483494824</v>
      </c>
      <c r="Z560" s="31" t="str">
        <f t="shared" si="358"/>
        <v>-433.391471615085+492.032261833152i</v>
      </c>
      <c r="AA560" s="17">
        <f t="shared" si="370"/>
        <v>655.68583510194605</v>
      </c>
      <c r="AB560" s="17">
        <f t="shared" si="371"/>
        <v>2.2929126769040122</v>
      </c>
      <c r="AC560" s="59" t="str">
        <f t="shared" si="372"/>
        <v>-0.000389752596527813+0.000370557313340407i</v>
      </c>
      <c r="AD560" s="65">
        <f t="shared" si="373"/>
        <v>-65.387719650709869</v>
      </c>
      <c r="AE560" s="63">
        <f t="shared" si="374"/>
        <v>136.44621965053784</v>
      </c>
      <c r="AF560" s="31" t="str">
        <f t="shared" si="359"/>
        <v>-1512.12121212121</v>
      </c>
      <c r="AG560" s="31" t="str">
        <f t="shared" si="375"/>
        <v>16526461.2006218i</v>
      </c>
      <c r="AH560" s="31">
        <f t="shared" si="376"/>
        <v>16526461.2006218</v>
      </c>
      <c r="AI560" s="31">
        <f t="shared" si="377"/>
        <v>1.5707963267948966</v>
      </c>
      <c r="AJ560" s="31" t="str">
        <f t="shared" si="360"/>
        <v>-1187347.33912757+22777.8760995976i</v>
      </c>
      <c r="AK560" s="31">
        <f t="shared" si="378"/>
        <v>1187565.802544402</v>
      </c>
      <c r="AL560" s="31">
        <f t="shared" si="379"/>
        <v>3.1224111708581899</v>
      </c>
      <c r="AM560" s="31" t="str">
        <f t="shared" si="361"/>
        <v>1+113437.629681068i</v>
      </c>
      <c r="AN560" s="31">
        <f t="shared" si="380"/>
        <v>113437.62968547572</v>
      </c>
      <c r="AO560" s="31">
        <f t="shared" si="381"/>
        <v>1.5707875113779772</v>
      </c>
      <c r="AP560" s="31" t="str">
        <f t="shared" si="362"/>
        <v>1+4362.98575696415i</v>
      </c>
      <c r="AQ560" s="31">
        <f t="shared" si="382"/>
        <v>4362.9858715645678</v>
      </c>
      <c r="AR560" s="31">
        <f t="shared" si="383"/>
        <v>1.5705671259590028</v>
      </c>
      <c r="AS560" s="58" t="str">
        <f t="shared" si="384"/>
        <v>-0.000722309759538728+0.0381251951330759i</v>
      </c>
      <c r="AT560" s="55">
        <f t="shared" si="385"/>
        <v>-28.374199916163057</v>
      </c>
      <c r="AU560" s="63">
        <f t="shared" si="386"/>
        <v>91.085380678582212</v>
      </c>
      <c r="AV560" s="62" t="str">
        <f t="shared" si="363"/>
        <v>-0.0000138460477748138-0.0000151270509601401i</v>
      </c>
      <c r="AW560" s="65">
        <f t="shared" si="387"/>
        <v>-93.761919566872905</v>
      </c>
      <c r="AX560" s="63">
        <f t="shared" si="388"/>
        <v>-132.46839967088002</v>
      </c>
    </row>
    <row r="561" spans="14:30" x14ac:dyDescent="0.25">
      <c r="N561" s="10"/>
      <c r="P561" s="48"/>
      <c r="Q561" s="17"/>
      <c r="R561" s="17"/>
      <c r="S561" s="17"/>
      <c r="T561" s="17"/>
      <c r="U561" s="17"/>
      <c r="V561" s="17"/>
      <c r="X561" s="17"/>
      <c r="Y561" s="17"/>
      <c r="AA561" s="17"/>
      <c r="AB561" s="17"/>
      <c r="AC561" s="17"/>
      <c r="AD561" s="32"/>
    </row>
    <row r="562" spans="14:30" x14ac:dyDescent="0.25">
      <c r="N562" s="10"/>
      <c r="P562" s="48"/>
      <c r="Q562" s="17"/>
      <c r="R562" s="17"/>
      <c r="S562" s="17"/>
      <c r="T562" s="17"/>
      <c r="U562" s="17"/>
      <c r="V562" s="17"/>
      <c r="X562" s="17"/>
      <c r="Y562" s="17"/>
      <c r="AA562" s="17"/>
      <c r="AB562" s="17"/>
      <c r="AC562" s="17"/>
      <c r="AD562" s="32"/>
    </row>
    <row r="563" spans="14:30" x14ac:dyDescent="0.25">
      <c r="N563" s="10"/>
      <c r="P563" s="48"/>
      <c r="Q563" s="17"/>
      <c r="R563" s="17"/>
      <c r="S563" s="17"/>
      <c r="T563" s="17"/>
      <c r="U563" s="17"/>
      <c r="V563" s="17"/>
      <c r="X563" s="17"/>
      <c r="Y563" s="17"/>
      <c r="AA563" s="17"/>
      <c r="AB563" s="17"/>
      <c r="AC563" s="17"/>
      <c r="AD563" s="32"/>
    </row>
    <row r="564" spans="14:30" x14ac:dyDescent="0.25">
      <c r="N564" s="10"/>
      <c r="P564" s="48"/>
      <c r="Q564" s="17"/>
      <c r="R564" s="17"/>
      <c r="S564" s="17"/>
      <c r="T564" s="17"/>
      <c r="U564" s="17"/>
      <c r="V564" s="17"/>
      <c r="X564" s="17"/>
      <c r="Y564" s="17"/>
      <c r="AA564" s="17"/>
      <c r="AB564" s="17"/>
      <c r="AC564" s="17"/>
      <c r="AD564" s="32"/>
    </row>
    <row r="565" spans="14:30" x14ac:dyDescent="0.25">
      <c r="N565" s="10"/>
      <c r="P565" s="48"/>
      <c r="Q565" s="17"/>
      <c r="R565" s="17"/>
      <c r="S565" s="17"/>
      <c r="T565" s="17"/>
      <c r="U565" s="17"/>
      <c r="V565" s="17"/>
      <c r="X565" s="17"/>
      <c r="Y565" s="17"/>
      <c r="AA565" s="17"/>
      <c r="AB565" s="17"/>
      <c r="AC565" s="17"/>
      <c r="AD565" s="32"/>
    </row>
    <row r="566" spans="14:30" x14ac:dyDescent="0.25">
      <c r="N566" s="10"/>
      <c r="P566" s="48"/>
      <c r="Q566" s="17"/>
      <c r="R566" s="17"/>
      <c r="S566" s="17"/>
      <c r="T566" s="17"/>
      <c r="U566" s="17"/>
      <c r="V566" s="17"/>
      <c r="X566" s="17"/>
      <c r="Y566" s="17"/>
      <c r="AA566" s="17"/>
      <c r="AB566" s="17"/>
      <c r="AC566" s="17"/>
      <c r="AD566" s="32"/>
    </row>
    <row r="567" spans="14:30" x14ac:dyDescent="0.25">
      <c r="N567" s="10"/>
      <c r="P567" s="48"/>
      <c r="Q567" s="17"/>
      <c r="R567" s="17"/>
      <c r="S567" s="17"/>
      <c r="T567" s="17"/>
      <c r="U567" s="17"/>
      <c r="V567" s="17"/>
      <c r="X567" s="17"/>
      <c r="Y567" s="17"/>
      <c r="AA567" s="17"/>
      <c r="AB567" s="17"/>
      <c r="AC567" s="17"/>
      <c r="AD567" s="32"/>
    </row>
    <row r="568" spans="14:30" x14ac:dyDescent="0.25">
      <c r="N568" s="10"/>
      <c r="P568" s="48"/>
      <c r="Q568" s="17"/>
      <c r="R568" s="17"/>
      <c r="S568" s="17"/>
      <c r="T568" s="17"/>
      <c r="U568" s="17"/>
      <c r="V568" s="17"/>
      <c r="X568" s="17"/>
      <c r="Y568" s="17"/>
      <c r="AA568" s="17"/>
      <c r="AB568" s="17"/>
      <c r="AC568" s="17"/>
      <c r="AD568" s="32"/>
    </row>
    <row r="569" spans="14:30" x14ac:dyDescent="0.25">
      <c r="N569" s="10"/>
      <c r="P569" s="48"/>
      <c r="Q569" s="17"/>
      <c r="R569" s="17"/>
      <c r="S569" s="17"/>
      <c r="T569" s="17"/>
      <c r="U569" s="17"/>
      <c r="V569" s="17"/>
      <c r="X569" s="17"/>
      <c r="Y569" s="17"/>
      <c r="AA569" s="17"/>
      <c r="AB569" s="17"/>
      <c r="AC569" s="17"/>
      <c r="AD569" s="32"/>
    </row>
    <row r="570" spans="14:30" x14ac:dyDescent="0.25">
      <c r="N570" s="10"/>
      <c r="P570" s="48"/>
      <c r="Q570" s="17"/>
      <c r="R570" s="17"/>
      <c r="S570" s="17"/>
      <c r="T570" s="17"/>
      <c r="U570" s="17"/>
      <c r="V570" s="17"/>
      <c r="X570" s="17"/>
      <c r="Y570" s="17"/>
      <c r="AA570" s="17"/>
      <c r="AB570" s="17"/>
      <c r="AC570" s="17"/>
      <c r="AD570" s="32"/>
    </row>
    <row r="571" spans="14:30" x14ac:dyDescent="0.25">
      <c r="N571" s="10"/>
      <c r="P571" s="48"/>
      <c r="Q571" s="17"/>
      <c r="R571" s="17"/>
      <c r="S571" s="17"/>
      <c r="T571" s="17"/>
      <c r="U571" s="17"/>
      <c r="V571" s="17"/>
      <c r="X571" s="17"/>
      <c r="Y571" s="17"/>
      <c r="AA571" s="17"/>
      <c r="AB571" s="17"/>
      <c r="AC571" s="17"/>
      <c r="AD571" s="32"/>
    </row>
    <row r="572" spans="14:30" x14ac:dyDescent="0.25">
      <c r="N572" s="10"/>
      <c r="P572" s="48"/>
      <c r="Q572" s="17"/>
      <c r="R572" s="17"/>
      <c r="S572" s="17"/>
      <c r="T572" s="17"/>
      <c r="U572" s="17"/>
      <c r="V572" s="17"/>
      <c r="X572" s="17"/>
      <c r="Y572" s="17"/>
      <c r="AA572" s="17"/>
      <c r="AB572" s="17"/>
      <c r="AC572" s="17"/>
      <c r="AD572" s="32"/>
    </row>
    <row r="573" spans="14:30" x14ac:dyDescent="0.25">
      <c r="N573" s="10"/>
      <c r="P573" s="48"/>
      <c r="Q573" s="17"/>
      <c r="R573" s="17"/>
      <c r="S573" s="17"/>
      <c r="T573" s="17"/>
      <c r="U573" s="17"/>
      <c r="V573" s="17"/>
      <c r="X573" s="17"/>
      <c r="Y573" s="17"/>
      <c r="AA573" s="17"/>
      <c r="AB573" s="17"/>
      <c r="AC573" s="17"/>
      <c r="AD573" s="32"/>
    </row>
    <row r="574" spans="14:30" x14ac:dyDescent="0.25">
      <c r="N574" s="10"/>
      <c r="P574" s="48"/>
      <c r="Q574" s="17"/>
      <c r="R574" s="17"/>
      <c r="S574" s="17"/>
      <c r="T574" s="17"/>
      <c r="U574" s="17"/>
      <c r="V574" s="17"/>
      <c r="X574" s="17"/>
      <c r="Y574" s="17"/>
      <c r="AA574" s="17"/>
      <c r="AB574" s="17"/>
      <c r="AC574" s="17"/>
      <c r="AD574" s="32"/>
    </row>
    <row r="575" spans="14:30" x14ac:dyDescent="0.25">
      <c r="N575" s="10"/>
      <c r="P575" s="48"/>
      <c r="Q575" s="17"/>
      <c r="R575" s="17"/>
      <c r="S575" s="17"/>
      <c r="T575" s="17"/>
      <c r="U575" s="17"/>
      <c r="V575" s="17"/>
      <c r="X575" s="17"/>
      <c r="Y575" s="17"/>
      <c r="AA575" s="17"/>
      <c r="AB575" s="17"/>
      <c r="AC575" s="17"/>
      <c r="AD575" s="32"/>
    </row>
    <row r="576" spans="14:30" x14ac:dyDescent="0.25">
      <c r="N576" s="10"/>
      <c r="P576" s="48"/>
      <c r="Q576" s="17"/>
      <c r="R576" s="17"/>
      <c r="S576" s="17"/>
      <c r="T576" s="17"/>
      <c r="U576" s="17"/>
      <c r="V576" s="17"/>
      <c r="X576" s="17"/>
      <c r="Y576" s="17"/>
      <c r="AA576" s="17"/>
      <c r="AB576" s="17"/>
      <c r="AC576" s="17"/>
      <c r="AD576" s="32"/>
    </row>
    <row r="577" spans="14:30" x14ac:dyDescent="0.25">
      <c r="N577" s="10"/>
      <c r="P577" s="48"/>
      <c r="Q577" s="17"/>
      <c r="R577" s="17"/>
      <c r="S577" s="17"/>
      <c r="T577" s="17"/>
      <c r="U577" s="17"/>
      <c r="V577" s="17"/>
      <c r="X577" s="17"/>
      <c r="Y577" s="17"/>
      <c r="AA577" s="17"/>
      <c r="AB577" s="17"/>
      <c r="AC577" s="17"/>
      <c r="AD577" s="32"/>
    </row>
    <row r="578" spans="14:30" x14ac:dyDescent="0.25">
      <c r="N578" s="10"/>
      <c r="P578" s="48"/>
      <c r="Q578" s="17"/>
      <c r="R578" s="17"/>
      <c r="S578" s="17"/>
      <c r="T578" s="17"/>
      <c r="U578" s="17"/>
      <c r="V578" s="17"/>
      <c r="X578" s="17"/>
      <c r="Y578" s="17"/>
      <c r="AA578" s="17"/>
      <c r="AB578" s="17"/>
      <c r="AC578" s="17"/>
      <c r="AD578" s="32"/>
    </row>
    <row r="579" spans="14:30" x14ac:dyDescent="0.25">
      <c r="N579" s="10"/>
      <c r="P579" s="48"/>
      <c r="Q579" s="17"/>
      <c r="R579" s="17"/>
      <c r="S579" s="17"/>
      <c r="T579" s="17"/>
      <c r="U579" s="17"/>
      <c r="V579" s="17"/>
      <c r="X579" s="17"/>
      <c r="Y579" s="17"/>
      <c r="AA579" s="17"/>
      <c r="AB579" s="17"/>
      <c r="AC579" s="17"/>
      <c r="AD579" s="32"/>
    </row>
    <row r="580" spans="14:30" x14ac:dyDescent="0.25">
      <c r="N580" s="10"/>
      <c r="P580" s="48"/>
      <c r="Q580" s="17"/>
      <c r="R580" s="17"/>
      <c r="S580" s="17"/>
      <c r="T580" s="17"/>
      <c r="U580" s="17"/>
      <c r="V580" s="17"/>
      <c r="X580" s="17"/>
      <c r="Y580" s="17"/>
      <c r="AA580" s="17"/>
      <c r="AB580" s="17"/>
      <c r="AC580" s="17"/>
      <c r="AD580" s="32"/>
    </row>
    <row r="581" spans="14:30" x14ac:dyDescent="0.25">
      <c r="N581" s="10"/>
      <c r="P581" s="48"/>
      <c r="Q581" s="17"/>
      <c r="R581" s="17"/>
      <c r="S581" s="17"/>
      <c r="T581" s="17"/>
      <c r="U581" s="17"/>
      <c r="V581" s="17"/>
      <c r="X581" s="17"/>
      <c r="Y581" s="17"/>
      <c r="AA581" s="17"/>
      <c r="AB581" s="17"/>
      <c r="AC581" s="17"/>
      <c r="AD581" s="32"/>
    </row>
    <row r="582" spans="14:30" x14ac:dyDescent="0.25">
      <c r="N582" s="10"/>
      <c r="P582" s="48"/>
      <c r="Q582" s="17"/>
      <c r="R582" s="17"/>
      <c r="S582" s="17"/>
      <c r="T582" s="17"/>
      <c r="U582" s="17"/>
      <c r="V582" s="17"/>
      <c r="X582" s="17"/>
      <c r="Y582" s="17"/>
      <c r="AA582" s="17"/>
      <c r="AB582" s="17"/>
      <c r="AC582" s="17"/>
      <c r="AD582" s="32"/>
    </row>
    <row r="583" spans="14:30" x14ac:dyDescent="0.25">
      <c r="N583" s="10"/>
      <c r="P583" s="48"/>
      <c r="Q583" s="17"/>
      <c r="R583" s="17"/>
      <c r="S583" s="17"/>
      <c r="T583" s="17"/>
      <c r="U583" s="17"/>
      <c r="V583" s="17"/>
      <c r="X583" s="17"/>
      <c r="Y583" s="17"/>
      <c r="AA583" s="17"/>
      <c r="AB583" s="17"/>
      <c r="AC583" s="17"/>
      <c r="AD583" s="32"/>
    </row>
    <row r="584" spans="14:30" x14ac:dyDescent="0.25">
      <c r="N584" s="10"/>
      <c r="P584" s="48"/>
      <c r="Q584" s="17"/>
      <c r="R584" s="17"/>
      <c r="S584" s="17"/>
      <c r="T584" s="17"/>
      <c r="U584" s="17"/>
      <c r="V584" s="17"/>
      <c r="X584" s="17"/>
      <c r="Y584" s="17"/>
      <c r="AA584" s="17"/>
      <c r="AB584" s="17"/>
      <c r="AC584" s="17"/>
      <c r="AD584" s="32"/>
    </row>
    <row r="585" spans="14:30" x14ac:dyDescent="0.25">
      <c r="N585" s="10"/>
      <c r="P585" s="48"/>
      <c r="Q585" s="17"/>
      <c r="R585" s="17"/>
      <c r="S585" s="17"/>
      <c r="T585" s="17"/>
      <c r="U585" s="17"/>
      <c r="V585" s="17"/>
      <c r="X585" s="17"/>
      <c r="Y585" s="17"/>
      <c r="AA585" s="17"/>
      <c r="AB585" s="17"/>
      <c r="AC585" s="17"/>
      <c r="AD585" s="32"/>
    </row>
    <row r="586" spans="14:30" x14ac:dyDescent="0.25">
      <c r="N586" s="10"/>
      <c r="P586" s="48"/>
      <c r="Q586" s="17"/>
      <c r="R586" s="17"/>
      <c r="S586" s="17"/>
      <c r="T586" s="17"/>
      <c r="U586" s="17"/>
      <c r="V586" s="17"/>
      <c r="X586" s="17"/>
      <c r="Y586" s="17"/>
      <c r="AA586" s="17"/>
      <c r="AB586" s="17"/>
      <c r="AC586" s="17"/>
      <c r="AD586" s="32"/>
    </row>
    <row r="587" spans="14:30" x14ac:dyDescent="0.25">
      <c r="N587" s="10"/>
      <c r="P587" s="48"/>
      <c r="Q587" s="17"/>
      <c r="R587" s="17"/>
      <c r="S587" s="17"/>
      <c r="T587" s="17"/>
      <c r="U587" s="17"/>
      <c r="V587" s="17"/>
      <c r="X587" s="17"/>
      <c r="Y587" s="17"/>
      <c r="AA587" s="17"/>
      <c r="AB587" s="17"/>
      <c r="AC587" s="17"/>
      <c r="AD587" s="32"/>
    </row>
    <row r="588" spans="14:30" x14ac:dyDescent="0.25">
      <c r="N588" s="10"/>
      <c r="P588" s="48"/>
      <c r="Q588" s="17"/>
      <c r="R588" s="17"/>
      <c r="S588" s="17"/>
      <c r="T588" s="17"/>
      <c r="U588" s="17"/>
      <c r="V588" s="17"/>
      <c r="X588" s="17"/>
      <c r="Y588" s="17"/>
      <c r="AA588" s="17"/>
      <c r="AB588" s="17"/>
      <c r="AC588" s="17"/>
      <c r="AD588" s="32"/>
    </row>
    <row r="589" spans="14:30" x14ac:dyDescent="0.25">
      <c r="N589" s="10"/>
      <c r="P589" s="48"/>
      <c r="Q589" s="17"/>
      <c r="R589" s="17"/>
      <c r="S589" s="17"/>
      <c r="T589" s="17"/>
      <c r="U589" s="17"/>
      <c r="V589" s="17"/>
      <c r="X589" s="17"/>
      <c r="Y589" s="17"/>
      <c r="AA589" s="17"/>
      <c r="AB589" s="17"/>
      <c r="AC589" s="17"/>
      <c r="AD589" s="32"/>
    </row>
    <row r="590" spans="14:30" x14ac:dyDescent="0.25">
      <c r="N590" s="10"/>
      <c r="P590" s="48"/>
      <c r="Q590" s="17"/>
      <c r="R590" s="17"/>
      <c r="S590" s="17"/>
      <c r="T590" s="17"/>
      <c r="U590" s="17"/>
      <c r="V590" s="17"/>
      <c r="X590" s="17"/>
      <c r="Y590" s="17"/>
      <c r="AA590" s="17"/>
      <c r="AB590" s="17"/>
      <c r="AC590" s="17"/>
      <c r="AD590" s="32"/>
    </row>
    <row r="591" spans="14:30" x14ac:dyDescent="0.25">
      <c r="N591" s="10"/>
      <c r="P591" s="48"/>
      <c r="Q591" s="17"/>
      <c r="R591" s="17"/>
      <c r="S591" s="17"/>
      <c r="T591" s="17"/>
      <c r="U591" s="17"/>
      <c r="V591" s="17"/>
      <c r="X591" s="17"/>
      <c r="Y591" s="17"/>
      <c r="AA591" s="17"/>
      <c r="AB591" s="17"/>
      <c r="AC591" s="17"/>
      <c r="AD591" s="32"/>
    </row>
    <row r="592" spans="14:30" x14ac:dyDescent="0.25">
      <c r="N592" s="10"/>
      <c r="P592" s="48"/>
      <c r="Q592" s="17"/>
      <c r="R592" s="17"/>
      <c r="S592" s="17"/>
      <c r="T592" s="17"/>
      <c r="U592" s="17"/>
      <c r="V592" s="17"/>
      <c r="X592" s="17"/>
      <c r="Y592" s="17"/>
      <c r="AA592" s="17"/>
      <c r="AB592" s="17"/>
      <c r="AC592" s="17"/>
      <c r="AD592" s="32"/>
    </row>
    <row r="593" spans="14:30" x14ac:dyDescent="0.25">
      <c r="N593" s="10"/>
      <c r="P593" s="48"/>
      <c r="Q593" s="17"/>
      <c r="R593" s="17"/>
      <c r="S593" s="17"/>
      <c r="T593" s="17"/>
      <c r="U593" s="17"/>
      <c r="V593" s="17"/>
      <c r="X593" s="17"/>
      <c r="Y593" s="17"/>
      <c r="AA593" s="17"/>
      <c r="AB593" s="17"/>
      <c r="AC593" s="17"/>
      <c r="AD593" s="32"/>
    </row>
    <row r="594" spans="14:30" x14ac:dyDescent="0.25">
      <c r="N594" s="10"/>
      <c r="P594" s="48"/>
      <c r="Q594" s="17"/>
      <c r="R594" s="17"/>
      <c r="S594" s="17"/>
      <c r="T594" s="17"/>
      <c r="U594" s="17"/>
      <c r="V594" s="17"/>
      <c r="X594" s="17"/>
      <c r="Y594" s="17"/>
      <c r="AA594" s="17"/>
      <c r="AB594" s="17"/>
      <c r="AC594" s="17"/>
      <c r="AD594" s="32"/>
    </row>
    <row r="595" spans="14:30" x14ac:dyDescent="0.25">
      <c r="N595" s="10"/>
      <c r="P595" s="48"/>
      <c r="Q595" s="17"/>
      <c r="R595" s="17"/>
      <c r="S595" s="17"/>
      <c r="T595" s="17"/>
      <c r="U595" s="17"/>
      <c r="V595" s="17"/>
      <c r="X595" s="17"/>
      <c r="Y595" s="17"/>
      <c r="AA595" s="17"/>
      <c r="AB595" s="17"/>
      <c r="AC595" s="17"/>
      <c r="AD595" s="32"/>
    </row>
    <row r="596" spans="14:30" x14ac:dyDescent="0.25">
      <c r="N596" s="10"/>
      <c r="P596" s="48"/>
      <c r="Q596" s="17"/>
      <c r="R596" s="17"/>
      <c r="S596" s="17"/>
      <c r="T596" s="17"/>
      <c r="U596" s="17"/>
      <c r="V596" s="17"/>
      <c r="X596" s="17"/>
      <c r="Y596" s="17"/>
      <c r="AA596" s="17"/>
      <c r="AB596" s="17"/>
      <c r="AC596" s="17"/>
      <c r="AD596" s="32"/>
    </row>
    <row r="597" spans="14:30" x14ac:dyDescent="0.25">
      <c r="N597" s="10"/>
      <c r="P597" s="48"/>
      <c r="Q597" s="17"/>
      <c r="R597" s="17"/>
      <c r="S597" s="17"/>
      <c r="T597" s="17"/>
      <c r="U597" s="17"/>
      <c r="V597" s="17"/>
      <c r="X597" s="17"/>
      <c r="Y597" s="17"/>
      <c r="AA597" s="17"/>
      <c r="AB597" s="17"/>
      <c r="AC597" s="17"/>
      <c r="AD597" s="32"/>
    </row>
    <row r="598" spans="14:30" x14ac:dyDescent="0.25">
      <c r="N598" s="10"/>
      <c r="P598" s="48"/>
      <c r="Q598" s="17"/>
      <c r="R598" s="17"/>
      <c r="S598" s="17"/>
      <c r="T598" s="17"/>
      <c r="U598" s="17"/>
      <c r="V598" s="17"/>
      <c r="X598" s="17"/>
      <c r="Y598" s="17"/>
      <c r="AA598" s="17"/>
      <c r="AB598" s="17"/>
      <c r="AC598" s="17"/>
      <c r="AD598" s="32"/>
    </row>
    <row r="599" spans="14:30" x14ac:dyDescent="0.25">
      <c r="N599" s="10"/>
      <c r="P599" s="48"/>
      <c r="Q599" s="17"/>
      <c r="R599" s="17"/>
      <c r="S599" s="17"/>
      <c r="T599" s="17"/>
      <c r="U599" s="17"/>
      <c r="V599" s="17"/>
      <c r="X599" s="17"/>
      <c r="Y599" s="17"/>
      <c r="AA599" s="17"/>
      <c r="AB599" s="17"/>
      <c r="AC599" s="17"/>
      <c r="AD599" s="32"/>
    </row>
    <row r="600" spans="14:30" x14ac:dyDescent="0.25">
      <c r="N600" s="10"/>
      <c r="P600" s="48"/>
      <c r="Q600" s="17"/>
      <c r="R600" s="17"/>
      <c r="S600" s="17"/>
      <c r="T600" s="17"/>
      <c r="U600" s="17"/>
      <c r="V600" s="17"/>
      <c r="X600" s="17"/>
      <c r="Y600" s="17"/>
      <c r="AA600" s="17"/>
      <c r="AB600" s="17"/>
      <c r="AC600" s="17"/>
      <c r="AD600" s="32"/>
    </row>
    <row r="601" spans="14:30" x14ac:dyDescent="0.25">
      <c r="N601" s="10"/>
      <c r="P601" s="48"/>
      <c r="Q601" s="17"/>
      <c r="R601" s="17"/>
      <c r="S601" s="17"/>
      <c r="T601" s="17"/>
      <c r="U601" s="17"/>
      <c r="V601" s="17"/>
      <c r="X601" s="17"/>
      <c r="Y601" s="17"/>
      <c r="AA601" s="17"/>
      <c r="AB601" s="17"/>
      <c r="AC601" s="17"/>
      <c r="AD601" s="32"/>
    </row>
    <row r="602" spans="14:30" x14ac:dyDescent="0.25">
      <c r="N602" s="10"/>
      <c r="P602" s="48"/>
      <c r="Q602" s="17"/>
      <c r="R602" s="17"/>
      <c r="S602" s="17"/>
      <c r="T602" s="17"/>
      <c r="U602" s="17"/>
      <c r="V602" s="17"/>
      <c r="X602" s="17"/>
      <c r="Y602" s="17"/>
      <c r="AA602" s="17"/>
      <c r="AB602" s="17"/>
      <c r="AC602" s="17"/>
      <c r="AD602" s="32"/>
    </row>
    <row r="603" spans="14:30" x14ac:dyDescent="0.25">
      <c r="N603" s="10"/>
      <c r="P603" s="48"/>
      <c r="Q603" s="17"/>
      <c r="R603" s="17"/>
      <c r="S603" s="17"/>
      <c r="T603" s="17"/>
      <c r="U603" s="17"/>
      <c r="V603" s="17"/>
      <c r="X603" s="17"/>
      <c r="Y603" s="17"/>
      <c r="AA603" s="17"/>
      <c r="AB603" s="17"/>
      <c r="AC603" s="17"/>
      <c r="AD603" s="32"/>
    </row>
    <row r="604" spans="14:30" x14ac:dyDescent="0.25">
      <c r="N604" s="10"/>
      <c r="P604" s="48"/>
      <c r="Q604" s="17"/>
      <c r="R604" s="17"/>
      <c r="S604" s="17"/>
      <c r="T604" s="17"/>
      <c r="U604" s="17"/>
      <c r="V604" s="17"/>
      <c r="X604" s="17"/>
      <c r="Y604" s="17"/>
      <c r="AA604" s="17"/>
      <c r="AB604" s="17"/>
      <c r="AC604" s="17"/>
      <c r="AD604" s="32"/>
    </row>
    <row r="605" spans="14:30" x14ac:dyDescent="0.25">
      <c r="N605" s="10"/>
      <c r="P605" s="48"/>
      <c r="Q605" s="17"/>
      <c r="R605" s="17"/>
      <c r="S605" s="17"/>
      <c r="T605" s="17"/>
      <c r="U605" s="17"/>
      <c r="V605" s="17"/>
      <c r="X605" s="17"/>
      <c r="Y605" s="17"/>
      <c r="AA605" s="17"/>
      <c r="AB605" s="17"/>
      <c r="AC605" s="17"/>
      <c r="AD605" s="32"/>
    </row>
    <row r="606" spans="14:30" x14ac:dyDescent="0.25">
      <c r="N606" s="10"/>
      <c r="P606" s="48"/>
      <c r="Q606" s="17"/>
      <c r="R606" s="17"/>
      <c r="S606" s="17"/>
      <c r="T606" s="17"/>
      <c r="U606" s="17"/>
      <c r="V606" s="17"/>
      <c r="X606" s="17"/>
      <c r="Y606" s="17"/>
      <c r="AA606" s="17"/>
      <c r="AB606" s="17"/>
      <c r="AC606" s="17"/>
      <c r="AD606" s="32"/>
    </row>
    <row r="607" spans="14:30" x14ac:dyDescent="0.25">
      <c r="N607" s="10"/>
      <c r="P607" s="48"/>
      <c r="Q607" s="17"/>
      <c r="R607" s="17"/>
      <c r="S607" s="17"/>
      <c r="T607" s="17"/>
      <c r="U607" s="17"/>
      <c r="V607" s="17"/>
      <c r="X607" s="17"/>
      <c r="Y607" s="17"/>
      <c r="AA607" s="17"/>
      <c r="AB607" s="17"/>
      <c r="AC607" s="17"/>
      <c r="AD607" s="32"/>
    </row>
    <row r="608" spans="14:30" x14ac:dyDescent="0.25">
      <c r="N608" s="10"/>
      <c r="P608" s="48"/>
      <c r="Q608" s="17"/>
      <c r="R608" s="17"/>
      <c r="S608" s="17"/>
      <c r="T608" s="17"/>
      <c r="U608" s="17"/>
      <c r="V608" s="17"/>
      <c r="X608" s="17"/>
      <c r="Y608" s="17"/>
      <c r="AA608" s="17"/>
      <c r="AB608" s="17"/>
      <c r="AC608" s="17"/>
      <c r="AD608" s="32"/>
    </row>
    <row r="609" spans="14:30" x14ac:dyDescent="0.25">
      <c r="N609" s="10"/>
      <c r="P609" s="48"/>
      <c r="Q609" s="17"/>
      <c r="R609" s="17"/>
      <c r="S609" s="17"/>
      <c r="T609" s="17"/>
      <c r="U609" s="17"/>
      <c r="V609" s="17"/>
      <c r="X609" s="17"/>
      <c r="Y609" s="17"/>
      <c r="AA609" s="17"/>
      <c r="AB609" s="17"/>
      <c r="AC609" s="17"/>
      <c r="AD609" s="32"/>
    </row>
    <row r="610" spans="14:30" x14ac:dyDescent="0.25">
      <c r="N610" s="10"/>
      <c r="P610" s="48"/>
      <c r="Q610" s="17"/>
      <c r="R610" s="17"/>
      <c r="S610" s="17"/>
      <c r="T610" s="17"/>
      <c r="U610" s="17"/>
      <c r="V610" s="17"/>
      <c r="X610" s="17"/>
      <c r="Y610" s="17"/>
      <c r="AA610" s="17"/>
      <c r="AB610" s="17"/>
      <c r="AC610" s="17"/>
      <c r="AD610" s="32"/>
    </row>
    <row r="611" spans="14:30" x14ac:dyDescent="0.25">
      <c r="N611" s="10"/>
      <c r="P611" s="48"/>
      <c r="Q611" s="17"/>
      <c r="R611" s="17"/>
      <c r="S611" s="17"/>
      <c r="T611" s="17"/>
      <c r="U611" s="17"/>
      <c r="V611" s="17"/>
      <c r="X611" s="17"/>
      <c r="Y611" s="17"/>
      <c r="AA611" s="17"/>
      <c r="AB611" s="17"/>
      <c r="AC611" s="17"/>
      <c r="AD611" s="32"/>
    </row>
    <row r="612" spans="14:30" x14ac:dyDescent="0.25">
      <c r="N612" s="10"/>
      <c r="P612" s="48"/>
      <c r="Q612" s="17"/>
      <c r="R612" s="17"/>
      <c r="S612" s="17"/>
      <c r="T612" s="17"/>
      <c r="U612" s="17"/>
      <c r="V612" s="17"/>
      <c r="X612" s="17"/>
      <c r="Y612" s="17"/>
      <c r="AA612" s="17"/>
      <c r="AB612" s="17"/>
      <c r="AC612" s="17"/>
      <c r="AD612" s="32"/>
    </row>
    <row r="613" spans="14:30" x14ac:dyDescent="0.25">
      <c r="N613" s="10"/>
      <c r="P613" s="48"/>
      <c r="Q613" s="17"/>
      <c r="R613" s="17"/>
      <c r="S613" s="17"/>
      <c r="T613" s="17"/>
      <c r="U613" s="17"/>
      <c r="V613" s="17"/>
      <c r="X613" s="17"/>
      <c r="Y613" s="17"/>
      <c r="AA613" s="17"/>
      <c r="AB613" s="17"/>
      <c r="AC613" s="17"/>
      <c r="AD613" s="32"/>
    </row>
    <row r="614" spans="14:30" x14ac:dyDescent="0.25">
      <c r="N614" s="10"/>
      <c r="P614" s="48"/>
      <c r="Q614" s="17"/>
      <c r="R614" s="17"/>
      <c r="S614" s="17"/>
      <c r="T614" s="17"/>
      <c r="U614" s="17"/>
      <c r="V614" s="17"/>
      <c r="X614" s="17"/>
      <c r="Y614" s="17"/>
      <c r="AA614" s="17"/>
      <c r="AB614" s="17"/>
      <c r="AC614" s="17"/>
      <c r="AD614" s="32"/>
    </row>
    <row r="615" spans="14:30" x14ac:dyDescent="0.25">
      <c r="N615" s="10"/>
      <c r="P615" s="48"/>
      <c r="Q615" s="17"/>
      <c r="R615" s="17"/>
      <c r="S615" s="17"/>
      <c r="T615" s="17"/>
      <c r="U615" s="17"/>
      <c r="V615" s="17"/>
      <c r="X615" s="17"/>
      <c r="Y615" s="17"/>
      <c r="AA615" s="17"/>
      <c r="AB615" s="17"/>
      <c r="AC615" s="17"/>
      <c r="AD615" s="32"/>
    </row>
    <row r="616" spans="14:30" x14ac:dyDescent="0.25">
      <c r="N616" s="10"/>
      <c r="P616" s="48"/>
      <c r="Q616" s="17"/>
      <c r="R616" s="17"/>
      <c r="S616" s="17"/>
      <c r="T616" s="17"/>
      <c r="U616" s="17"/>
      <c r="V616" s="17"/>
      <c r="X616" s="17"/>
      <c r="Y616" s="17"/>
      <c r="AA616" s="17"/>
      <c r="AB616" s="17"/>
      <c r="AC616" s="17"/>
      <c r="AD616" s="32"/>
    </row>
    <row r="617" spans="14:30" x14ac:dyDescent="0.25">
      <c r="N617" s="10"/>
      <c r="P617" s="48"/>
      <c r="Q617" s="17"/>
      <c r="R617" s="17"/>
      <c r="S617" s="17"/>
      <c r="T617" s="17"/>
      <c r="U617" s="17"/>
      <c r="V617" s="17"/>
      <c r="X617" s="17"/>
      <c r="Y617" s="17"/>
      <c r="AA617" s="17"/>
      <c r="AB617" s="17"/>
      <c r="AC617" s="17"/>
      <c r="AD617" s="32"/>
    </row>
    <row r="618" spans="14:30" x14ac:dyDescent="0.25">
      <c r="N618" s="10"/>
      <c r="P618" s="48"/>
      <c r="Q618" s="17"/>
      <c r="R618" s="17"/>
      <c r="S618" s="17"/>
      <c r="T618" s="17"/>
      <c r="U618" s="17"/>
      <c r="V618" s="17"/>
      <c r="X618" s="17"/>
      <c r="Y618" s="17"/>
      <c r="AA618" s="17"/>
      <c r="AB618" s="17"/>
      <c r="AC618" s="17"/>
      <c r="AD618" s="32"/>
    </row>
    <row r="619" spans="14:30" x14ac:dyDescent="0.25">
      <c r="N619" s="10"/>
      <c r="P619" s="48"/>
      <c r="Q619" s="17"/>
      <c r="R619" s="17"/>
      <c r="S619" s="17"/>
      <c r="T619" s="17"/>
      <c r="U619" s="17"/>
      <c r="V619" s="17"/>
      <c r="X619" s="17"/>
      <c r="Y619" s="17"/>
      <c r="AA619" s="17"/>
      <c r="AB619" s="17"/>
      <c r="AC619" s="17"/>
      <c r="AD619" s="32"/>
    </row>
    <row r="620" spans="14:30" x14ac:dyDescent="0.25">
      <c r="N620" s="10"/>
      <c r="P620" s="48"/>
      <c r="Q620" s="17"/>
      <c r="R620" s="17"/>
      <c r="S620" s="17"/>
      <c r="T620" s="17"/>
      <c r="U620" s="17"/>
      <c r="V620" s="17"/>
      <c r="X620" s="17"/>
      <c r="Y620" s="17"/>
      <c r="AA620" s="17"/>
      <c r="AB620" s="17"/>
      <c r="AC620" s="17"/>
      <c r="AD620" s="32"/>
    </row>
    <row r="621" spans="14:30" x14ac:dyDescent="0.25">
      <c r="N621" s="10"/>
      <c r="P621" s="48"/>
      <c r="Q621" s="17"/>
      <c r="R621" s="17"/>
      <c r="S621" s="17"/>
      <c r="T621" s="17"/>
      <c r="U621" s="17"/>
      <c r="V621" s="17"/>
      <c r="X621" s="17"/>
      <c r="Y621" s="17"/>
      <c r="AA621" s="17"/>
      <c r="AB621" s="17"/>
      <c r="AC621" s="17"/>
      <c r="AD621" s="32"/>
    </row>
    <row r="622" spans="14:30" x14ac:dyDescent="0.25">
      <c r="N622" s="10"/>
      <c r="P622" s="48"/>
      <c r="Q622" s="17"/>
      <c r="R622" s="17"/>
      <c r="S622" s="17"/>
      <c r="T622" s="17"/>
      <c r="U622" s="17"/>
      <c r="V622" s="17"/>
      <c r="X622" s="17"/>
      <c r="Y622" s="17"/>
      <c r="AA622" s="17"/>
      <c r="AB622" s="17"/>
      <c r="AC622" s="17"/>
      <c r="AD622" s="32"/>
    </row>
    <row r="623" spans="14:30" x14ac:dyDescent="0.25">
      <c r="N623" s="10"/>
      <c r="P623" s="48"/>
      <c r="Q623" s="17"/>
      <c r="R623" s="17"/>
      <c r="S623" s="17"/>
      <c r="T623" s="17"/>
      <c r="U623" s="17"/>
      <c r="V623" s="17"/>
      <c r="X623" s="17"/>
      <c r="Y623" s="17"/>
      <c r="AA623" s="17"/>
      <c r="AB623" s="17"/>
      <c r="AC623" s="17"/>
      <c r="AD623" s="32"/>
    </row>
    <row r="624" spans="14:30" x14ac:dyDescent="0.25">
      <c r="N624" s="10"/>
      <c r="P624" s="48"/>
      <c r="Q624" s="17"/>
      <c r="R624" s="17"/>
      <c r="S624" s="17"/>
      <c r="T624" s="17"/>
      <c r="U624" s="17"/>
      <c r="V624" s="17"/>
      <c r="X624" s="17"/>
      <c r="Y624" s="17"/>
      <c r="AA624" s="17"/>
      <c r="AB624" s="17"/>
      <c r="AC624" s="17"/>
      <c r="AD624" s="32"/>
    </row>
    <row r="625" spans="14:30" x14ac:dyDescent="0.25">
      <c r="N625" s="10"/>
      <c r="P625" s="48"/>
      <c r="Q625" s="17"/>
      <c r="R625" s="17"/>
      <c r="S625" s="17"/>
      <c r="T625" s="17"/>
      <c r="U625" s="17"/>
      <c r="V625" s="17"/>
      <c r="X625" s="17"/>
      <c r="Y625" s="17"/>
      <c r="AA625" s="17"/>
      <c r="AB625" s="17"/>
      <c r="AC625" s="17"/>
      <c r="AD625" s="32"/>
    </row>
    <row r="626" spans="14:30" x14ac:dyDescent="0.25">
      <c r="N626" s="10"/>
      <c r="P626" s="48"/>
      <c r="Q626" s="17"/>
      <c r="R626" s="17"/>
      <c r="S626" s="17"/>
      <c r="T626" s="17"/>
      <c r="U626" s="17"/>
      <c r="V626" s="17"/>
      <c r="X626" s="17"/>
      <c r="Y626" s="17"/>
      <c r="AA626" s="17"/>
      <c r="AB626" s="17"/>
      <c r="AC626" s="17"/>
      <c r="AD626" s="32"/>
    </row>
    <row r="627" spans="14:30" x14ac:dyDescent="0.25">
      <c r="N627" s="10"/>
      <c r="P627" s="48"/>
      <c r="Q627" s="17"/>
      <c r="R627" s="17"/>
      <c r="S627" s="17"/>
      <c r="T627" s="17"/>
      <c r="U627" s="17"/>
      <c r="V627" s="17"/>
      <c r="X627" s="17"/>
      <c r="Y627" s="17"/>
      <c r="AA627" s="17"/>
      <c r="AB627" s="17"/>
      <c r="AC627" s="17"/>
      <c r="AD627" s="32"/>
    </row>
    <row r="628" spans="14:30" x14ac:dyDescent="0.25">
      <c r="N628" s="10"/>
      <c r="P628" s="48"/>
      <c r="Q628" s="17"/>
      <c r="R628" s="17"/>
      <c r="S628" s="17"/>
      <c r="T628" s="17"/>
      <c r="U628" s="17"/>
      <c r="V628" s="17"/>
      <c r="X628" s="17"/>
      <c r="Y628" s="17"/>
      <c r="AA628" s="17"/>
      <c r="AB628" s="17"/>
      <c r="AC628" s="17"/>
      <c r="AD628" s="32"/>
    </row>
    <row r="629" spans="14:30" x14ac:dyDescent="0.25">
      <c r="N629" s="10"/>
      <c r="P629" s="48"/>
      <c r="Q629" s="17"/>
      <c r="R629" s="17"/>
      <c r="S629" s="17"/>
      <c r="T629" s="17"/>
      <c r="U629" s="17"/>
      <c r="V629" s="17"/>
      <c r="X629" s="17"/>
      <c r="Y629" s="17"/>
      <c r="AA629" s="17"/>
      <c r="AB629" s="17"/>
      <c r="AC629" s="17"/>
      <c r="AD629" s="32"/>
    </row>
    <row r="630" spans="14:30" x14ac:dyDescent="0.25">
      <c r="N630" s="10"/>
      <c r="P630" s="48"/>
      <c r="Q630" s="17"/>
      <c r="R630" s="17"/>
      <c r="S630" s="17"/>
      <c r="T630" s="17"/>
      <c r="U630" s="17"/>
      <c r="V630" s="17"/>
      <c r="X630" s="17"/>
      <c r="Y630" s="17"/>
      <c r="AA630" s="17"/>
      <c r="AB630" s="17"/>
      <c r="AC630" s="17"/>
      <c r="AD630" s="32"/>
    </row>
    <row r="631" spans="14:30" x14ac:dyDescent="0.25">
      <c r="N631" s="10"/>
      <c r="P631" s="48"/>
      <c r="Q631" s="17"/>
      <c r="R631" s="17"/>
      <c r="S631" s="17"/>
      <c r="T631" s="17"/>
      <c r="U631" s="17"/>
      <c r="V631" s="17"/>
      <c r="X631" s="17"/>
      <c r="Y631" s="17"/>
      <c r="AA631" s="17"/>
      <c r="AB631" s="17"/>
      <c r="AC631" s="17"/>
      <c r="AD631" s="32"/>
    </row>
    <row r="632" spans="14:30" x14ac:dyDescent="0.25">
      <c r="N632" s="10"/>
      <c r="P632" s="48"/>
      <c r="Q632" s="17"/>
      <c r="R632" s="17"/>
      <c r="S632" s="17"/>
      <c r="T632" s="17"/>
      <c r="U632" s="17"/>
      <c r="V632" s="17"/>
      <c r="X632" s="17"/>
      <c r="Y632" s="17"/>
      <c r="AA632" s="17"/>
      <c r="AB632" s="17"/>
      <c r="AC632" s="17"/>
      <c r="AD632" s="32"/>
    </row>
    <row r="633" spans="14:30" x14ac:dyDescent="0.25">
      <c r="N633" s="10"/>
      <c r="P633" s="48"/>
      <c r="Q633" s="17"/>
      <c r="R633" s="17"/>
      <c r="S633" s="17"/>
      <c r="T633" s="17"/>
      <c r="U633" s="17"/>
      <c r="V633" s="17"/>
      <c r="X633" s="17"/>
      <c r="Y633" s="17"/>
      <c r="AA633" s="17"/>
      <c r="AB633" s="17"/>
      <c r="AC633" s="17"/>
      <c r="AD633" s="32"/>
    </row>
    <row r="634" spans="14:30" x14ac:dyDescent="0.25">
      <c r="N634" s="10"/>
      <c r="P634" s="48"/>
      <c r="Q634" s="17"/>
      <c r="R634" s="17"/>
      <c r="S634" s="17"/>
      <c r="T634" s="17"/>
      <c r="U634" s="17"/>
      <c r="V634" s="17"/>
      <c r="X634" s="17"/>
      <c r="Y634" s="17"/>
      <c r="AA634" s="17"/>
      <c r="AB634" s="17"/>
      <c r="AC634" s="17"/>
      <c r="AD634" s="32"/>
    </row>
    <row r="635" spans="14:30" x14ac:dyDescent="0.25">
      <c r="N635" s="10"/>
      <c r="P635" s="48"/>
      <c r="Q635" s="17"/>
      <c r="R635" s="17"/>
      <c r="S635" s="17"/>
      <c r="T635" s="17"/>
      <c r="U635" s="17"/>
      <c r="V635" s="17"/>
      <c r="X635" s="17"/>
      <c r="Y635" s="17"/>
      <c r="AA635" s="17"/>
      <c r="AB635" s="17"/>
      <c r="AC635" s="17"/>
      <c r="AD635" s="32"/>
    </row>
    <row r="636" spans="14:30" x14ac:dyDescent="0.25">
      <c r="N636" s="10"/>
      <c r="P636" s="48"/>
      <c r="Q636" s="17"/>
      <c r="R636" s="17"/>
      <c r="S636" s="17"/>
      <c r="T636" s="17"/>
      <c r="U636" s="17"/>
      <c r="V636" s="17"/>
      <c r="X636" s="17"/>
      <c r="Y636" s="17"/>
      <c r="AA636" s="17"/>
      <c r="AB636" s="17"/>
      <c r="AC636" s="17"/>
      <c r="AD636" s="32"/>
    </row>
    <row r="637" spans="14:30" x14ac:dyDescent="0.25">
      <c r="N637" s="10"/>
      <c r="P637" s="48"/>
      <c r="Q637" s="17"/>
      <c r="R637" s="17"/>
      <c r="S637" s="17"/>
      <c r="T637" s="17"/>
      <c r="U637" s="17"/>
      <c r="V637" s="17"/>
      <c r="X637" s="17"/>
      <c r="Y637" s="17"/>
      <c r="AA637" s="17"/>
      <c r="AB637" s="17"/>
      <c r="AC637" s="17"/>
      <c r="AD637" s="32"/>
    </row>
    <row r="638" spans="14:30" x14ac:dyDescent="0.25">
      <c r="N638" s="10"/>
      <c r="P638" s="48"/>
      <c r="Q638" s="17"/>
      <c r="R638" s="17"/>
      <c r="S638" s="17"/>
      <c r="T638" s="17"/>
      <c r="U638" s="17"/>
      <c r="V638" s="17"/>
      <c r="X638" s="17"/>
      <c r="Y638" s="17"/>
      <c r="AA638" s="17"/>
      <c r="AB638" s="17"/>
      <c r="AC638" s="17"/>
      <c r="AD638" s="32"/>
    </row>
    <row r="639" spans="14:30" x14ac:dyDescent="0.25">
      <c r="N639" s="10"/>
      <c r="P639" s="48"/>
      <c r="Q639" s="17"/>
      <c r="R639" s="17"/>
      <c r="S639" s="17"/>
      <c r="T639" s="17"/>
      <c r="U639" s="17"/>
      <c r="V639" s="17"/>
      <c r="X639" s="17"/>
      <c r="Y639" s="17"/>
      <c r="AA639" s="17"/>
      <c r="AB639" s="17"/>
      <c r="AC639" s="17"/>
      <c r="AD639" s="32"/>
    </row>
    <row r="640" spans="14:30" x14ac:dyDescent="0.25">
      <c r="N640" s="10"/>
      <c r="P640" s="48"/>
      <c r="Q640" s="17"/>
      <c r="R640" s="17"/>
      <c r="S640" s="17"/>
      <c r="T640" s="17"/>
      <c r="U640" s="17"/>
      <c r="V640" s="17"/>
      <c r="X640" s="17"/>
      <c r="Y640" s="17"/>
      <c r="AA640" s="17"/>
      <c r="AB640" s="17"/>
      <c r="AC640" s="17"/>
      <c r="AD640" s="32"/>
    </row>
    <row r="641" spans="14:30" x14ac:dyDescent="0.25">
      <c r="N641" s="10"/>
      <c r="P641" s="48"/>
      <c r="Q641" s="17"/>
      <c r="R641" s="17"/>
      <c r="S641" s="17"/>
      <c r="T641" s="17"/>
      <c r="U641" s="17"/>
      <c r="V641" s="17"/>
      <c r="X641" s="17"/>
      <c r="Y641" s="17"/>
      <c r="AA641" s="17"/>
      <c r="AB641" s="17"/>
      <c r="AC641" s="17"/>
      <c r="AD641" s="32"/>
    </row>
    <row r="642" spans="14:30" x14ac:dyDescent="0.25">
      <c r="N642" s="10"/>
      <c r="P642" s="48"/>
      <c r="Q642" s="17"/>
      <c r="R642" s="17"/>
      <c r="S642" s="17"/>
      <c r="T642" s="17"/>
      <c r="U642" s="17"/>
      <c r="V642" s="17"/>
      <c r="X642" s="17"/>
      <c r="Y642" s="17"/>
      <c r="AA642" s="17"/>
      <c r="AB642" s="17"/>
      <c r="AC642" s="17"/>
      <c r="AD642" s="32"/>
    </row>
    <row r="643" spans="14:30" x14ac:dyDescent="0.25">
      <c r="N643" s="10"/>
      <c r="P643" s="48"/>
      <c r="Q643" s="17"/>
      <c r="R643" s="17"/>
      <c r="S643" s="17"/>
      <c r="T643" s="17"/>
      <c r="U643" s="17"/>
      <c r="V643" s="17"/>
      <c r="X643" s="17"/>
      <c r="Y643" s="17"/>
      <c r="AA643" s="17"/>
      <c r="AB643" s="17"/>
      <c r="AC643" s="17"/>
      <c r="AD643" s="32"/>
    </row>
    <row r="644" spans="14:30" x14ac:dyDescent="0.25">
      <c r="N644" s="10"/>
      <c r="P644" s="48"/>
      <c r="Q644" s="17"/>
      <c r="R644" s="17"/>
      <c r="S644" s="17"/>
      <c r="T644" s="17"/>
      <c r="U644" s="17"/>
      <c r="V644" s="17"/>
      <c r="X644" s="17"/>
      <c r="Y644" s="17"/>
      <c r="AA644" s="17"/>
      <c r="AB644" s="17"/>
      <c r="AC644" s="17"/>
      <c r="AD644" s="32"/>
    </row>
    <row r="645" spans="14:30" x14ac:dyDescent="0.25">
      <c r="N645" s="10"/>
      <c r="P645" s="48"/>
      <c r="Q645" s="17"/>
      <c r="R645" s="17"/>
      <c r="S645" s="17"/>
      <c r="T645" s="17"/>
      <c r="U645" s="17"/>
      <c r="V645" s="17"/>
      <c r="X645" s="17"/>
      <c r="Y645" s="17"/>
      <c r="AA645" s="17"/>
      <c r="AB645" s="17"/>
      <c r="AC645" s="17"/>
      <c r="AD645" s="32"/>
    </row>
    <row r="646" spans="14:30" x14ac:dyDescent="0.25">
      <c r="N646" s="10"/>
      <c r="P646" s="48"/>
      <c r="Q646" s="17"/>
      <c r="R646" s="17"/>
      <c r="S646" s="17"/>
      <c r="T646" s="17"/>
      <c r="U646" s="17"/>
      <c r="V646" s="17"/>
      <c r="X646" s="17"/>
      <c r="Y646" s="17"/>
      <c r="AA646" s="17"/>
      <c r="AB646" s="17"/>
      <c r="AC646" s="17"/>
      <c r="AD646" s="32"/>
    </row>
    <row r="647" spans="14:30" x14ac:dyDescent="0.25">
      <c r="N647" s="10"/>
      <c r="P647" s="48"/>
      <c r="Q647" s="17"/>
      <c r="R647" s="17"/>
      <c r="S647" s="17"/>
      <c r="T647" s="17"/>
      <c r="U647" s="17"/>
      <c r="V647" s="17"/>
      <c r="X647" s="17"/>
      <c r="Y647" s="17"/>
      <c r="AA647" s="17"/>
      <c r="AB647" s="17"/>
      <c r="AC647" s="17"/>
      <c r="AD647" s="32"/>
    </row>
    <row r="648" spans="14:30" x14ac:dyDescent="0.25">
      <c r="N648" s="10"/>
      <c r="P648" s="48"/>
      <c r="Q648" s="17"/>
      <c r="R648" s="17"/>
      <c r="S648" s="17"/>
      <c r="T648" s="17"/>
      <c r="U648" s="17"/>
      <c r="V648" s="17"/>
      <c r="X648" s="17"/>
      <c r="Y648" s="17"/>
      <c r="AA648" s="17"/>
      <c r="AB648" s="17"/>
      <c r="AC648" s="17"/>
      <c r="AD648" s="32"/>
    </row>
    <row r="649" spans="14:30" x14ac:dyDescent="0.25">
      <c r="N649" s="10"/>
      <c r="P649" s="48"/>
      <c r="Q649" s="17"/>
      <c r="R649" s="17"/>
      <c r="S649" s="17"/>
      <c r="T649" s="17"/>
      <c r="U649" s="17"/>
      <c r="V649" s="17"/>
      <c r="X649" s="17"/>
      <c r="Y649" s="17"/>
      <c r="AA649" s="17"/>
      <c r="AB649" s="17"/>
      <c r="AC649" s="17"/>
      <c r="AD649" s="32"/>
    </row>
    <row r="650" spans="14:30" x14ac:dyDescent="0.25">
      <c r="N650" s="10"/>
      <c r="P650" s="48"/>
      <c r="Q650" s="17"/>
      <c r="R650" s="17"/>
      <c r="S650" s="17"/>
      <c r="T650" s="17"/>
      <c r="U650" s="17"/>
      <c r="V650" s="17"/>
      <c r="X650" s="17"/>
      <c r="Y650" s="17"/>
      <c r="AA650" s="17"/>
      <c r="AB650" s="17"/>
      <c r="AC650" s="17"/>
      <c r="AD650" s="32"/>
    </row>
    <row r="651" spans="14:30" x14ac:dyDescent="0.25">
      <c r="N651" s="10"/>
      <c r="P651" s="48"/>
      <c r="Q651" s="17"/>
      <c r="R651" s="17"/>
      <c r="S651" s="17"/>
      <c r="T651" s="17"/>
      <c r="U651" s="17"/>
      <c r="V651" s="17"/>
      <c r="X651" s="17"/>
      <c r="Y651" s="17"/>
      <c r="AA651" s="17"/>
      <c r="AB651" s="17"/>
      <c r="AC651" s="17"/>
      <c r="AD651" s="32"/>
    </row>
    <row r="652" spans="14:30" x14ac:dyDescent="0.25">
      <c r="N652" s="10"/>
      <c r="P652" s="48"/>
      <c r="Q652" s="17"/>
      <c r="R652" s="17"/>
      <c r="S652" s="17"/>
      <c r="T652" s="17"/>
      <c r="U652" s="17"/>
      <c r="V652" s="17"/>
      <c r="X652" s="17"/>
      <c r="Y652" s="17"/>
      <c r="AA652" s="17"/>
      <c r="AB652" s="17"/>
      <c r="AC652" s="17"/>
      <c r="AD652" s="32"/>
    </row>
    <row r="653" spans="14:30" x14ac:dyDescent="0.25">
      <c r="N653" s="10"/>
      <c r="P653" s="48"/>
      <c r="Q653" s="17"/>
      <c r="R653" s="17"/>
      <c r="S653" s="17"/>
      <c r="T653" s="17"/>
      <c r="U653" s="17"/>
      <c r="V653" s="17"/>
      <c r="X653" s="17"/>
      <c r="Y653" s="17"/>
      <c r="AA653" s="17"/>
      <c r="AB653" s="17"/>
      <c r="AC653" s="17"/>
      <c r="AD653" s="32"/>
    </row>
    <row r="654" spans="14:30" x14ac:dyDescent="0.25">
      <c r="N654" s="10"/>
      <c r="P654" s="48"/>
      <c r="Q654" s="17"/>
      <c r="R654" s="17"/>
      <c r="S654" s="17"/>
      <c r="T654" s="17"/>
      <c r="U654" s="17"/>
      <c r="V654" s="17"/>
      <c r="X654" s="17"/>
      <c r="Y654" s="17"/>
      <c r="AA654" s="17"/>
      <c r="AB654" s="17"/>
      <c r="AC654" s="17"/>
      <c r="AD654" s="32"/>
    </row>
    <row r="655" spans="14:30" x14ac:dyDescent="0.25">
      <c r="N655" s="10"/>
      <c r="P655" s="48"/>
      <c r="Q655" s="17"/>
      <c r="R655" s="17"/>
      <c r="S655" s="17"/>
      <c r="T655" s="17"/>
      <c r="U655" s="17"/>
      <c r="V655" s="17"/>
      <c r="X655" s="17"/>
      <c r="Y655" s="17"/>
      <c r="AA655" s="17"/>
      <c r="AB655" s="17"/>
      <c r="AC655" s="17"/>
      <c r="AD655" s="32"/>
    </row>
    <row r="656" spans="14:30" x14ac:dyDescent="0.25">
      <c r="N656" s="10"/>
      <c r="P656" s="48"/>
      <c r="Q656" s="17"/>
      <c r="R656" s="17"/>
      <c r="S656" s="17"/>
      <c r="T656" s="17"/>
      <c r="U656" s="17"/>
      <c r="V656" s="17"/>
      <c r="X656" s="17"/>
      <c r="Y656" s="17"/>
      <c r="AA656" s="17"/>
      <c r="AB656" s="17"/>
      <c r="AC656" s="17"/>
      <c r="AD656" s="32"/>
    </row>
    <row r="657" spans="14:30" x14ac:dyDescent="0.25">
      <c r="N657" s="10"/>
      <c r="P657" s="48"/>
      <c r="Q657" s="17"/>
      <c r="R657" s="17"/>
      <c r="S657" s="17"/>
      <c r="T657" s="17"/>
      <c r="U657" s="17"/>
      <c r="V657" s="17"/>
      <c r="X657" s="17"/>
      <c r="Y657" s="17"/>
      <c r="AA657" s="17"/>
      <c r="AB657" s="17"/>
      <c r="AC657" s="17"/>
      <c r="AD657" s="32"/>
    </row>
    <row r="658" spans="14:30" x14ac:dyDescent="0.25">
      <c r="N658" s="10"/>
      <c r="P658" s="48"/>
      <c r="Q658" s="17"/>
      <c r="R658" s="17"/>
      <c r="S658" s="17"/>
      <c r="T658" s="17"/>
      <c r="U658" s="17"/>
      <c r="V658" s="17"/>
      <c r="X658" s="17"/>
      <c r="Y658" s="17"/>
      <c r="AA658" s="17"/>
      <c r="AB658" s="17"/>
      <c r="AC658" s="17"/>
      <c r="AD658" s="32"/>
    </row>
    <row r="659" spans="14:30" x14ac:dyDescent="0.25">
      <c r="N659" s="10"/>
      <c r="P659" s="48"/>
      <c r="Q659" s="17"/>
      <c r="R659" s="17"/>
      <c r="S659" s="17"/>
      <c r="T659" s="17"/>
      <c r="U659" s="17"/>
      <c r="V659" s="17"/>
      <c r="X659" s="17"/>
      <c r="Y659" s="17"/>
      <c r="AA659" s="17"/>
      <c r="AB659" s="17"/>
      <c r="AC659" s="17"/>
      <c r="AD659" s="32"/>
    </row>
    <row r="660" spans="14:30" x14ac:dyDescent="0.25">
      <c r="N660" s="10"/>
      <c r="P660" s="48"/>
      <c r="Q660" s="17"/>
      <c r="R660" s="17"/>
      <c r="S660" s="17"/>
      <c r="T660" s="17"/>
      <c r="U660" s="17"/>
      <c r="V660" s="17"/>
      <c r="X660" s="17"/>
      <c r="Y660" s="17"/>
      <c r="AA660" s="17"/>
      <c r="AB660" s="17"/>
      <c r="AC660" s="17"/>
      <c r="AD660" s="32"/>
    </row>
    <row r="661" spans="14:30" x14ac:dyDescent="0.25">
      <c r="N661" s="10"/>
      <c r="P661" s="48"/>
      <c r="Q661" s="17"/>
      <c r="R661" s="17"/>
      <c r="S661" s="17"/>
      <c r="T661" s="17"/>
      <c r="U661" s="17"/>
      <c r="V661" s="17"/>
      <c r="X661" s="17"/>
      <c r="Y661" s="17"/>
      <c r="AA661" s="17"/>
      <c r="AB661" s="17"/>
      <c r="AC661" s="17"/>
      <c r="AD661" s="32"/>
    </row>
    <row r="662" spans="14:30" x14ac:dyDescent="0.25">
      <c r="N662" s="10"/>
      <c r="P662" s="48"/>
      <c r="Q662" s="17"/>
      <c r="R662" s="17"/>
      <c r="S662" s="17"/>
      <c r="T662" s="17"/>
      <c r="U662" s="17"/>
      <c r="V662" s="17"/>
      <c r="X662" s="17"/>
      <c r="Y662" s="17"/>
      <c r="AA662" s="17"/>
      <c r="AB662" s="17"/>
      <c r="AC662" s="17"/>
      <c r="AD662" s="32"/>
    </row>
    <row r="663" spans="14:30" x14ac:dyDescent="0.25">
      <c r="N663" s="10"/>
      <c r="P663" s="48"/>
      <c r="Q663" s="17"/>
      <c r="R663" s="17"/>
      <c r="S663" s="17"/>
      <c r="T663" s="17"/>
      <c r="U663" s="17"/>
      <c r="V663" s="17"/>
      <c r="X663" s="17"/>
      <c r="Y663" s="17"/>
      <c r="AA663" s="17"/>
      <c r="AB663" s="17"/>
      <c r="AC663" s="17"/>
      <c r="AD663" s="32"/>
    </row>
    <row r="664" spans="14:30" x14ac:dyDescent="0.25">
      <c r="N664" s="10"/>
      <c r="P664" s="48"/>
      <c r="Q664" s="17"/>
      <c r="R664" s="17"/>
      <c r="S664" s="17"/>
      <c r="T664" s="17"/>
      <c r="U664" s="17"/>
      <c r="V664" s="17"/>
      <c r="X664" s="17"/>
      <c r="Y664" s="17"/>
      <c r="AA664" s="17"/>
      <c r="AB664" s="17"/>
      <c r="AC664" s="17"/>
      <c r="AD664" s="32"/>
    </row>
    <row r="665" spans="14:30" x14ac:dyDescent="0.25">
      <c r="N665" s="10"/>
      <c r="P665" s="48"/>
      <c r="Q665" s="17"/>
      <c r="R665" s="17"/>
      <c r="S665" s="17"/>
      <c r="T665" s="17"/>
      <c r="U665" s="17"/>
      <c r="V665" s="17"/>
      <c r="X665" s="17"/>
      <c r="Y665" s="17"/>
      <c r="AA665" s="17"/>
      <c r="AB665" s="17"/>
      <c r="AC665" s="17"/>
      <c r="AD665" s="32"/>
    </row>
    <row r="666" spans="14:30" x14ac:dyDescent="0.25">
      <c r="N666" s="10"/>
      <c r="P666" s="48"/>
      <c r="Q666" s="17"/>
      <c r="R666" s="17"/>
      <c r="S666" s="17"/>
      <c r="T666" s="17"/>
      <c r="U666" s="17"/>
      <c r="V666" s="17"/>
      <c r="X666" s="17"/>
      <c r="Y666" s="17"/>
      <c r="AA666" s="17"/>
      <c r="AB666" s="17"/>
      <c r="AC666" s="17"/>
      <c r="AD666" s="32"/>
    </row>
    <row r="667" spans="14:30" x14ac:dyDescent="0.25">
      <c r="N667" s="10"/>
      <c r="P667" s="48"/>
      <c r="Q667" s="17"/>
      <c r="R667" s="17"/>
      <c r="S667" s="17"/>
      <c r="T667" s="17"/>
      <c r="U667" s="17"/>
      <c r="V667" s="17"/>
      <c r="X667" s="17"/>
      <c r="Y667" s="17"/>
      <c r="AA667" s="17"/>
      <c r="AB667" s="17"/>
      <c r="AC667" s="17"/>
      <c r="AD667" s="32"/>
    </row>
    <row r="668" spans="14:30" x14ac:dyDescent="0.25">
      <c r="N668" s="10"/>
      <c r="P668" s="48"/>
      <c r="Q668" s="17"/>
      <c r="R668" s="17"/>
      <c r="S668" s="17"/>
      <c r="T668" s="17"/>
      <c r="U668" s="17"/>
      <c r="V668" s="17"/>
      <c r="X668" s="17"/>
      <c r="Y668" s="17"/>
      <c r="AA668" s="17"/>
      <c r="AB668" s="17"/>
      <c r="AC668" s="17"/>
      <c r="AD668" s="32"/>
    </row>
    <row r="669" spans="14:30" x14ac:dyDescent="0.25">
      <c r="N669" s="10"/>
      <c r="P669" s="48"/>
      <c r="Q669" s="17"/>
      <c r="R669" s="17"/>
      <c r="S669" s="17"/>
      <c r="T669" s="17"/>
      <c r="U669" s="17"/>
      <c r="V669" s="17"/>
      <c r="X669" s="17"/>
      <c r="Y669" s="17"/>
      <c r="AA669" s="17"/>
      <c r="AB669" s="17"/>
      <c r="AC669" s="17"/>
      <c r="AD669" s="32"/>
    </row>
    <row r="670" spans="14:30" x14ac:dyDescent="0.25">
      <c r="N670" s="10"/>
      <c r="P670" s="48"/>
      <c r="Q670" s="17"/>
      <c r="R670" s="17"/>
      <c r="S670" s="17"/>
      <c r="T670" s="17"/>
      <c r="U670" s="17"/>
      <c r="V670" s="17"/>
      <c r="X670" s="17"/>
      <c r="Y670" s="17"/>
      <c r="AA670" s="17"/>
      <c r="AB670" s="17"/>
      <c r="AC670" s="17"/>
      <c r="AD670" s="32"/>
    </row>
    <row r="671" spans="14:30" x14ac:dyDescent="0.25">
      <c r="N671" s="10"/>
      <c r="P671" s="48"/>
      <c r="Q671" s="17"/>
      <c r="R671" s="17"/>
      <c r="S671" s="17"/>
      <c r="T671" s="17"/>
      <c r="U671" s="17"/>
      <c r="V671" s="17"/>
      <c r="X671" s="17"/>
      <c r="Y671" s="17"/>
      <c r="AA671" s="17"/>
      <c r="AB671" s="17"/>
      <c r="AC671" s="17"/>
      <c r="AD671" s="32"/>
    </row>
    <row r="672" spans="14:30" x14ac:dyDescent="0.25">
      <c r="N672" s="10"/>
      <c r="P672" s="48"/>
      <c r="Q672" s="17"/>
      <c r="R672" s="17"/>
      <c r="S672" s="17"/>
      <c r="T672" s="17"/>
      <c r="U672" s="17"/>
      <c r="V672" s="17"/>
      <c r="X672" s="17"/>
      <c r="Y672" s="17"/>
      <c r="AA672" s="17"/>
      <c r="AB672" s="17"/>
      <c r="AC672" s="17"/>
      <c r="AD672" s="32"/>
    </row>
    <row r="673" spans="14:30" x14ac:dyDescent="0.25">
      <c r="N673" s="10"/>
      <c r="P673" s="48"/>
      <c r="Q673" s="17"/>
      <c r="R673" s="17"/>
      <c r="S673" s="17"/>
      <c r="T673" s="17"/>
      <c r="U673" s="17"/>
      <c r="V673" s="17"/>
      <c r="X673" s="17"/>
      <c r="Y673" s="17"/>
      <c r="AA673" s="17"/>
      <c r="AB673" s="17"/>
      <c r="AC673" s="17"/>
      <c r="AD673" s="32"/>
    </row>
    <row r="674" spans="14:30" x14ac:dyDescent="0.25">
      <c r="N674" s="10"/>
      <c r="P674" s="48"/>
      <c r="Q674" s="17"/>
      <c r="R674" s="17"/>
      <c r="S674" s="17"/>
      <c r="T674" s="17"/>
      <c r="U674" s="17"/>
      <c r="V674" s="17"/>
      <c r="X674" s="17"/>
      <c r="Y674" s="17"/>
      <c r="AA674" s="17"/>
      <c r="AB674" s="17"/>
      <c r="AC674" s="17"/>
      <c r="AD674" s="32"/>
    </row>
    <row r="675" spans="14:30" x14ac:dyDescent="0.25">
      <c r="N675" s="10"/>
      <c r="P675" s="48"/>
      <c r="Q675" s="17"/>
      <c r="R675" s="17"/>
      <c r="S675" s="17"/>
      <c r="T675" s="17"/>
      <c r="U675" s="17"/>
      <c r="V675" s="17"/>
      <c r="X675" s="17"/>
      <c r="Y675" s="17"/>
      <c r="AA675" s="17"/>
      <c r="AB675" s="17"/>
      <c r="AC675" s="17"/>
      <c r="AD675" s="32"/>
    </row>
    <row r="676" spans="14:30" x14ac:dyDescent="0.25">
      <c r="N676" s="10"/>
      <c r="P676" s="48"/>
      <c r="Q676" s="17"/>
      <c r="R676" s="17"/>
      <c r="S676" s="17"/>
      <c r="T676" s="17"/>
      <c r="U676" s="17"/>
      <c r="V676" s="17"/>
      <c r="X676" s="17"/>
      <c r="Y676" s="17"/>
      <c r="AA676" s="17"/>
      <c r="AB676" s="17"/>
      <c r="AC676" s="17"/>
      <c r="AD676" s="32"/>
    </row>
    <row r="677" spans="14:30" x14ac:dyDescent="0.25">
      <c r="N677" s="10"/>
      <c r="P677" s="48"/>
      <c r="Q677" s="17"/>
      <c r="R677" s="17"/>
      <c r="S677" s="17"/>
      <c r="T677" s="17"/>
      <c r="U677" s="17"/>
      <c r="V677" s="17"/>
      <c r="X677" s="17"/>
      <c r="Y677" s="17"/>
      <c r="AA677" s="17"/>
      <c r="AB677" s="17"/>
      <c r="AC677" s="17"/>
      <c r="AD677" s="32"/>
    </row>
    <row r="678" spans="14:30" x14ac:dyDescent="0.25">
      <c r="N678" s="10"/>
      <c r="P678" s="48"/>
      <c r="Q678" s="17"/>
      <c r="R678" s="17"/>
      <c r="S678" s="17"/>
      <c r="T678" s="17"/>
      <c r="U678" s="17"/>
      <c r="V678" s="17"/>
      <c r="X678" s="17"/>
      <c r="Y678" s="17"/>
      <c r="AA678" s="17"/>
      <c r="AB678" s="17"/>
      <c r="AC678" s="17"/>
      <c r="AD678" s="32"/>
    </row>
    <row r="679" spans="14:30" x14ac:dyDescent="0.25">
      <c r="N679" s="10"/>
      <c r="P679" s="48"/>
      <c r="Q679" s="17"/>
      <c r="R679" s="17"/>
      <c r="S679" s="17"/>
      <c r="T679" s="17"/>
      <c r="U679" s="17"/>
      <c r="V679" s="17"/>
      <c r="X679" s="17"/>
      <c r="Y679" s="17"/>
      <c r="AA679" s="17"/>
      <c r="AB679" s="17"/>
      <c r="AC679" s="17"/>
      <c r="AD679" s="32"/>
    </row>
    <row r="680" spans="14:30" x14ac:dyDescent="0.25">
      <c r="N680" s="10"/>
      <c r="P680" s="48"/>
      <c r="Q680" s="17"/>
      <c r="R680" s="17"/>
      <c r="S680" s="17"/>
      <c r="T680" s="17"/>
      <c r="U680" s="17"/>
      <c r="V680" s="17"/>
      <c r="X680" s="17"/>
      <c r="Y680" s="17"/>
      <c r="AA680" s="17"/>
      <c r="AB680" s="17"/>
      <c r="AC680" s="17"/>
      <c r="AD680" s="32"/>
    </row>
    <row r="681" spans="14:30" x14ac:dyDescent="0.25">
      <c r="N681" s="10"/>
      <c r="P681" s="48"/>
      <c r="Q681" s="17"/>
      <c r="R681" s="17"/>
      <c r="S681" s="17"/>
      <c r="T681" s="17"/>
      <c r="U681" s="17"/>
      <c r="V681" s="17"/>
      <c r="X681" s="17"/>
      <c r="Y681" s="17"/>
      <c r="AA681" s="17"/>
      <c r="AB681" s="17"/>
      <c r="AC681" s="17"/>
      <c r="AD681" s="32"/>
    </row>
    <row r="682" spans="14:30" x14ac:dyDescent="0.25">
      <c r="N682" s="10"/>
      <c r="P682" s="48"/>
      <c r="Q682" s="17"/>
      <c r="R682" s="17"/>
      <c r="S682" s="17"/>
      <c r="T682" s="17"/>
      <c r="U682" s="17"/>
      <c r="V682" s="17"/>
      <c r="X682" s="17"/>
      <c r="Y682" s="17"/>
      <c r="AA682" s="17"/>
      <c r="AB682" s="17"/>
      <c r="AC682" s="17"/>
      <c r="AD682" s="32"/>
    </row>
    <row r="683" spans="14:30" x14ac:dyDescent="0.25">
      <c r="N683" s="10"/>
      <c r="P683" s="48"/>
      <c r="Q683" s="17"/>
      <c r="R683" s="17"/>
      <c r="S683" s="17"/>
      <c r="T683" s="17"/>
      <c r="U683" s="17"/>
      <c r="V683" s="17"/>
      <c r="X683" s="17"/>
      <c r="Y683" s="17"/>
      <c r="AA683" s="17"/>
      <c r="AB683" s="17"/>
      <c r="AC683" s="17"/>
      <c r="AD683" s="32"/>
    </row>
    <row r="684" spans="14:30" x14ac:dyDescent="0.25">
      <c r="N684" s="10"/>
      <c r="P684" s="48"/>
      <c r="Q684" s="17"/>
      <c r="R684" s="17"/>
      <c r="S684" s="17"/>
      <c r="T684" s="17"/>
      <c r="U684" s="17"/>
      <c r="V684" s="17"/>
      <c r="X684" s="17"/>
      <c r="Y684" s="17"/>
      <c r="AA684" s="17"/>
      <c r="AB684" s="17"/>
      <c r="AC684" s="17"/>
      <c r="AD684" s="32"/>
    </row>
    <row r="685" spans="14:30" x14ac:dyDescent="0.25">
      <c r="N685" s="10"/>
      <c r="P685" s="48"/>
      <c r="Q685" s="17"/>
      <c r="R685" s="17"/>
      <c r="S685" s="17"/>
      <c r="T685" s="17"/>
      <c r="U685" s="17"/>
      <c r="V685" s="17"/>
      <c r="X685" s="17"/>
      <c r="Y685" s="17"/>
      <c r="AA685" s="17"/>
      <c r="AB685" s="17"/>
      <c r="AC685" s="17"/>
      <c r="AD685" s="32"/>
    </row>
    <row r="686" spans="14:30" x14ac:dyDescent="0.25">
      <c r="N686" s="10"/>
      <c r="P686" s="48"/>
      <c r="Q686" s="17"/>
      <c r="R686" s="17"/>
      <c r="S686" s="17"/>
      <c r="T686" s="17"/>
      <c r="U686" s="17"/>
      <c r="V686" s="17"/>
      <c r="X686" s="17"/>
      <c r="Y686" s="17"/>
      <c r="AA686" s="17"/>
      <c r="AB686" s="17"/>
      <c r="AC686" s="17"/>
      <c r="AD686" s="32"/>
    </row>
    <row r="687" spans="14:30" x14ac:dyDescent="0.25">
      <c r="N687" s="10"/>
      <c r="P687" s="48"/>
      <c r="Q687" s="17"/>
      <c r="R687" s="17"/>
      <c r="S687" s="17"/>
      <c r="T687" s="17"/>
      <c r="U687" s="17"/>
      <c r="V687" s="17"/>
      <c r="X687" s="17"/>
      <c r="Y687" s="17"/>
      <c r="AA687" s="17"/>
      <c r="AB687" s="17"/>
      <c r="AC687" s="17"/>
      <c r="AD687" s="32"/>
    </row>
    <row r="688" spans="14:30" x14ac:dyDescent="0.25">
      <c r="N688" s="10"/>
      <c r="P688" s="48"/>
      <c r="Q688" s="17"/>
      <c r="R688" s="17"/>
      <c r="S688" s="17"/>
      <c r="T688" s="17"/>
      <c r="U688" s="17"/>
      <c r="V688" s="17"/>
      <c r="X688" s="17"/>
      <c r="Y688" s="17"/>
      <c r="AA688" s="17"/>
      <c r="AB688" s="17"/>
      <c r="AC688" s="17"/>
      <c r="AD688" s="32"/>
    </row>
    <row r="689" spans="14:30" x14ac:dyDescent="0.25">
      <c r="N689" s="10"/>
      <c r="P689" s="48"/>
      <c r="Q689" s="17"/>
      <c r="R689" s="17"/>
      <c r="S689" s="17"/>
      <c r="T689" s="17"/>
      <c r="U689" s="17"/>
      <c r="V689" s="17"/>
      <c r="X689" s="17"/>
      <c r="Y689" s="17"/>
      <c r="AA689" s="17"/>
      <c r="AB689" s="17"/>
      <c r="AC689" s="17"/>
      <c r="AD689" s="32"/>
    </row>
    <row r="690" spans="14:30" x14ac:dyDescent="0.25">
      <c r="N690" s="10"/>
      <c r="P690" s="48"/>
      <c r="Q690" s="17"/>
      <c r="R690" s="17"/>
      <c r="S690" s="17"/>
      <c r="T690" s="17"/>
      <c r="U690" s="17"/>
      <c r="V690" s="17"/>
      <c r="X690" s="17"/>
      <c r="Y690" s="17"/>
      <c r="AA690" s="17"/>
      <c r="AB690" s="17"/>
      <c r="AC690" s="17"/>
      <c r="AD690" s="32"/>
    </row>
    <row r="691" spans="14:30" x14ac:dyDescent="0.25">
      <c r="N691" s="10"/>
      <c r="P691" s="48"/>
      <c r="Q691" s="17"/>
      <c r="R691" s="17"/>
      <c r="S691" s="17"/>
      <c r="T691" s="17"/>
      <c r="U691" s="17"/>
      <c r="V691" s="17"/>
      <c r="X691" s="17"/>
      <c r="Y691" s="17"/>
      <c r="AA691" s="17"/>
      <c r="AB691" s="17"/>
      <c r="AC691" s="17"/>
      <c r="AD691" s="32"/>
    </row>
    <row r="692" spans="14:30" x14ac:dyDescent="0.25">
      <c r="N692" s="10"/>
      <c r="P692" s="48"/>
      <c r="Q692" s="17"/>
      <c r="R692" s="17"/>
      <c r="S692" s="17"/>
      <c r="T692" s="17"/>
      <c r="U692" s="17"/>
      <c r="V692" s="17"/>
      <c r="X692" s="17"/>
      <c r="Y692" s="17"/>
      <c r="AA692" s="17"/>
      <c r="AB692" s="17"/>
      <c r="AC692" s="17"/>
      <c r="AD692" s="32"/>
    </row>
    <row r="693" spans="14:30" x14ac:dyDescent="0.25">
      <c r="N693" s="10"/>
      <c r="P693" s="48"/>
      <c r="Q693" s="17"/>
      <c r="R693" s="17"/>
      <c r="S693" s="17"/>
      <c r="T693" s="17"/>
      <c r="U693" s="17"/>
      <c r="V693" s="17"/>
      <c r="X693" s="17"/>
      <c r="Y693" s="17"/>
      <c r="AA693" s="17"/>
      <c r="AB693" s="17"/>
      <c r="AC693" s="17"/>
      <c r="AD693" s="32"/>
    </row>
    <row r="694" spans="14:30" x14ac:dyDescent="0.25">
      <c r="N694" s="10"/>
      <c r="P694" s="48"/>
      <c r="Q694" s="17"/>
      <c r="R694" s="17"/>
      <c r="S694" s="17"/>
      <c r="T694" s="17"/>
      <c r="U694" s="17"/>
      <c r="V694" s="17"/>
      <c r="X694" s="17"/>
      <c r="Y694" s="17"/>
      <c r="AA694" s="17"/>
      <c r="AB694" s="17"/>
      <c r="AC694" s="17"/>
      <c r="AD694" s="32"/>
    </row>
    <row r="695" spans="14:30" x14ac:dyDescent="0.25">
      <c r="N695" s="10"/>
      <c r="P695" s="48"/>
      <c r="Q695" s="17"/>
      <c r="R695" s="17"/>
      <c r="S695" s="17"/>
      <c r="T695" s="17"/>
      <c r="U695" s="17"/>
      <c r="V695" s="17"/>
      <c r="X695" s="17"/>
      <c r="Y695" s="17"/>
      <c r="AA695" s="17"/>
      <c r="AB695" s="17"/>
      <c r="AC695" s="17"/>
      <c r="AD695" s="32"/>
    </row>
    <row r="696" spans="14:30" x14ac:dyDescent="0.25">
      <c r="N696" s="10"/>
      <c r="P696" s="48"/>
      <c r="Q696" s="17"/>
      <c r="R696" s="17"/>
      <c r="S696" s="17"/>
      <c r="T696" s="17"/>
      <c r="U696" s="17"/>
      <c r="V696" s="17"/>
      <c r="X696" s="17"/>
      <c r="Y696" s="17"/>
      <c r="AA696" s="17"/>
      <c r="AB696" s="17"/>
      <c r="AC696" s="17"/>
      <c r="AD696" s="32"/>
    </row>
    <row r="697" spans="14:30" x14ac:dyDescent="0.25">
      <c r="N697" s="10"/>
      <c r="P697" s="48"/>
      <c r="Q697" s="17"/>
      <c r="R697" s="17"/>
      <c r="S697" s="17"/>
      <c r="T697" s="17"/>
      <c r="U697" s="17"/>
      <c r="V697" s="17"/>
      <c r="X697" s="17"/>
      <c r="Y697" s="17"/>
      <c r="AA697" s="17"/>
      <c r="AB697" s="17"/>
      <c r="AC697" s="17"/>
      <c r="AD697" s="32"/>
    </row>
    <row r="698" spans="14:30" x14ac:dyDescent="0.25">
      <c r="N698" s="10"/>
      <c r="P698" s="48"/>
      <c r="Q698" s="17"/>
      <c r="R698" s="17"/>
      <c r="S698" s="17"/>
      <c r="T698" s="17"/>
      <c r="U698" s="17"/>
      <c r="V698" s="17"/>
      <c r="X698" s="17"/>
      <c r="Y698" s="17"/>
      <c r="AA698" s="17"/>
      <c r="AB698" s="17"/>
      <c r="AC698" s="17"/>
      <c r="AD698" s="32"/>
    </row>
    <row r="699" spans="14:30" x14ac:dyDescent="0.25">
      <c r="N699" s="10"/>
      <c r="P699" s="48"/>
      <c r="Q699" s="17"/>
      <c r="R699" s="17"/>
      <c r="S699" s="17"/>
      <c r="T699" s="17"/>
      <c r="U699" s="17"/>
      <c r="V699" s="17"/>
      <c r="X699" s="17"/>
      <c r="Y699" s="17"/>
      <c r="AA699" s="17"/>
      <c r="AB699" s="17"/>
      <c r="AC699" s="17"/>
      <c r="AD699" s="32"/>
    </row>
    <row r="700" spans="14:30" x14ac:dyDescent="0.25">
      <c r="N700" s="10"/>
      <c r="P700" s="48"/>
      <c r="Q700" s="17"/>
      <c r="R700" s="17"/>
      <c r="S700" s="17"/>
      <c r="T700" s="17"/>
      <c r="U700" s="17"/>
      <c r="V700" s="17"/>
      <c r="X700" s="17"/>
      <c r="Y700" s="17"/>
      <c r="AA700" s="17"/>
      <c r="AB700" s="17"/>
      <c r="AC700" s="17"/>
      <c r="AD700" s="32"/>
    </row>
    <row r="701" spans="14:30" x14ac:dyDescent="0.25">
      <c r="N701" s="10"/>
      <c r="P701" s="48"/>
      <c r="Q701" s="17"/>
      <c r="R701" s="17"/>
      <c r="S701" s="17"/>
      <c r="T701" s="17"/>
      <c r="U701" s="17"/>
      <c r="V701" s="17"/>
      <c r="X701" s="17"/>
      <c r="Y701" s="17"/>
      <c r="AA701" s="17"/>
      <c r="AB701" s="17"/>
      <c r="AC701" s="17"/>
      <c r="AD701" s="32"/>
    </row>
    <row r="702" spans="14:30" x14ac:dyDescent="0.25">
      <c r="N702" s="10"/>
      <c r="P702" s="48"/>
      <c r="Q702" s="17"/>
      <c r="R702" s="17"/>
      <c r="S702" s="17"/>
      <c r="T702" s="17"/>
      <c r="U702" s="17"/>
      <c r="V702" s="17"/>
      <c r="X702" s="17"/>
      <c r="Y702" s="17"/>
      <c r="AA702" s="17"/>
      <c r="AB702" s="17"/>
      <c r="AC702" s="17"/>
      <c r="AD702" s="32"/>
    </row>
    <row r="703" spans="14:30" x14ac:dyDescent="0.25">
      <c r="N703" s="10"/>
      <c r="P703" s="48"/>
      <c r="Q703" s="17"/>
      <c r="R703" s="17"/>
      <c r="S703" s="17"/>
      <c r="T703" s="17"/>
      <c r="U703" s="17"/>
      <c r="V703" s="17"/>
      <c r="X703" s="17"/>
      <c r="Y703" s="17"/>
      <c r="AA703" s="17"/>
      <c r="AB703" s="17"/>
      <c r="AC703" s="17"/>
      <c r="AD703" s="32"/>
    </row>
    <row r="704" spans="14:30" x14ac:dyDescent="0.25">
      <c r="N704" s="10"/>
      <c r="P704" s="48"/>
      <c r="Q704" s="17"/>
      <c r="R704" s="17"/>
      <c r="S704" s="17"/>
      <c r="T704" s="17"/>
      <c r="U704" s="17"/>
      <c r="V704" s="17"/>
      <c r="X704" s="17"/>
      <c r="Y704" s="17"/>
      <c r="AA704" s="17"/>
      <c r="AB704" s="17"/>
      <c r="AC704" s="17"/>
      <c r="AD704" s="32"/>
    </row>
    <row r="705" spans="14:30" x14ac:dyDescent="0.25">
      <c r="N705" s="10"/>
      <c r="P705" s="48"/>
      <c r="Q705" s="17"/>
      <c r="R705" s="17"/>
      <c r="S705" s="17"/>
      <c r="T705" s="17"/>
      <c r="U705" s="17"/>
      <c r="V705" s="17"/>
      <c r="X705" s="17"/>
      <c r="Y705" s="17"/>
      <c r="AA705" s="17"/>
      <c r="AB705" s="17"/>
      <c r="AC705" s="17"/>
      <c r="AD705" s="32"/>
    </row>
    <row r="706" spans="14:30" x14ac:dyDescent="0.25">
      <c r="N706" s="10"/>
      <c r="P706" s="48"/>
      <c r="Q706" s="17"/>
      <c r="R706" s="17"/>
      <c r="S706" s="17"/>
      <c r="T706" s="17"/>
      <c r="U706" s="17"/>
      <c r="V706" s="17"/>
      <c r="X706" s="17"/>
      <c r="Y706" s="17"/>
      <c r="AA706" s="17"/>
      <c r="AB706" s="17"/>
      <c r="AC706" s="17"/>
      <c r="AD706" s="32"/>
    </row>
    <row r="707" spans="14:30" x14ac:dyDescent="0.25">
      <c r="N707" s="10"/>
      <c r="P707" s="48"/>
      <c r="Q707" s="17"/>
      <c r="R707" s="17"/>
      <c r="S707" s="17"/>
      <c r="T707" s="17"/>
      <c r="U707" s="17"/>
      <c r="V707" s="17"/>
      <c r="X707" s="17"/>
      <c r="Y707" s="17"/>
      <c r="AA707" s="17"/>
      <c r="AB707" s="17"/>
      <c r="AC707" s="17"/>
      <c r="AD707" s="32"/>
    </row>
    <row r="708" spans="14:30" x14ac:dyDescent="0.25">
      <c r="N708" s="10"/>
      <c r="P708" s="48"/>
      <c r="Q708" s="17"/>
      <c r="R708" s="17"/>
      <c r="S708" s="17"/>
      <c r="T708" s="17"/>
      <c r="U708" s="17"/>
      <c r="V708" s="17"/>
      <c r="X708" s="17"/>
      <c r="Y708" s="17"/>
      <c r="AA708" s="17"/>
      <c r="AB708" s="17"/>
      <c r="AC708" s="17"/>
      <c r="AD708" s="32"/>
    </row>
  </sheetData>
  <mergeCells count="31">
    <mergeCell ref="P16:AE16"/>
    <mergeCell ref="AF16:AU16"/>
    <mergeCell ref="AV16:AX16"/>
    <mergeCell ref="Q17:S17"/>
    <mergeCell ref="T17:V17"/>
    <mergeCell ref="W17:Y17"/>
    <mergeCell ref="Z17:AB17"/>
    <mergeCell ref="AC17:AE17"/>
    <mergeCell ref="AG17:AI17"/>
    <mergeCell ref="AJ17:AL17"/>
    <mergeCell ref="AM17:AO17"/>
    <mergeCell ref="AP17:AR17"/>
    <mergeCell ref="AS17:AU17"/>
    <mergeCell ref="AV17:AX17"/>
    <mergeCell ref="E6:K6"/>
    <mergeCell ref="A1:M1"/>
    <mergeCell ref="N1:X1"/>
    <mergeCell ref="P4:AE4"/>
    <mergeCell ref="AF4:AU4"/>
    <mergeCell ref="AG5:AI5"/>
    <mergeCell ref="AJ5:AL5"/>
    <mergeCell ref="AP5:AR5"/>
    <mergeCell ref="AS5:AU5"/>
    <mergeCell ref="AV4:AX4"/>
    <mergeCell ref="Q5:S5"/>
    <mergeCell ref="T5:V5"/>
    <mergeCell ref="W5:Y5"/>
    <mergeCell ref="Z5:AB5"/>
    <mergeCell ref="AC5:AE5"/>
    <mergeCell ref="AM5:AO5"/>
    <mergeCell ref="AV5:AX5"/>
  </mergeCells>
  <pageMargins left="0.7" right="0.7" top="0.75" bottom="0.75" header="0.3" footer="0.3"/>
  <pageSetup orientation="portrait" r:id="rId1"/>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V708"/>
  <sheetViews>
    <sheetView zoomScale="85" zoomScaleNormal="85" workbookViewId="0">
      <selection activeCell="K35" sqref="K35"/>
    </sheetView>
  </sheetViews>
  <sheetFormatPr defaultRowHeight="15" x14ac:dyDescent="0.25"/>
  <cols>
    <col min="1" max="1" width="13.140625" customWidth="1"/>
    <col min="2" max="2" width="25" customWidth="1"/>
    <col min="8" max="10" width="8.85546875" style="31"/>
    <col min="15" max="15" width="16.7109375" style="50" bestFit="1" customWidth="1"/>
    <col min="16" max="16" width="16.7109375" customWidth="1"/>
    <col min="29" max="29" width="8.85546875" style="31"/>
    <col min="33" max="33" width="10.140625" customWidth="1"/>
    <col min="34" max="34" width="12" bestFit="1" customWidth="1"/>
    <col min="42" max="42" width="8.85546875" style="31"/>
    <col min="45" max="45" width="8.85546875" style="31"/>
  </cols>
  <sheetData>
    <row r="1" spans="1:48" s="31" customFormat="1" ht="27.75" x14ac:dyDescent="0.4">
      <c r="A1" s="261" t="s">
        <v>16</v>
      </c>
      <c r="B1" s="261"/>
      <c r="C1" s="261"/>
      <c r="D1" s="261"/>
      <c r="E1" s="261"/>
      <c r="F1" s="261"/>
      <c r="G1" s="261"/>
      <c r="H1" s="261"/>
      <c r="I1" s="261"/>
      <c r="J1" s="261"/>
      <c r="K1" s="261"/>
      <c r="L1" s="261"/>
      <c r="M1" s="261"/>
      <c r="N1" s="261" t="s">
        <v>183</v>
      </c>
      <c r="O1" s="261"/>
      <c r="P1" s="261"/>
      <c r="Q1" s="261"/>
      <c r="R1" s="261"/>
      <c r="S1" s="261"/>
      <c r="T1" s="261"/>
      <c r="U1" s="261"/>
      <c r="V1" s="261"/>
      <c r="W1" s="261"/>
      <c r="X1" s="261"/>
    </row>
    <row r="2" spans="1:48" s="31" customFormat="1" x14ac:dyDescent="0.25">
      <c r="A2" s="11"/>
      <c r="B2" s="11" t="s">
        <v>17</v>
      </c>
      <c r="C2" s="12"/>
      <c r="D2" s="17"/>
      <c r="E2" s="11"/>
      <c r="F2" s="11"/>
      <c r="G2" s="11"/>
      <c r="H2" s="11"/>
      <c r="I2" s="11"/>
      <c r="J2" s="11"/>
      <c r="K2" s="11"/>
      <c r="L2" s="11"/>
      <c r="M2" s="11"/>
    </row>
    <row r="3" spans="1:48" s="31" customFormat="1" ht="15.75" thickBot="1" x14ac:dyDescent="0.3">
      <c r="A3" s="11"/>
      <c r="B3" s="11" t="s">
        <v>18</v>
      </c>
      <c r="C3" s="13"/>
      <c r="D3" s="17"/>
      <c r="E3" s="11"/>
      <c r="F3" s="23"/>
      <c r="G3" s="24"/>
      <c r="H3" s="24"/>
      <c r="I3" s="24"/>
      <c r="J3" s="24"/>
      <c r="K3" s="38"/>
      <c r="L3" s="11"/>
      <c r="M3" s="11"/>
    </row>
    <row r="4" spans="1:48" s="31" customFormat="1" ht="15.75" thickBot="1" x14ac:dyDescent="0.3">
      <c r="A4" s="11"/>
      <c r="B4" s="11" t="s">
        <v>19</v>
      </c>
      <c r="C4" s="14"/>
      <c r="D4" s="17"/>
      <c r="E4" s="11"/>
      <c r="F4" s="23"/>
      <c r="G4" s="24"/>
      <c r="H4" s="24"/>
      <c r="I4" s="24"/>
      <c r="J4" s="24"/>
      <c r="K4" s="38"/>
      <c r="L4" s="11"/>
      <c r="M4" s="11"/>
      <c r="N4" s="84"/>
      <c r="O4" s="90"/>
      <c r="P4" s="264" t="s">
        <v>214</v>
      </c>
      <c r="Q4" s="264"/>
      <c r="R4" s="264"/>
      <c r="S4" s="264"/>
      <c r="T4" s="264"/>
      <c r="U4" s="264"/>
      <c r="V4" s="264"/>
      <c r="W4" s="264"/>
      <c r="X4" s="264"/>
      <c r="Y4" s="264"/>
      <c r="Z4" s="264"/>
      <c r="AA4" s="264"/>
      <c r="AB4" s="264"/>
      <c r="AC4" s="264"/>
      <c r="AD4" s="264"/>
      <c r="AE4" s="265"/>
      <c r="AF4" s="263" t="s">
        <v>215</v>
      </c>
      <c r="AG4" s="264"/>
      <c r="AH4" s="264"/>
      <c r="AI4" s="264"/>
      <c r="AJ4" s="264"/>
      <c r="AK4" s="264"/>
      <c r="AL4" s="264"/>
      <c r="AM4" s="264"/>
      <c r="AN4" s="264"/>
      <c r="AO4" s="264"/>
      <c r="AP4" s="264"/>
      <c r="AQ4" s="264"/>
      <c r="AR4" s="265"/>
      <c r="AS4" s="263" t="s">
        <v>226</v>
      </c>
      <c r="AT4" s="264"/>
      <c r="AU4" s="265"/>
    </row>
    <row r="5" spans="1:48" s="31" customFormat="1" x14ac:dyDescent="0.25">
      <c r="A5" s="11"/>
      <c r="D5" s="17"/>
      <c r="E5" s="11"/>
      <c r="F5" s="11"/>
      <c r="G5" s="11"/>
      <c r="H5" s="11"/>
      <c r="I5" s="11"/>
      <c r="J5" s="11"/>
      <c r="K5" s="11"/>
      <c r="L5" s="11"/>
      <c r="M5" s="11"/>
      <c r="N5" s="58"/>
      <c r="O5" s="61"/>
      <c r="P5" s="49"/>
      <c r="Q5" s="266" t="s">
        <v>206</v>
      </c>
      <c r="R5" s="266"/>
      <c r="S5" s="266"/>
      <c r="T5" s="267" t="s">
        <v>208</v>
      </c>
      <c r="U5" s="267"/>
      <c r="V5" s="267"/>
      <c r="W5" s="267" t="s">
        <v>208</v>
      </c>
      <c r="X5" s="267"/>
      <c r="Y5" s="267"/>
      <c r="Z5" s="267" t="s">
        <v>211</v>
      </c>
      <c r="AA5" s="267"/>
      <c r="AB5" s="267"/>
      <c r="AC5" s="268" t="s">
        <v>213</v>
      </c>
      <c r="AD5" s="267"/>
      <c r="AE5" s="269"/>
      <c r="AF5" s="49"/>
      <c r="AG5" s="267" t="s">
        <v>222</v>
      </c>
      <c r="AH5" s="267"/>
      <c r="AI5" s="267"/>
      <c r="AJ5" s="267" t="s">
        <v>223</v>
      </c>
      <c r="AK5" s="267"/>
      <c r="AL5" s="267"/>
      <c r="AM5" s="267" t="s">
        <v>217</v>
      </c>
      <c r="AN5" s="267"/>
      <c r="AO5" s="267"/>
      <c r="AP5" s="268" t="s">
        <v>213</v>
      </c>
      <c r="AQ5" s="267"/>
      <c r="AR5" s="269"/>
      <c r="AS5" s="268" t="s">
        <v>213</v>
      </c>
      <c r="AT5" s="267"/>
      <c r="AU5" s="269"/>
    </row>
    <row r="6" spans="1:48" s="31" customFormat="1" ht="15.75" thickBot="1" x14ac:dyDescent="0.3">
      <c r="A6" s="10" t="s">
        <v>20</v>
      </c>
      <c r="B6" s="10" t="s">
        <v>21</v>
      </c>
      <c r="C6" s="10" t="s">
        <v>22</v>
      </c>
      <c r="D6" s="17"/>
      <c r="E6" s="262" t="s">
        <v>23</v>
      </c>
      <c r="F6" s="262"/>
      <c r="G6" s="262"/>
      <c r="H6" s="262"/>
      <c r="I6" s="262"/>
      <c r="J6" s="262"/>
      <c r="K6" s="262"/>
      <c r="L6" s="35"/>
      <c r="M6" s="25"/>
      <c r="N6" s="58"/>
      <c r="O6" s="61"/>
      <c r="P6" s="79" t="s">
        <v>189</v>
      </c>
      <c r="Q6" s="49" t="s">
        <v>212</v>
      </c>
      <c r="R6" s="79" t="s">
        <v>209</v>
      </c>
      <c r="S6" s="79" t="s">
        <v>210</v>
      </c>
      <c r="T6" s="79" t="s">
        <v>212</v>
      </c>
      <c r="U6" s="79" t="s">
        <v>209</v>
      </c>
      <c r="V6" s="79" t="s">
        <v>210</v>
      </c>
      <c r="W6" s="81" t="s">
        <v>212</v>
      </c>
      <c r="X6" s="79" t="s">
        <v>209</v>
      </c>
      <c r="Y6" s="79" t="s">
        <v>210</v>
      </c>
      <c r="Z6" s="81" t="s">
        <v>212</v>
      </c>
      <c r="AA6" s="81" t="s">
        <v>209</v>
      </c>
      <c r="AB6" s="81" t="s">
        <v>210</v>
      </c>
      <c r="AC6" s="82" t="s">
        <v>227</v>
      </c>
      <c r="AD6" s="81" t="s">
        <v>209</v>
      </c>
      <c r="AE6" s="83" t="s">
        <v>210</v>
      </c>
      <c r="AF6" s="79" t="s">
        <v>224</v>
      </c>
      <c r="AG6" s="81" t="s">
        <v>212</v>
      </c>
      <c r="AH6" s="81" t="s">
        <v>225</v>
      </c>
      <c r="AI6" s="81" t="s">
        <v>210</v>
      </c>
      <c r="AJ6" s="81" t="s">
        <v>212</v>
      </c>
      <c r="AK6" s="81" t="s">
        <v>225</v>
      </c>
      <c r="AL6" s="81" t="s">
        <v>210</v>
      </c>
      <c r="AM6" s="81" t="s">
        <v>212</v>
      </c>
      <c r="AN6" s="81" t="s">
        <v>225</v>
      </c>
      <c r="AO6" s="81" t="s">
        <v>210</v>
      </c>
      <c r="AP6" s="82" t="s">
        <v>227</v>
      </c>
      <c r="AQ6" s="81" t="s">
        <v>209</v>
      </c>
      <c r="AR6" s="83" t="s">
        <v>210</v>
      </c>
      <c r="AS6" s="82" t="s">
        <v>227</v>
      </c>
      <c r="AT6" s="81" t="s">
        <v>209</v>
      </c>
      <c r="AU6" s="83" t="s">
        <v>210</v>
      </c>
    </row>
    <row r="7" spans="1:48" s="31" customFormat="1" ht="15.75" thickBot="1" x14ac:dyDescent="0.3">
      <c r="A7" s="10"/>
      <c r="B7" s="10"/>
      <c r="C7" s="10"/>
      <c r="D7" s="17"/>
      <c r="E7" s="45"/>
      <c r="F7" s="45"/>
      <c r="G7" s="45"/>
      <c r="H7" s="45"/>
      <c r="I7" s="45"/>
      <c r="J7" s="45"/>
      <c r="K7" s="45"/>
      <c r="L7" s="45"/>
      <c r="M7" s="25"/>
      <c r="N7" s="31" t="s">
        <v>395</v>
      </c>
      <c r="O7" s="90">
        <f>fcross</f>
        <v>5000</v>
      </c>
      <c r="P7" s="86" t="str">
        <f>COMPLEX(ADC_VINmin,0)</f>
        <v>304.285714285714</v>
      </c>
      <c r="Q7" s="87" t="str">
        <f>IMSUM(COMPLEX(1,0),IMDIV(COMPLEX(0,2*PI()*O7),COMPLEX(wp_lf_VINmin,0)))</f>
        <v>1+1635.87217461926i</v>
      </c>
      <c r="R7" s="87">
        <f>IMABS(Q7)</f>
        <v>1635.8724802665843</v>
      </c>
      <c r="S7" s="87">
        <f t="shared" ref="S7" si="0">IMARGUMENT(Q7)</f>
        <v>1.5701850321650626</v>
      </c>
      <c r="T7" s="87" t="str">
        <f>IMSUM(COMPLEX(1,0),IMDIV(COMPLEX(0,2*PI()*O7),COMPLEX(wz_esr_VINmin,0)))</f>
        <v>1+0.0339292006587697i</v>
      </c>
      <c r="U7" s="87">
        <f>IMABS(T7)</f>
        <v>1.000575429768962</v>
      </c>
      <c r="V7" s="87">
        <f t="shared" ref="V7" si="1">IMARGUMENT(T7)</f>
        <v>3.3916189984644803E-2</v>
      </c>
      <c r="W7" s="85" t="str">
        <f>IMSUB(COMPLEX(1,0),IMDIV(COMPLEX(0,2*PI()*O7),COMPLEX(wz_RHP_VINmin,0)))</f>
        <v>1-0.106028752058656i</v>
      </c>
      <c r="X7" s="87">
        <f>IMABS(W7)</f>
        <v>1.0056053382232595</v>
      </c>
      <c r="Y7" s="87">
        <f t="shared" ref="Y7" si="2">IMARGUMENT(W7)</f>
        <v>-0.10563408232777484</v>
      </c>
      <c r="Z7" s="85" t="str">
        <f>IMSUM(COMPLEX(1,0),IMDIV(COMPLEX(0,2*PI()*O7),COMPLEX(Q_VINmin*(wsl_VINmin/2),0)),IMDIV(IMPOWER(COMPLEX(0,2*PI()*O7),2),IMPOWER(COMPLEX(wsl_VINmin/2,0),2)))</f>
        <v>0.998430283227137+0.791134382985256i</v>
      </c>
      <c r="AA7" s="87">
        <f>IMABS(Z7)</f>
        <v>1.273874657258901</v>
      </c>
      <c r="AB7" s="87">
        <f t="shared" ref="AB7" si="3">IMARGUMENT(Z7)</f>
        <v>0.67007618888535581</v>
      </c>
      <c r="AC7" s="88" t="str">
        <f>(IMDIV(IMPRODUCT(P7,T7,W7),IMPRODUCT(Q7,Z7)))</f>
        <v>-0.0991950728536728-0.108379025479732i</v>
      </c>
      <c r="AD7" s="89">
        <f>20*LOG(IMABS(AC7))</f>
        <v>-16.658343531617138</v>
      </c>
      <c r="AE7" s="90">
        <f t="shared" ref="AE7" si="4">(180/PI())*IMARGUMENT(AC7)</f>
        <v>-132.46664551984819</v>
      </c>
      <c r="AF7" s="85" t="str">
        <f t="shared" ref="AF7:AF13" si="5">COMPLEX(Adc_ea,0)</f>
        <v>-0.000495863624968664</v>
      </c>
      <c r="AG7" s="85" t="str">
        <f>COMPLEX(0,2*PI()*O7*wp0_ea)</f>
        <v>0.00693412330500339i</v>
      </c>
      <c r="AH7" s="85">
        <f>IMABS(AG7)</f>
        <v>6.9341233050033901E-3</v>
      </c>
      <c r="AI7" s="85">
        <f>IMARGUMENT(AG7)</f>
        <v>1.5707963267948966</v>
      </c>
      <c r="AJ7" s="85" t="str">
        <f>IMSUM(COMPLEX(1,0),IMDIV(COMPLEX(0,2*PI()*O7),COMPLEX(wp1_ea,0)))</f>
        <v>1+0.0270548174879642i</v>
      </c>
      <c r="AK7" s="85">
        <f>IMABS(AJ7)</f>
        <v>1.000365914627896</v>
      </c>
      <c r="AL7" s="85">
        <f>IMARGUMENT(AJ7)</f>
        <v>2.7048219342344079E-2</v>
      </c>
      <c r="AM7" s="85" t="str">
        <f>IMSUM(COMPLEX(1,0),IMDIV(COMPLEX(0,2*PI()*O7),COMPLEX(wz_ea,0)))</f>
        <v>1+8.29380460547704i</v>
      </c>
      <c r="AN7" s="85">
        <f>IMABS(AM7)</f>
        <v>8.3538730439139535</v>
      </c>
      <c r="AO7" s="85">
        <f>IMARGUMENT(AM7)</f>
        <v>1.4508036312260839</v>
      </c>
      <c r="AP7" s="84" t="str">
        <f>IMPRODUCT(AF7,IMDIV(AM7,IMPRODUCT(AG7,AJ7)))</f>
        <v>-0.59072821205196+0.0874926882292088i</v>
      </c>
      <c r="AQ7" s="85">
        <f>20*LOG(IMABS(AP7))</f>
        <v>-4.4780064792510412</v>
      </c>
      <c r="AR7" s="90">
        <f>(180/PI())*IMARGUMENT(AP7)</f>
        <v>171.57517615984847</v>
      </c>
      <c r="AS7" s="84" t="str">
        <f>IMPRODUCT(AC7,AP7)</f>
        <v>0.0680797003180977+0.0553437043625158i</v>
      </c>
      <c r="AT7" s="89">
        <f>20*LOG(IMABS(AS7))</f>
        <v>-21.136350010868181</v>
      </c>
      <c r="AU7" s="90">
        <f>(180/PI())*IMARGUMENT(AS7)</f>
        <v>39.108530640000261</v>
      </c>
    </row>
    <row r="8" spans="1:48" s="31" customFormat="1" ht="15.75" thickBot="1" x14ac:dyDescent="0.3">
      <c r="A8" s="10"/>
      <c r="B8" s="10"/>
      <c r="C8" s="10"/>
      <c r="D8" s="17"/>
      <c r="E8" s="97"/>
      <c r="F8" s="97"/>
      <c r="G8" s="97"/>
      <c r="H8" s="97"/>
      <c r="I8" s="97"/>
      <c r="J8" s="97"/>
      <c r="K8" s="97"/>
      <c r="L8" s="97"/>
      <c r="M8" s="25"/>
      <c r="N8" s="84" t="s">
        <v>254</v>
      </c>
      <c r="O8" s="90">
        <f>fcross</f>
        <v>5000</v>
      </c>
      <c r="P8" s="86" t="str">
        <f t="shared" ref="P8:P13" si="6">COMPLEX(Adc,0)</f>
        <v>304.285714285714</v>
      </c>
      <c r="Q8" s="87" t="str">
        <f>IMSUM(COMPLEX(1,0),IMDIV(COMPLEX(0,2*PI()*O8),COMPLEX(wp_lf,0)))</f>
        <v>1+1635.87217461926i</v>
      </c>
      <c r="R8" s="87">
        <f>IMABS(Q8)</f>
        <v>1635.8724802665843</v>
      </c>
      <c r="S8" s="87">
        <f t="shared" ref="S8" si="7">IMARGUMENT(Q8)</f>
        <v>1.5701850321650626</v>
      </c>
      <c r="T8" s="87" t="str">
        <f>IMSUM(COMPLEX(1,0),IMDIV(COMPLEX(0,2*PI()*O8),COMPLEX(wz_esr,0)))</f>
        <v>1+0.0339292006587697i</v>
      </c>
      <c r="U8" s="87">
        <f>IMABS(T8)</f>
        <v>1.000575429768962</v>
      </c>
      <c r="V8" s="87">
        <f t="shared" ref="V8" si="8">IMARGUMENT(T8)</f>
        <v>3.3916189984644803E-2</v>
      </c>
      <c r="W8" s="85" t="str">
        <f>IMSUB(COMPLEX(1,0),IMDIV(COMPLEX(0,2*PI()*O8),COMPLEX(wz_rhp,0)))</f>
        <v>1-0.106028752058656i</v>
      </c>
      <c r="X8" s="87">
        <f>IMABS(W8)</f>
        <v>1.0056053382232595</v>
      </c>
      <c r="Y8" s="87">
        <f t="shared" ref="Y8" si="9">IMARGUMENT(W8)</f>
        <v>-0.10563408232777484</v>
      </c>
      <c r="Z8" s="85" t="str">
        <f>IMSUM(COMPLEX(1,0),IMDIV(COMPLEX(0,2*PI()*O8),COMPLEX(Q*(wsl/2),0)),IMDIV(IMPOWER(COMPLEX(0,2*PI()*O8),2),IMPOWER(COMPLEX(wsl/2,0),2)))</f>
        <v>0.998430283227137+0.935327242982931i</v>
      </c>
      <c r="AA8" s="87">
        <f>IMABS(Z8)</f>
        <v>1.3681009034172413</v>
      </c>
      <c r="AB8" s="87">
        <f t="shared" ref="AB8" si="10">IMARGUMENT(Z8)</f>
        <v>0.75277739536026822</v>
      </c>
      <c r="AC8" s="88" t="str">
        <f>(IMDIV(IMPRODUCT(P8,T8,W8),IMPRODUCT(Q8,Z8)))</f>
        <v>-0.100383702618278-0.0929398112330652i</v>
      </c>
      <c r="AD8" s="89">
        <f>20*LOG(IMABS(AC8))</f>
        <v>-17.278172170242033</v>
      </c>
      <c r="AE8" s="90">
        <f t="shared" ref="AE8" si="11">(180/PI())*IMARGUMENT(AC8)</f>
        <v>-137.20507561150103</v>
      </c>
      <c r="AF8" s="85" t="str">
        <f t="shared" si="5"/>
        <v>-0.000495863624968664</v>
      </c>
      <c r="AG8" s="85" t="str">
        <f>COMPLEX(0,2*PI()*O8*wp0_ea)</f>
        <v>0.00693412330500339i</v>
      </c>
      <c r="AH8" s="85">
        <f>IMABS(AG8)</f>
        <v>6.9341233050033901E-3</v>
      </c>
      <c r="AI8" s="85">
        <f>IMARGUMENT(AG8)</f>
        <v>1.5707963267948966</v>
      </c>
      <c r="AJ8" s="85" t="str">
        <f>IMSUM(COMPLEX(1,0),IMDIV(COMPLEX(0,2*PI()*O8),COMPLEX(wp1_ea,0)))</f>
        <v>1+0.0270548174879642i</v>
      </c>
      <c r="AK8" s="85">
        <f>IMABS(AJ8)</f>
        <v>1.000365914627896</v>
      </c>
      <c r="AL8" s="85">
        <f>IMARGUMENT(AJ8)</f>
        <v>2.7048219342344079E-2</v>
      </c>
      <c r="AM8" s="85" t="str">
        <f>IMSUM(COMPLEX(1,0),IMDIV(COMPLEX(0,2*PI()*O8),COMPLEX(wz_ea,0)))</f>
        <v>1+8.29380460547704i</v>
      </c>
      <c r="AN8" s="85">
        <f>IMABS(AM8)</f>
        <v>8.3538730439139535</v>
      </c>
      <c r="AO8" s="85">
        <f>IMARGUMENT(AM8)</f>
        <v>1.4508036312260839</v>
      </c>
      <c r="AP8" s="84" t="str">
        <f>IMPRODUCT(AF8,IMDIV(AM8,IMPRODUCT(AG8,AJ8)))</f>
        <v>-0.59072821205196+0.0874926882292088i</v>
      </c>
      <c r="AQ8" s="85">
        <f>20*LOG(IMABS(AP8))</f>
        <v>-4.4780064792510412</v>
      </c>
      <c r="AR8" s="90">
        <f>(180/PI())*IMARGUMENT(AP8)</f>
        <v>171.57517615984847</v>
      </c>
      <c r="AS8" s="84" t="str">
        <f>IMPRODUCT(AC8,AP8)</f>
        <v>0.0674310390951471+0.0461193285216807i</v>
      </c>
      <c r="AT8" s="89">
        <f>20*LOG(IMABS(AS8))</f>
        <v>-21.756178649493073</v>
      </c>
      <c r="AU8" s="90">
        <f>(180/PI())*IMARGUMENT(AS8)</f>
        <v>34.370100548347466</v>
      </c>
    </row>
    <row r="9" spans="1:48" s="31" customFormat="1" x14ac:dyDescent="0.25">
      <c r="A9" s="69" t="s">
        <v>159</v>
      </c>
      <c r="B9" s="10"/>
      <c r="C9" s="10"/>
      <c r="D9" s="17"/>
      <c r="E9" s="35"/>
      <c r="F9" s="35"/>
      <c r="G9" s="35"/>
      <c r="H9" s="45"/>
      <c r="I9" s="45"/>
      <c r="J9" s="45"/>
      <c r="K9" s="35"/>
      <c r="L9" s="35"/>
      <c r="M9" s="25"/>
      <c r="N9" s="71" t="s">
        <v>255</v>
      </c>
      <c r="O9" s="91">
        <f>wz_rhp/(2*PI())</f>
        <v>47157.020175376398</v>
      </c>
      <c r="P9" s="72" t="str">
        <f t="shared" si="6"/>
        <v>304.285714285714</v>
      </c>
      <c r="Q9" s="73" t="str">
        <f>IMSUM(COMPLEX(1,0),IMDIV(COMPLEX(0,2*PI()*O9),COMPLEX(wp_lf,0)))</f>
        <v>1+15428.5714285714i</v>
      </c>
      <c r="R9" s="73">
        <f t="shared" ref="R9:R13" si="12">IMABS(Q9)</f>
        <v>15428.571460978806</v>
      </c>
      <c r="S9" s="73">
        <f t="shared" ref="S9:S11" si="13">IMARGUMENT(Q9)</f>
        <v>1.5707315119801726</v>
      </c>
      <c r="T9" s="73" t="str">
        <f t="shared" ref="T9:T13" si="14">IMSUM(COMPLEX(1,0),IMDIV(COMPLEX(0,2*PI()*O9),COMPLEX(wz_esr,0)))</f>
        <v>1+0.32i</v>
      </c>
      <c r="U9" s="73">
        <f t="shared" ref="U9:U13" si="15">IMABS(T9)</f>
        <v>1.049952379872535</v>
      </c>
      <c r="V9" s="73">
        <f t="shared" ref="V9:V11" si="16">IMARGUMENT(T9)</f>
        <v>0.30970294454245623</v>
      </c>
      <c r="W9" s="74" t="str">
        <f t="shared" ref="W9:W13" si="17">IMSUB(COMPLEX(1,0),IMDIV(COMPLEX(0,2*PI()*O9),COMPLEX(wz_rhp,0)))</f>
        <v>1-i</v>
      </c>
      <c r="X9" s="73">
        <f t="shared" ref="X9:X13" si="18">IMABS(W9)</f>
        <v>1.4142135623730951</v>
      </c>
      <c r="Y9" s="73">
        <f t="shared" ref="Y9:Y11" si="19">IMARGUMENT(W9)</f>
        <v>-0.78539816339744828</v>
      </c>
      <c r="Z9" s="74" t="str">
        <f t="shared" ref="Z9:Z13" si="20">IMSUM(COMPLEX(1,0),IMDIV(COMPLEX(0,2*PI()*O9),COMPLEX(Q*(wsl/2),0)),IMDIV(IMPOWER(COMPLEX(0,2*PI()*O9),2),IMPOWER(COMPLEX(wsl/2,0),2)))</f>
        <v>0.860371523590906+8.82144913358505i</v>
      </c>
      <c r="AA9" s="73">
        <f t="shared" ref="AA9:AA13" si="21">IMABS(Z9)</f>
        <v>8.8633066050450147</v>
      </c>
      <c r="AB9" s="73">
        <f t="shared" ref="AB9:AB11" si="22">IMARGUMENT(Z9)</f>
        <v>1.4735720616093195</v>
      </c>
      <c r="AC9" s="75" t="str">
        <f t="shared" ref="AC9:AC11" si="23">(IMDIV(IMPRODUCT(P9,T9,W9),IMPRODUCT(Q9,Z9)))</f>
        <v>-0.00307029013979784+0.00122064224829686i</v>
      </c>
      <c r="AD9" s="76">
        <f t="shared" ref="AD9:AD13" si="24">20*LOG(IMABS(AC9))</f>
        <v>-49.619106515943365</v>
      </c>
      <c r="AE9" s="77">
        <f t="shared" ref="AE9:AE11" si="25">(180/PI())*IMARGUMENT(AC9)</f>
        <v>158.31892530178476</v>
      </c>
      <c r="AF9" s="74" t="str">
        <f t="shared" si="5"/>
        <v>-0.000495863624968664</v>
      </c>
      <c r="AG9" s="74" t="str">
        <f t="shared" ref="AG9:AG13" si="26">COMPLEX(0,2*PI()*O9*wp0_ea)</f>
        <v>0.0653985185185185i</v>
      </c>
      <c r="AH9" s="74">
        <f t="shared" ref="AH9:AH13" si="27">IMABS(AG9)</f>
        <v>6.5398518518518495E-2</v>
      </c>
      <c r="AI9" s="74">
        <f t="shared" ref="AI9:AI11" si="28">IMARGUMENT(AG9)</f>
        <v>1.5707963267948966</v>
      </c>
      <c r="AJ9" s="74" t="str">
        <f t="shared" ref="AJ9:AJ13" si="29">IMSUM(COMPLEX(1,0),IMDIV(COMPLEX(0,2*PI()*O9),COMPLEX(wp1_ea,0)))</f>
        <v>1+0.255164914824211i</v>
      </c>
      <c r="AK9" s="74">
        <f t="shared" ref="AK9:AK13" si="30">IMABS(AJ9)</f>
        <v>1.0320412461511637</v>
      </c>
      <c r="AL9" s="74">
        <f t="shared" ref="AL9:AL11" si="31">IMARGUMENT(AJ9)</f>
        <v>0.2498338208884236</v>
      </c>
      <c r="AM9" s="74" t="str">
        <f t="shared" ref="AM9:AM13" si="32">IMSUM(COMPLEX(1,0),IMDIV(COMPLEX(0,2*PI()*O9),COMPLEX(wz_ea,0)))</f>
        <v>1+78.2222222222221i</v>
      </c>
      <c r="AN9" s="74">
        <f t="shared" ref="AN9:AN13" si="33">IMABS(AM9)</f>
        <v>78.228614006530222</v>
      </c>
      <c r="AO9" s="74">
        <f t="shared" ref="AO9:AO11" si="34">IMARGUMENT(AM9)</f>
        <v>1.5580129322648797</v>
      </c>
      <c r="AP9" s="71" t="str">
        <f t="shared" ref="AP9:AP11" si="35">IMPRODUCT(AF9,IMDIV(AM9,IMPRODUCT(AG9,AJ9)))</f>
        <v>-0.555023503787898+0.149204709440031i</v>
      </c>
      <c r="AQ9" s="74">
        <f t="shared" ref="AQ9:AQ13" si="36">20*LOG(IMABS(AP9))</f>
        <v>-4.8107415601600962</v>
      </c>
      <c r="AR9" s="77">
        <f t="shared" ref="AR9:AR11" si="37">(180/PI())*IMARGUMENT(AP9)</f>
        <v>164.95314192904536</v>
      </c>
      <c r="AS9" s="71" t="str">
        <f t="shared" ref="AS9:AS11" si="38">IMPRODUCT(AC9,AP9)</f>
        <v>0.00152195761904867-0.00113558688572639i</v>
      </c>
      <c r="AT9" s="76">
        <f t="shared" ref="AT9:AT13" si="39">20*LOG(IMABS(AS9))</f>
        <v>-54.429848076103468</v>
      </c>
      <c r="AU9" s="77">
        <f t="shared" ref="AU9:AU11" si="40">(180/PI())*IMARGUMENT(AS9)</f>
        <v>-36.727932769169939</v>
      </c>
    </row>
    <row r="10" spans="1:48" s="31" customFormat="1" x14ac:dyDescent="0.25">
      <c r="A10" s="31" t="s">
        <v>26</v>
      </c>
      <c r="B10" s="3">
        <f>VIN_min</f>
        <v>12</v>
      </c>
      <c r="C10" s="31" t="s">
        <v>11</v>
      </c>
      <c r="E10" s="31" t="s">
        <v>29</v>
      </c>
      <c r="N10" s="58" t="s">
        <v>208</v>
      </c>
      <c r="O10" s="92">
        <f>wz_esr/(2*PI())</f>
        <v>147365.68804805123</v>
      </c>
      <c r="P10" s="78" t="str">
        <f t="shared" si="6"/>
        <v>304.285714285714</v>
      </c>
      <c r="Q10" s="79" t="str">
        <f t="shared" ref="Q10:Q13" si="41">IMSUM(COMPLEX(1,0),IMDIV(COMPLEX(0,2*PI()*O10),COMPLEX(wp_lf,0)))</f>
        <v>1+48214.2857142858i</v>
      </c>
      <c r="R10" s="79">
        <f t="shared" si="12"/>
        <v>48214.285724656176</v>
      </c>
      <c r="S10" s="79">
        <f t="shared" si="13"/>
        <v>1.5707755860541588</v>
      </c>
      <c r="T10" s="79" t="str">
        <f t="shared" si="14"/>
        <v>1+i</v>
      </c>
      <c r="U10" s="79">
        <f t="shared" si="15"/>
        <v>1.4142135623730951</v>
      </c>
      <c r="V10" s="79">
        <f t="shared" si="16"/>
        <v>0.78539816339744828</v>
      </c>
      <c r="W10" s="49" t="str">
        <f t="shared" si="17"/>
        <v>1-3.125i</v>
      </c>
      <c r="X10" s="79">
        <f t="shared" si="18"/>
        <v>3.281101187101672</v>
      </c>
      <c r="Y10" s="79">
        <f t="shared" si="19"/>
        <v>-1.2610933822524404</v>
      </c>
      <c r="Z10" s="49" t="str">
        <f t="shared" si="20"/>
        <v>-0.36355933993256+27.5670285424533i</v>
      </c>
      <c r="AA10" s="79">
        <f t="shared" si="21"/>
        <v>27.569425783902123</v>
      </c>
      <c r="AB10" s="79">
        <f t="shared" si="22"/>
        <v>1.5839837569815642</v>
      </c>
      <c r="AC10" s="66" t="str">
        <f t="shared" si="23"/>
        <v>-0.000937796170957213+0.000498839245240089i</v>
      </c>
      <c r="AD10" s="64">
        <f t="shared" si="24"/>
        <v>-59.475745454816447</v>
      </c>
      <c r="AE10" s="61">
        <f t="shared" si="25"/>
        <v>151.99027588964569</v>
      </c>
      <c r="AF10" s="49" t="str">
        <f t="shared" si="5"/>
        <v>-0.000495863624968664</v>
      </c>
      <c r="AG10" s="49" t="str">
        <f t="shared" si="26"/>
        <v>0.20437037037037i</v>
      </c>
      <c r="AH10" s="49">
        <f t="shared" si="27"/>
        <v>0.20437037037037001</v>
      </c>
      <c r="AI10" s="49">
        <f t="shared" si="28"/>
        <v>1.5707963267948966</v>
      </c>
      <c r="AJ10" s="49" t="str">
        <f t="shared" si="29"/>
        <v>1+0.797390358825659i</v>
      </c>
      <c r="AK10" s="49">
        <f t="shared" si="30"/>
        <v>1.2789962409436992</v>
      </c>
      <c r="AL10" s="49">
        <f t="shared" si="31"/>
        <v>0.67314767072375803</v>
      </c>
      <c r="AM10" s="49" t="str">
        <f t="shared" si="32"/>
        <v>1+244.444444444444i</v>
      </c>
      <c r="AN10" s="49">
        <f t="shared" si="33"/>
        <v>244.44648989043159</v>
      </c>
      <c r="AO10" s="49">
        <f t="shared" si="34"/>
        <v>1.5667054405249454</v>
      </c>
      <c r="AP10" s="58" t="str">
        <f t="shared" si="35"/>
        <v>-0.361382358225155+0.290589107296997i</v>
      </c>
      <c r="AQ10" s="49">
        <f t="shared" si="36"/>
        <v>-6.6748228732877015</v>
      </c>
      <c r="AR10" s="61">
        <f t="shared" si="37"/>
        <v>141.19708896073044</v>
      </c>
      <c r="AS10" s="58" t="str">
        <f t="shared" si="38"/>
        <v>0.000193945740836013-0.000452785054965118i</v>
      </c>
      <c r="AT10" s="64">
        <f t="shared" si="39"/>
        <v>-66.150568328104157</v>
      </c>
      <c r="AU10" s="61">
        <f t="shared" si="40"/>
        <v>-66.812635149623887</v>
      </c>
    </row>
    <row r="11" spans="1:48" s="31" customFormat="1" ht="15.75" thickBot="1" x14ac:dyDescent="0.3">
      <c r="A11" s="31" t="s">
        <v>27</v>
      </c>
      <c r="B11" s="3">
        <f>VIN_nom</f>
        <v>12</v>
      </c>
      <c r="C11" s="31" t="s">
        <v>11</v>
      </c>
      <c r="E11" s="31" t="s">
        <v>30</v>
      </c>
      <c r="N11" s="62" t="s">
        <v>206</v>
      </c>
      <c r="O11" s="93">
        <f>wp_lf/(2*PI())</f>
        <v>3.056473529885507</v>
      </c>
      <c r="P11" s="80" t="str">
        <f t="shared" si="6"/>
        <v>304.285714285714</v>
      </c>
      <c r="Q11" s="54" t="str">
        <f t="shared" si="41"/>
        <v>1+i</v>
      </c>
      <c r="R11" s="54">
        <f t="shared" si="12"/>
        <v>1.4142135623730951</v>
      </c>
      <c r="S11" s="54">
        <f t="shared" si="13"/>
        <v>0.78539816339744828</v>
      </c>
      <c r="T11" s="54" t="str">
        <f t="shared" si="14"/>
        <v>1+0.0000207407407407407i</v>
      </c>
      <c r="U11" s="54">
        <f t="shared" si="15"/>
        <v>1.0000000002150893</v>
      </c>
      <c r="V11" s="54">
        <f t="shared" si="16"/>
        <v>2.0740740737766628E-5</v>
      </c>
      <c r="W11" s="55" t="str">
        <f t="shared" si="17"/>
        <v>1-0.0000648148148148147i</v>
      </c>
      <c r="X11" s="54">
        <f t="shared" si="18"/>
        <v>1.00000000210048</v>
      </c>
      <c r="Y11" s="54">
        <f t="shared" si="19"/>
        <v>-6.4814814724053202E-5</v>
      </c>
      <c r="Z11" s="55" t="str">
        <f t="shared" si="20"/>
        <v>0.999999999413426+0.000571760591991623i</v>
      </c>
      <c r="AA11" s="54">
        <f t="shared" si="21"/>
        <v>1.0000001628685</v>
      </c>
      <c r="AB11" s="54">
        <f t="shared" si="22"/>
        <v>5.7176053002223003E-4</v>
      </c>
      <c r="AC11" s="59" t="str">
        <f t="shared" si="23"/>
        <v>152.049109050407-152.23649868084i</v>
      </c>
      <c r="AD11" s="65">
        <f t="shared" si="24"/>
        <v>46.655329917304861</v>
      </c>
      <c r="AE11" s="63">
        <f t="shared" si="25"/>
        <v>-45.035284723687987</v>
      </c>
      <c r="AF11" s="55" t="str">
        <f t="shared" si="5"/>
        <v>-0.000495863624968664</v>
      </c>
      <c r="AG11" s="55" t="str">
        <f t="shared" si="26"/>
        <v>4.23879286694101E-06i</v>
      </c>
      <c r="AH11" s="55">
        <f t="shared" si="27"/>
        <v>4.2387928669410097E-6</v>
      </c>
      <c r="AI11" s="55">
        <f t="shared" si="28"/>
        <v>1.5707963267948966</v>
      </c>
      <c r="AJ11" s="55" t="str">
        <f t="shared" si="29"/>
        <v>1+0.0000165384667015692i</v>
      </c>
      <c r="AK11" s="55">
        <f t="shared" si="30"/>
        <v>1.0000000001367604</v>
      </c>
      <c r="AL11" s="55">
        <f t="shared" si="31"/>
        <v>1.6538466700061328E-5</v>
      </c>
      <c r="AM11" s="55" t="str">
        <f t="shared" si="32"/>
        <v>1+0.00506995884773661i</v>
      </c>
      <c r="AN11" s="55">
        <f t="shared" si="33"/>
        <v>1.0000128521587699</v>
      </c>
      <c r="AO11" s="55">
        <f t="shared" si="34"/>
        <v>5.0699154081833694E-3</v>
      </c>
      <c r="AP11" s="62" t="str">
        <f t="shared" si="35"/>
        <v>-0.591160603172744+116.98228292262i</v>
      </c>
      <c r="AQ11" s="55">
        <f t="shared" si="36"/>
        <v>41.362512752926065</v>
      </c>
      <c r="AR11" s="63">
        <f t="shared" si="37"/>
        <v>90.289537171035718</v>
      </c>
      <c r="AS11" s="62" t="str">
        <f t="shared" si="38"/>
        <v>17719.087716813+17877.0481134521i</v>
      </c>
      <c r="AT11" s="65">
        <f t="shared" si="39"/>
        <v>88.017842670230934</v>
      </c>
      <c r="AU11" s="63">
        <f t="shared" si="40"/>
        <v>45.254252447347717</v>
      </c>
    </row>
    <row r="12" spans="1:48" s="31" customFormat="1" x14ac:dyDescent="0.25">
      <c r="A12" s="31" t="s">
        <v>28</v>
      </c>
      <c r="B12" s="3">
        <f>VIN_max</f>
        <v>12</v>
      </c>
      <c r="C12" s="31" t="s">
        <v>11</v>
      </c>
      <c r="E12" s="31" t="s">
        <v>31</v>
      </c>
      <c r="N12" s="71" t="s">
        <v>217</v>
      </c>
      <c r="O12" s="77">
        <f>wz_ea/(2*PI())</f>
        <v>602.85963292384599</v>
      </c>
      <c r="P12" s="72" t="str">
        <f t="shared" si="6"/>
        <v>304.285714285714</v>
      </c>
      <c r="Q12" s="73" t="str">
        <f t="shared" si="41"/>
        <v>1+197.24025974026i</v>
      </c>
      <c r="R12" s="73">
        <f t="shared" si="12"/>
        <v>197.242794703394</v>
      </c>
      <c r="S12" s="73">
        <f t="shared" ref="S12:S13" si="42">IMARGUMENT(Q12)</f>
        <v>1.5657264113867133</v>
      </c>
      <c r="T12" s="73" t="str">
        <f t="shared" si="14"/>
        <v>1+0.00409090909090909i</v>
      </c>
      <c r="U12" s="73">
        <f t="shared" si="15"/>
        <v>1.0000083677335856</v>
      </c>
      <c r="V12" s="73">
        <f t="shared" ref="V12:V13" si="43">IMARGUMENT(T12)</f>
        <v>4.0908862699511649E-3</v>
      </c>
      <c r="W12" s="74" t="str">
        <f t="shared" si="17"/>
        <v>1-0.0127840909090909i</v>
      </c>
      <c r="X12" s="73">
        <f t="shared" si="18"/>
        <v>1.0000817131516664</v>
      </c>
      <c r="Y12" s="73">
        <f t="shared" ref="Y12:Y13" si="44">IMARGUMENT(W12)</f>
        <v>-1.2783394530016869E-2</v>
      </c>
      <c r="Z12" s="74" t="str">
        <f t="shared" si="20"/>
        <v>0.999977180101956+0.112774207673673i</v>
      </c>
      <c r="AA12" s="73">
        <f t="shared" si="21"/>
        <v>1.0063162438523412</v>
      </c>
      <c r="AB12" s="73">
        <f t="shared" ref="AB12:AB13" si="45">IMARGUMENT(Z12)</f>
        <v>0.11230227601193828</v>
      </c>
      <c r="AC12" s="75" t="str">
        <f t="shared" ref="AC12:AC13" si="46">(IMDIV(IMPRODUCT(P12,T12,W12),IMPRODUCT(Q12,Z12)))</f>
        <v>-0.177332572319194-1.52286127866313i</v>
      </c>
      <c r="AD12" s="76">
        <f t="shared" si="24"/>
        <v>3.7117010630463803</v>
      </c>
      <c r="AE12" s="77">
        <f t="shared" ref="AE12:AE13" si="47">(180/PI())*IMARGUMENT(AC12)</f>
        <v>-96.642005726504465</v>
      </c>
      <c r="AF12" s="74" t="str">
        <f t="shared" si="5"/>
        <v>-0.000495863624968664</v>
      </c>
      <c r="AG12" s="74" t="str">
        <f t="shared" si="26"/>
        <v>0.000836060606060606i</v>
      </c>
      <c r="AH12" s="74">
        <f t="shared" si="27"/>
        <v>8.3606060606060601E-4</v>
      </c>
      <c r="AI12" s="74">
        <f t="shared" ref="AI12:AI13" si="48">IMARGUMENT(AG12)</f>
        <v>1.5707963267948966</v>
      </c>
      <c r="AJ12" s="74" t="str">
        <f t="shared" si="29"/>
        <v>1+0.00326205146792315i</v>
      </c>
      <c r="AK12" s="74">
        <f t="shared" si="30"/>
        <v>1.000005320475736</v>
      </c>
      <c r="AL12" s="74">
        <f t="shared" ref="AL12:AL13" si="49">IMARGUMENT(AJ12)</f>
        <v>3.2620398975224522E-3</v>
      </c>
      <c r="AM12" s="74" t="str">
        <f t="shared" si="32"/>
        <v>1+i</v>
      </c>
      <c r="AN12" s="74">
        <f t="shared" si="33"/>
        <v>1.4142135623730951</v>
      </c>
      <c r="AO12" s="74">
        <f t="shared" ref="AO12:AO13" si="50">IMARGUMENT(AM12)</f>
        <v>0.78539816339744828</v>
      </c>
      <c r="AP12" s="71" t="str">
        <f t="shared" ref="AP12:AP13" si="51">IMPRODUCT(AF12,IMDIV(AM12,IMPRODUCT(AG12,AJ12)))</f>
        <v>-0.591154312873348+0.595023686557612i</v>
      </c>
      <c r="AQ12" s="74">
        <f t="shared" si="36"/>
        <v>-1.527256449301867</v>
      </c>
      <c r="AR12" s="77">
        <f t="shared" ref="AR12:AR13" si="52">(180/PI())*IMARGUMENT(AP12)</f>
        <v>134.81309888126856</v>
      </c>
      <c r="AS12" s="71" t="str">
        <f t="shared" ref="AS12:AS13" si="53">IMPRODUCT(AC12,AP12)</f>
        <v>1.01096944708539+0.794728931861419i</v>
      </c>
      <c r="AT12" s="76">
        <f t="shared" si="39"/>
        <v>2.1844446137445068</v>
      </c>
      <c r="AU12" s="77">
        <f t="shared" ref="AU12:AU13" si="54">(180/PI())*IMARGUMENT(AS12)</f>
        <v>38.171093154764108</v>
      </c>
    </row>
    <row r="13" spans="1:48" s="31" customFormat="1" ht="15.75" thickBot="1" x14ac:dyDescent="0.3">
      <c r="A13" s="31" t="s">
        <v>60</v>
      </c>
      <c r="B13" s="3">
        <f>Fsw</f>
        <v>252400</v>
      </c>
      <c r="C13" s="31" t="s">
        <v>61</v>
      </c>
      <c r="E13" s="31" t="s">
        <v>62</v>
      </c>
      <c r="N13" s="62" t="s">
        <v>223</v>
      </c>
      <c r="O13" s="63">
        <f>wp1_ea/(2*PI())</f>
        <v>184809.96969298788</v>
      </c>
      <c r="P13" s="80" t="str">
        <f t="shared" si="6"/>
        <v>304.285714285714</v>
      </c>
      <c r="Q13" s="54" t="str">
        <f t="shared" si="41"/>
        <v>1+60465.0974025977i</v>
      </c>
      <c r="R13" s="54">
        <f t="shared" si="12"/>
        <v>60465.097410866925</v>
      </c>
      <c r="S13" s="54">
        <f t="shared" si="42"/>
        <v>1.5707797883281966</v>
      </c>
      <c r="T13" s="54" t="str">
        <f t="shared" si="14"/>
        <v>1+1.25409090909091i</v>
      </c>
      <c r="U13" s="54">
        <f t="shared" si="15"/>
        <v>1.6039775585289417</v>
      </c>
      <c r="V13" s="54">
        <f t="shared" si="43"/>
        <v>0.89764865607113742</v>
      </c>
      <c r="W13" s="55" t="str">
        <f t="shared" si="17"/>
        <v>1-3.91903409090911i</v>
      </c>
      <c r="X13" s="54">
        <f t="shared" si="18"/>
        <v>4.0446048268907298</v>
      </c>
      <c r="Y13" s="54">
        <f t="shared" si="44"/>
        <v>-1.3209625059064736</v>
      </c>
      <c r="Z13" s="55" t="str">
        <f t="shared" si="20"/>
        <v>-1.14452978179199+34.5715598857404i</v>
      </c>
      <c r="AA13" s="54">
        <f t="shared" si="21"/>
        <v>34.590500160517244</v>
      </c>
      <c r="AB13" s="54">
        <f t="shared" si="45"/>
        <v>1.6038903474283814</v>
      </c>
      <c r="AC13" s="59" t="str">
        <f t="shared" si="46"/>
        <v>-0.00084722890605717+0.000415957439813336i</v>
      </c>
      <c r="AD13" s="65">
        <f t="shared" si="24"/>
        <v>-60.502113032847085</v>
      </c>
      <c r="AE13" s="63">
        <f t="shared" si="47"/>
        <v>153.85070286992459</v>
      </c>
      <c r="AF13" s="55" t="str">
        <f t="shared" si="5"/>
        <v>-0.000495863624968664</v>
      </c>
      <c r="AG13" s="55" t="str">
        <f t="shared" si="26"/>
        <v>0.256299023569024i</v>
      </c>
      <c r="AH13" s="55">
        <f t="shared" si="27"/>
        <v>0.25629902356902401</v>
      </c>
      <c r="AI13" s="55">
        <f t="shared" si="48"/>
        <v>1.5707963267948966</v>
      </c>
      <c r="AJ13" s="55" t="str">
        <f t="shared" si="29"/>
        <v>1+i</v>
      </c>
      <c r="AK13" s="55">
        <f t="shared" si="30"/>
        <v>1.4142135623730951</v>
      </c>
      <c r="AL13" s="55">
        <f t="shared" si="49"/>
        <v>0.78539816339744828</v>
      </c>
      <c r="AM13" s="55" t="str">
        <f t="shared" si="32"/>
        <v>1+306.555555555556i</v>
      </c>
      <c r="AN13" s="55">
        <f t="shared" si="33"/>
        <v>306.55718657695104</v>
      </c>
      <c r="AO13" s="55">
        <f t="shared" si="50"/>
        <v>1.5675342868973741</v>
      </c>
      <c r="AP13" s="62" t="str">
        <f t="shared" si="51"/>
        <v>-0.29558030166722+0.297515009096314i</v>
      </c>
      <c r="AQ13" s="55">
        <f t="shared" si="36"/>
        <v>-7.5477639366972245</v>
      </c>
      <c r="AR13" s="63">
        <f t="shared" si="52"/>
        <v>134.81309888126873</v>
      </c>
      <c r="AS13" s="62" t="str">
        <f t="shared" si="53"/>
        <v>0.000126670594143823-0.000375012141233009i</v>
      </c>
      <c r="AT13" s="65">
        <f t="shared" si="39"/>
        <v>-68.049876969544314</v>
      </c>
      <c r="AU13" s="63">
        <f t="shared" si="54"/>
        <v>-71.336198248806667</v>
      </c>
    </row>
    <row r="14" spans="1:48" s="31" customFormat="1" x14ac:dyDescent="0.25">
      <c r="B14" s="26"/>
      <c r="O14" s="50"/>
    </row>
    <row r="15" spans="1:48" ht="15.75" thickBot="1" x14ac:dyDescent="0.3">
      <c r="A15" s="68" t="s">
        <v>216</v>
      </c>
      <c r="N15" s="31"/>
      <c r="O15" s="50" t="s">
        <v>185</v>
      </c>
      <c r="P15" s="31">
        <f>B16</f>
        <v>12</v>
      </c>
      <c r="Q15" s="31" t="s">
        <v>11</v>
      </c>
      <c r="R15" s="31"/>
      <c r="S15" s="31"/>
      <c r="T15" s="31"/>
      <c r="U15" s="31"/>
      <c r="V15" s="31"/>
      <c r="W15" s="31"/>
      <c r="X15" s="31"/>
      <c r="Y15" s="31"/>
      <c r="Z15" s="31"/>
      <c r="AA15" s="31"/>
      <c r="AB15" s="31"/>
      <c r="AD15" s="31"/>
      <c r="AE15" s="31"/>
      <c r="AF15" s="31"/>
      <c r="AG15" s="31"/>
      <c r="AH15" s="31"/>
      <c r="AI15" s="31"/>
      <c r="AJ15" s="31"/>
      <c r="AK15" s="31"/>
      <c r="AL15" s="31"/>
      <c r="AM15" s="31"/>
      <c r="AN15" s="31"/>
      <c r="AO15" s="31"/>
      <c r="AQ15" s="31"/>
      <c r="AR15" s="31"/>
      <c r="AT15" s="31"/>
      <c r="AU15" s="31"/>
      <c r="AV15" s="31"/>
    </row>
    <row r="16" spans="1:48" ht="15.75" thickBot="1" x14ac:dyDescent="0.3">
      <c r="A16" t="s">
        <v>187</v>
      </c>
      <c r="B16" s="43">
        <f>VIN_var</f>
        <v>12</v>
      </c>
      <c r="C16" t="s">
        <v>11</v>
      </c>
      <c r="E16" t="s">
        <v>188</v>
      </c>
      <c r="F16" s="31"/>
      <c r="G16" s="31"/>
      <c r="N16" s="31"/>
      <c r="O16" s="67"/>
      <c r="P16" s="264" t="s">
        <v>214</v>
      </c>
      <c r="Q16" s="264"/>
      <c r="R16" s="264"/>
      <c r="S16" s="264"/>
      <c r="T16" s="264"/>
      <c r="U16" s="264"/>
      <c r="V16" s="264"/>
      <c r="W16" s="264"/>
      <c r="X16" s="264"/>
      <c r="Y16" s="264"/>
      <c r="Z16" s="264"/>
      <c r="AA16" s="264"/>
      <c r="AB16" s="264"/>
      <c r="AC16" s="264"/>
      <c r="AD16" s="264"/>
      <c r="AE16" s="265"/>
      <c r="AF16" s="263" t="s">
        <v>215</v>
      </c>
      <c r="AG16" s="264"/>
      <c r="AH16" s="264"/>
      <c r="AI16" s="264"/>
      <c r="AJ16" s="264"/>
      <c r="AK16" s="264"/>
      <c r="AL16" s="264"/>
      <c r="AM16" s="264"/>
      <c r="AN16" s="264"/>
      <c r="AO16" s="264"/>
      <c r="AP16" s="264"/>
      <c r="AQ16" s="264"/>
      <c r="AR16" s="265"/>
      <c r="AS16" s="263" t="s">
        <v>226</v>
      </c>
      <c r="AT16" s="264"/>
      <c r="AU16" s="265"/>
      <c r="AV16" s="31"/>
    </row>
    <row r="17" spans="1:48" x14ac:dyDescent="0.25">
      <c r="A17" t="s">
        <v>501</v>
      </c>
      <c r="B17" s="43">
        <f>POUT_Total</f>
        <v>1.5</v>
      </c>
      <c r="C17" t="s">
        <v>36</v>
      </c>
      <c r="E17" t="s">
        <v>502</v>
      </c>
      <c r="N17" s="31"/>
      <c r="O17" s="52"/>
      <c r="P17" s="49"/>
      <c r="Q17" s="266" t="s">
        <v>206</v>
      </c>
      <c r="R17" s="266"/>
      <c r="S17" s="266"/>
      <c r="T17" s="267" t="s">
        <v>208</v>
      </c>
      <c r="U17" s="267"/>
      <c r="V17" s="267"/>
      <c r="W17" s="267" t="s">
        <v>208</v>
      </c>
      <c r="X17" s="267"/>
      <c r="Y17" s="267"/>
      <c r="Z17" s="267" t="s">
        <v>211</v>
      </c>
      <c r="AA17" s="267"/>
      <c r="AB17" s="267"/>
      <c r="AC17" s="268" t="s">
        <v>213</v>
      </c>
      <c r="AD17" s="267"/>
      <c r="AE17" s="269"/>
      <c r="AF17" s="49"/>
      <c r="AG17" s="267" t="s">
        <v>222</v>
      </c>
      <c r="AH17" s="267"/>
      <c r="AI17" s="267"/>
      <c r="AJ17" s="267" t="s">
        <v>223</v>
      </c>
      <c r="AK17" s="267"/>
      <c r="AL17" s="267"/>
      <c r="AM17" s="267" t="s">
        <v>217</v>
      </c>
      <c r="AN17" s="267"/>
      <c r="AO17" s="267"/>
      <c r="AP17" s="268" t="s">
        <v>213</v>
      </c>
      <c r="AQ17" s="267"/>
      <c r="AR17" s="269"/>
      <c r="AS17" s="268" t="s">
        <v>213</v>
      </c>
      <c r="AT17" s="267"/>
      <c r="AU17" s="269"/>
      <c r="AV17" s="31"/>
    </row>
    <row r="18" spans="1:48" ht="15.75" thickBot="1" x14ac:dyDescent="0.3">
      <c r="A18" t="s">
        <v>503</v>
      </c>
      <c r="B18" s="1">
        <f>Cout_total</f>
        <v>5.4000000000000001E-4</v>
      </c>
      <c r="C18" t="s">
        <v>151</v>
      </c>
      <c r="N18" s="10"/>
      <c r="O18" s="53" t="s">
        <v>184</v>
      </c>
      <c r="P18" s="54" t="s">
        <v>189</v>
      </c>
      <c r="Q18" s="55" t="s">
        <v>212</v>
      </c>
      <c r="R18" s="54" t="s">
        <v>209</v>
      </c>
      <c r="S18" s="54" t="s">
        <v>210</v>
      </c>
      <c r="T18" s="54" t="s">
        <v>212</v>
      </c>
      <c r="U18" s="54" t="s">
        <v>209</v>
      </c>
      <c r="V18" s="54" t="s">
        <v>210</v>
      </c>
      <c r="W18" s="56" t="s">
        <v>212</v>
      </c>
      <c r="X18" s="54" t="s">
        <v>209</v>
      </c>
      <c r="Y18" s="54" t="s">
        <v>210</v>
      </c>
      <c r="Z18" s="56" t="s">
        <v>212</v>
      </c>
      <c r="AA18" s="56" t="s">
        <v>209</v>
      </c>
      <c r="AB18" s="56" t="s">
        <v>210</v>
      </c>
      <c r="AC18" s="60" t="s">
        <v>227</v>
      </c>
      <c r="AD18" s="56" t="s">
        <v>209</v>
      </c>
      <c r="AE18" s="57" t="s">
        <v>210</v>
      </c>
      <c r="AF18" s="54" t="s">
        <v>224</v>
      </c>
      <c r="AG18" s="56" t="s">
        <v>212</v>
      </c>
      <c r="AH18" s="56" t="s">
        <v>225</v>
      </c>
      <c r="AI18" s="56" t="s">
        <v>210</v>
      </c>
      <c r="AJ18" s="56" t="s">
        <v>212</v>
      </c>
      <c r="AK18" s="56" t="s">
        <v>225</v>
      </c>
      <c r="AL18" s="56" t="s">
        <v>210</v>
      </c>
      <c r="AM18" s="56" t="s">
        <v>212</v>
      </c>
      <c r="AN18" s="56" t="s">
        <v>225</v>
      </c>
      <c r="AO18" s="56" t="s">
        <v>210</v>
      </c>
      <c r="AP18" s="60" t="s">
        <v>227</v>
      </c>
      <c r="AQ18" s="56" t="s">
        <v>209</v>
      </c>
      <c r="AR18" s="57" t="s">
        <v>210</v>
      </c>
      <c r="AS18" s="60" t="s">
        <v>227</v>
      </c>
      <c r="AT18" s="56" t="s">
        <v>209</v>
      </c>
      <c r="AU18" s="57" t="s">
        <v>210</v>
      </c>
      <c r="AV18" s="31"/>
    </row>
    <row r="19" spans="1:48" x14ac:dyDescent="0.25">
      <c r="A19" t="s">
        <v>491</v>
      </c>
      <c r="B19" s="1">
        <f>Resr_total</f>
        <v>2E-3</v>
      </c>
      <c r="C19" s="2" t="s">
        <v>35</v>
      </c>
      <c r="N19" s="10">
        <v>1</v>
      </c>
      <c r="O19" s="50">
        <f>10^(1+(N19/100))</f>
        <v>10.232929922807543</v>
      </c>
      <c r="P19" s="48" t="str">
        <f t="shared" ref="P19:P82" si="55">COMPLEX(Adc,0)</f>
        <v>304.285714285714</v>
      </c>
      <c r="Q19" s="17" t="str">
        <f t="shared" ref="Q19:Q82" si="56">IMSUM(COMPLEX(1,0),IMDIV(COMPLEX(0,2*PI()*O19),COMPLEX(wp_lf,0)))</f>
        <v>1+3.34795306510994i</v>
      </c>
      <c r="R19" s="17">
        <f>IMABS(Q19)</f>
        <v>3.4941078584066414</v>
      </c>
      <c r="S19" s="17">
        <f>IMARGUMENT(Q19)</f>
        <v>1.2805418277801008</v>
      </c>
      <c r="T19" s="17" t="str">
        <f t="shared" ref="T19:T82" si="57">IMSUM(COMPLEX(1,0),IMDIV(COMPLEX(0,2*PI()*O19),COMPLEX(wz_esr,0)))</f>
        <v>1+0.0000694390265356133i</v>
      </c>
      <c r="U19" s="17">
        <f>IMABS(T19)</f>
        <v>1.000000002410889</v>
      </c>
      <c r="V19" s="17">
        <f>IMARGUMENT(T19)</f>
        <v>6.9439026424006765E-5</v>
      </c>
      <c r="W19" s="31" t="str">
        <f t="shared" ref="W19:W82" si="58">IMSUB(COMPLEX(1,0),IMDIV(COMPLEX(0,2*PI()*O19),COMPLEX(wz_rhp,0)))</f>
        <v>1-0.000216996957923792i</v>
      </c>
      <c r="X19" s="17">
        <f>IMABS(W19)</f>
        <v>1.0000000235438395</v>
      </c>
      <c r="Y19" s="17">
        <f>IMARGUMENT(W19)</f>
        <v>-2.1699695451783102E-4</v>
      </c>
      <c r="Z19" s="31" t="str">
        <f t="shared" ref="Z19:Z82" si="59">IMSUM(COMPLEX(1,0),IMDIV(COMPLEX(0,2*PI()*O19),COMPLEX(Q*(wsl/2),0)),IMDIV(IMPOWER(COMPLEX(0,2*PI()*O19),2),IMPOWER(COMPLEX(wsl/2,0),2)))</f>
        <v>0.999999993425219+0.00191422762646743i</v>
      </c>
      <c r="AA19" s="17">
        <f>IMABS(Z19)</f>
        <v>1.0000018255572556</v>
      </c>
      <c r="AB19" s="17">
        <f>IMARGUMENT(Z19)</f>
        <v>1.9142253009775188E-3</v>
      </c>
      <c r="AC19" s="66" t="str">
        <f>(IMDIV(IMPRODUCT(P19,T19,W19),IMPRODUCT(Q19,Z19)))</f>
        <v>24.7513572364596-83.4937519344933i</v>
      </c>
      <c r="AD19" s="64">
        <f>20*LOG(IMABS(AC19))</f>
        <v>38.798889498556328</v>
      </c>
      <c r="AE19" s="61">
        <f>(180/PI())*IMARGUMENT(AC19)</f>
        <v>-73.487773699064746</v>
      </c>
      <c r="AF19" s="31" t="str">
        <f t="shared" ref="AF19:AF82" si="60">COMPLEX(Adc_ea,0)</f>
        <v>-0.000495863624968664</v>
      </c>
      <c r="AG19" s="31" t="str">
        <f t="shared" ref="AG19:AG82" si="61">COMPLEX(0,2*PI()*O19*wp0_ea)</f>
        <v>0.0000141912795712413i</v>
      </c>
      <c r="AH19" s="31">
        <f>IMABS(AG19)</f>
        <v>1.41912795712413E-5</v>
      </c>
      <c r="AI19" s="31">
        <f>IMARGUMENT(AG19)</f>
        <v>1.5707963267948966</v>
      </c>
      <c r="AJ19" s="31" t="str">
        <f t="shared" ref="AJ19:AJ82" si="62">IMSUM(COMPLEX(1,0),IMDIV(COMPLEX(0,2*PI()*O19),COMPLEX(wp1_ea,0)))</f>
        <v>1+0.0000553700102857372i</v>
      </c>
      <c r="AK19" s="31">
        <f>IMABS(AJ19)</f>
        <v>1.0000000015329189</v>
      </c>
      <c r="AL19" s="31">
        <f>IMARGUMENT(AJ19)</f>
        <v>5.5370010229152039E-5</v>
      </c>
      <c r="AM19" s="31" t="str">
        <f t="shared" ref="AM19:AM82" si="63">IMSUM(COMPLEX(1,0),IMDIV(COMPLEX(0,2*PI()*O19),COMPLEX(wz_ea,0)))</f>
        <v>1+0.016973984264261i</v>
      </c>
      <c r="AN19" s="31">
        <f>IMABS(AM19)</f>
        <v>1.0001440476960324</v>
      </c>
      <c r="AO19" s="31">
        <f>IMARGUMENT(AM19)</f>
        <v>1.6972354386389114E-2</v>
      </c>
      <c r="AP19" s="58" t="str">
        <f>IMPRODUCT(AF19,IMDIV(AM19,IMPRODUCT(AG19,AJ19)))</f>
        <v>-0.591160601522034+34.941464368764i</v>
      </c>
      <c r="AQ19" s="49">
        <f>20*LOG(IMABS(AP19))</f>
        <v>30.8680649814108</v>
      </c>
      <c r="AR19" s="61">
        <f>(180/PI())*IMARGUMENT(AP19)</f>
        <v>90.969271806842713</v>
      </c>
      <c r="AS19" s="58" t="str">
        <f>IMPRODUCT(AC19,AP19)</f>
        <v>2902.76193100113+914.206883573229i</v>
      </c>
      <c r="AT19" s="64">
        <f>20*LOG(IMABS(AS19))</f>
        <v>69.666954479967146</v>
      </c>
      <c r="AU19" s="61">
        <f>(180/PI())*IMARGUMENT(AS19)</f>
        <v>17.481498107777952</v>
      </c>
      <c r="AV19" s="31"/>
    </row>
    <row r="20" spans="1:48" x14ac:dyDescent="0.25">
      <c r="N20" s="10">
        <v>2</v>
      </c>
      <c r="O20" s="50">
        <f t="shared" ref="O20:O83" si="64">10^(1+(N20/100))</f>
        <v>10.471285480509</v>
      </c>
      <c r="P20" s="48" t="str">
        <f t="shared" si="55"/>
        <v>304.285714285714</v>
      </c>
      <c r="Q20" s="17" t="str">
        <f t="shared" si="56"/>
        <v>1+3.42593691001187i</v>
      </c>
      <c r="R20" s="17">
        <f t="shared" ref="R20:R83" si="65">IMABS(Q20)</f>
        <v>3.5688995098463723</v>
      </c>
      <c r="S20" s="17">
        <f t="shared" ref="S20:S83" si="66">IMARGUMENT(Q20)</f>
        <v>1.2867955249632843</v>
      </c>
      <c r="T20" s="17" t="str">
        <f t="shared" si="57"/>
        <v>1+0.0000710564692446905i</v>
      </c>
      <c r="U20" s="17">
        <f t="shared" ref="U20:U83" si="67">IMABS(T20)</f>
        <v>1.0000000025245108</v>
      </c>
      <c r="V20" s="17">
        <f t="shared" ref="V20:V83" si="68">IMARGUMENT(T20)</f>
        <v>7.1056469125101943E-5</v>
      </c>
      <c r="W20" s="31" t="str">
        <f t="shared" si="58"/>
        <v>1-0.000222051466389658i</v>
      </c>
      <c r="X20" s="17">
        <f t="shared" ref="X20:X83" si="69">IMABS(W20)</f>
        <v>1.0000000246534266</v>
      </c>
      <c r="Y20" s="17">
        <f t="shared" ref="Y20:Y83" si="70">IMARGUMENT(W20)</f>
        <v>-2.2205146274010507E-4</v>
      </c>
      <c r="Z20" s="31" t="str">
        <f t="shared" si="59"/>
        <v>0.999999993115359+0.00195881571579434i</v>
      </c>
      <c r="AA20" s="17">
        <f t="shared" ref="AA20:AA83" si="71">IMABS(Z20)</f>
        <v>1.0000019115930363</v>
      </c>
      <c r="AB20" s="17">
        <f t="shared" ref="AB20:AB83" si="72">IMARGUMENT(Z20)</f>
        <v>1.9588132239872634E-3</v>
      </c>
      <c r="AC20" s="66" t="str">
        <f t="shared" ref="AC20:AC83" si="73">(IMDIV(IMPRODUCT(P20,T20,W20),IMPRODUCT(Q20,Z20)))</f>
        <v>23.7170475254052-81.8950913282518i</v>
      </c>
      <c r="AD20" s="64">
        <f t="shared" ref="AD20:AD83" si="74">20*LOG(IMABS(AC20))</f>
        <v>38.614928508304359</v>
      </c>
      <c r="AE20" s="61">
        <f t="shared" ref="AE20:AE83" si="75">(180/PI())*IMARGUMENT(AC20)</f>
        <v>-73.848835783167985</v>
      </c>
      <c r="AF20" s="31" t="str">
        <f t="shared" si="60"/>
        <v>-0.000495863624968664</v>
      </c>
      <c r="AG20" s="31" t="str">
        <f t="shared" si="61"/>
        <v>0.0000145218369367482i</v>
      </c>
      <c r="AH20" s="31">
        <f t="shared" ref="AH20:AH83" si="76">IMABS(AG20)</f>
        <v>1.4521836936748199E-5</v>
      </c>
      <c r="AI20" s="31">
        <f t="shared" ref="AI20:AI83" si="77">IMARGUMENT(AG20)</f>
        <v>1.5707963267948966</v>
      </c>
      <c r="AJ20" s="31" t="str">
        <f t="shared" si="62"/>
        <v>1+0.0000566597435079081i</v>
      </c>
      <c r="AK20" s="31">
        <f t="shared" ref="AK20:AK83" si="78">IMABS(AJ20)</f>
        <v>1.0000000016051631</v>
      </c>
      <c r="AL20" s="31">
        <f t="shared" ref="AL20:AL83" si="79">IMARGUMENT(AJ20)</f>
        <v>5.6659743447276005E-5</v>
      </c>
      <c r="AM20" s="31" t="str">
        <f t="shared" si="63"/>
        <v>1+0.0173693591487021i</v>
      </c>
      <c r="AN20" s="31">
        <f t="shared" ref="AN20:AN83" si="80">IMABS(AM20)</f>
        <v>1.0001508359428775</v>
      </c>
      <c r="AO20" s="31">
        <f t="shared" ref="AO20:AO83" si="81">IMARGUMENT(AM20)</f>
        <v>1.7367612717322123E-2</v>
      </c>
      <c r="AP20" s="58" t="str">
        <f t="shared" ref="AP20:AP83" si="82">IMPRODUCT(AF20,IMDIV(AM20,IMPRODUCT(AG20,AJ20)))</f>
        <v>-0.591160601436621+34.1461010433812i</v>
      </c>
      <c r="AQ20" s="49">
        <f t="shared" ref="AQ20:AQ83" si="83">20*LOG(IMABS(AP20))</f>
        <v>30.668123934054073</v>
      </c>
      <c r="AR20" s="61">
        <f t="shared" ref="AR20:AR83" si="84">(180/PI())*IMARGUMENT(AP20)</f>
        <v>90.991844544752468</v>
      </c>
      <c r="AS20" s="58" t="str">
        <f t="shared" ref="AS20:AS83" si="85">IMPRODUCT(AC20,AP20)</f>
        <v>2782.377479372+858.257852697476i</v>
      </c>
      <c r="AT20" s="64">
        <f t="shared" ref="AT20:AT83" si="86">20*LOG(IMABS(AS20))</f>
        <v>69.283052442358439</v>
      </c>
      <c r="AU20" s="61">
        <f t="shared" ref="AU20:AU83" si="87">(180/PI())*IMARGUMENT(AS20)</f>
        <v>17.143008761584458</v>
      </c>
      <c r="AV20" s="31"/>
    </row>
    <row r="21" spans="1:48" s="31" customFormat="1" x14ac:dyDescent="0.25">
      <c r="N21" s="10">
        <v>3</v>
      </c>
      <c r="O21" s="50">
        <f t="shared" si="64"/>
        <v>10.715193052376069</v>
      </c>
      <c r="P21" s="48" t="str">
        <f t="shared" si="55"/>
        <v>304.285714285714</v>
      </c>
      <c r="Q21" s="17" t="str">
        <f t="shared" si="56"/>
        <v>1+3.50573723201113i</v>
      </c>
      <c r="R21" s="17">
        <f t="shared" si="65"/>
        <v>3.6455717713287532</v>
      </c>
      <c r="S21" s="17">
        <f t="shared" si="66"/>
        <v>1.2929290111907861</v>
      </c>
      <c r="T21" s="17" t="str">
        <f t="shared" si="57"/>
        <v>1+0.0000727115870343047i</v>
      </c>
      <c r="U21" s="17">
        <f t="shared" si="67"/>
        <v>1.0000000026434874</v>
      </c>
      <c r="V21" s="17">
        <f t="shared" si="68"/>
        <v>7.2711586906163252E-5</v>
      </c>
      <c r="W21" s="31" t="str">
        <f t="shared" si="58"/>
        <v>1-0.000227223709482202i</v>
      </c>
      <c r="X21" s="17">
        <f t="shared" si="69"/>
        <v>1.0000000258153068</v>
      </c>
      <c r="Y21" s="17">
        <f t="shared" si="70"/>
        <v>-2.2722370557163557E-4</v>
      </c>
      <c r="Z21" s="31" t="str">
        <f t="shared" si="59"/>
        <v>0.999999992790896+0.00200444239514176i</v>
      </c>
      <c r="AA21" s="17">
        <f t="shared" si="71"/>
        <v>1.0000020016835505</v>
      </c>
      <c r="AB21" s="17">
        <f t="shared" si="72"/>
        <v>2.0044397251226605E-3</v>
      </c>
      <c r="AC21" s="66" t="str">
        <f t="shared" si="73"/>
        <v>22.7221189384271-80.3147147499023i</v>
      </c>
      <c r="AD21" s="64">
        <f t="shared" si="74"/>
        <v>38.430301074793853</v>
      </c>
      <c r="AE21" s="61">
        <f t="shared" si="75"/>
        <v>-74.203074380075904</v>
      </c>
      <c r="AF21" s="31" t="str">
        <f t="shared" si="60"/>
        <v>-0.000495863624968664</v>
      </c>
      <c r="AG21" s="31" t="str">
        <f t="shared" si="61"/>
        <v>0.0000148600939724183i</v>
      </c>
      <c r="AH21" s="31">
        <f t="shared" si="76"/>
        <v>1.48600939724183E-5</v>
      </c>
      <c r="AI21" s="31">
        <f t="shared" si="77"/>
        <v>1.5707963267948966</v>
      </c>
      <c r="AJ21" s="31" t="str">
        <f t="shared" si="62"/>
        <v>1+0.0000579795184760673i</v>
      </c>
      <c r="AK21" s="31">
        <f t="shared" si="78"/>
        <v>1.0000000016808122</v>
      </c>
      <c r="AL21" s="31">
        <f t="shared" si="79"/>
        <v>5.7979518411098841E-5</v>
      </c>
      <c r="AM21" s="31" t="str">
        <f t="shared" si="63"/>
        <v>1+0.0177739434972745i</v>
      </c>
      <c r="AN21" s="31">
        <f t="shared" si="80"/>
        <v>1.000157944060559</v>
      </c>
      <c r="AO21" s="31">
        <f t="shared" si="81"/>
        <v>1.7772072178295899E-2</v>
      </c>
      <c r="AP21" s="58" t="str">
        <f t="shared" si="82"/>
        <v>-0.591160601347177+33.3688424327484i</v>
      </c>
      <c r="AQ21" s="49">
        <f t="shared" si="83"/>
        <v>30.468185664192049</v>
      </c>
      <c r="AR21" s="61">
        <f t="shared" si="84"/>
        <v>91.014942747315061</v>
      </c>
      <c r="AS21" s="58" t="str">
        <f t="shared" si="85"/>
        <v>2666.5766400251+805.689701663121i</v>
      </c>
      <c r="AT21" s="64">
        <f t="shared" si="86"/>
        <v>68.898486738985895</v>
      </c>
      <c r="AU21" s="61">
        <f t="shared" si="87"/>
        <v>16.81186836723916</v>
      </c>
    </row>
    <row r="22" spans="1:48" x14ac:dyDescent="0.25">
      <c r="N22" s="10">
        <v>4</v>
      </c>
      <c r="O22" s="50">
        <f t="shared" si="64"/>
        <v>10.964781961431854</v>
      </c>
      <c r="P22" s="48" t="str">
        <f t="shared" si="55"/>
        <v>304.285714285714</v>
      </c>
      <c r="Q22" s="17" t="str">
        <f t="shared" si="56"/>
        <v>1+3.58739634229471i</v>
      </c>
      <c r="R22" s="17">
        <f t="shared" si="65"/>
        <v>3.7241660162658512</v>
      </c>
      <c r="S22" s="17">
        <f t="shared" si="66"/>
        <v>1.2989436918881687</v>
      </c>
      <c r="T22" s="17" t="str">
        <f t="shared" si="57"/>
        <v>1+0.0000744052574698161i</v>
      </c>
      <c r="U22" s="17">
        <f t="shared" si="67"/>
        <v>1.0000000027680711</v>
      </c>
      <c r="V22" s="17">
        <f t="shared" si="68"/>
        <v>7.4405257332510068E-5</v>
      </c>
      <c r="W22" s="31" t="str">
        <f t="shared" si="58"/>
        <v>1-0.000232516429593176i</v>
      </c>
      <c r="X22" s="17">
        <f t="shared" si="69"/>
        <v>1.0000000270319447</v>
      </c>
      <c r="Y22" s="17">
        <f t="shared" si="70"/>
        <v>-2.3251642540292856E-4</v>
      </c>
      <c r="Z22" s="31" t="str">
        <f t="shared" si="59"/>
        <v>0.999999992451141+0.00205113185637901i</v>
      </c>
      <c r="AA22" s="17">
        <f t="shared" si="71"/>
        <v>1.0000020960198905</v>
      </c>
      <c r="AB22" s="17">
        <f t="shared" si="72"/>
        <v>2.051128995402325E-3</v>
      </c>
      <c r="AC22" s="66" t="str">
        <f t="shared" si="73"/>
        <v>21.7653601021644-78.7532115045725i</v>
      </c>
      <c r="AD22" s="64">
        <f t="shared" si="74"/>
        <v>38.245032666228894</v>
      </c>
      <c r="AE22" s="61">
        <f t="shared" si="75"/>
        <v>-74.55057150763146</v>
      </c>
      <c r="AF22" s="31" t="str">
        <f t="shared" si="60"/>
        <v>-0.000495863624968664</v>
      </c>
      <c r="AG22" s="31" t="str">
        <f t="shared" si="61"/>
        <v>0.0000152062300266091i</v>
      </c>
      <c r="AH22" s="31">
        <f t="shared" si="76"/>
        <v>1.52062300266091E-5</v>
      </c>
      <c r="AI22" s="31">
        <f t="shared" si="77"/>
        <v>1.5707963267948966</v>
      </c>
      <c r="AJ22" s="31" t="str">
        <f t="shared" si="62"/>
        <v>1+0.0000593300349523722i</v>
      </c>
      <c r="AK22" s="31">
        <f t="shared" si="78"/>
        <v>1.0000000017600266</v>
      </c>
      <c r="AL22" s="31">
        <f t="shared" si="79"/>
        <v>5.9330034882757249E-5</v>
      </c>
      <c r="AM22" s="31" t="str">
        <f t="shared" si="63"/>
        <v>1+0.018187951825955i</v>
      </c>
      <c r="AN22" s="31">
        <f t="shared" si="80"/>
        <v>1.0001653871193621</v>
      </c>
      <c r="AO22" s="31">
        <f t="shared" si="81"/>
        <v>1.8185946689450568E-2</v>
      </c>
      <c r="AP22" s="58" t="str">
        <f t="shared" si="82"/>
        <v>-0.591160601253523+32.6092764240625i</v>
      </c>
      <c r="AQ22" s="49">
        <f t="shared" si="83"/>
        <v>30.26825030264142</v>
      </c>
      <c r="AR22" s="61">
        <f t="shared" si="84"/>
        <v>91.038578631158288</v>
      </c>
      <c r="AS22" s="58" t="str">
        <f t="shared" si="85"/>
        <v>2555.21841987077+756.308439904429i</v>
      </c>
      <c r="AT22" s="64">
        <f t="shared" si="86"/>
        <v>68.513282968870314</v>
      </c>
      <c r="AU22" s="61">
        <f t="shared" si="87"/>
        <v>16.488007123526813</v>
      </c>
      <c r="AV22" s="31"/>
    </row>
    <row r="23" spans="1:48" x14ac:dyDescent="0.25">
      <c r="N23" s="10">
        <v>5</v>
      </c>
      <c r="O23" s="50">
        <f t="shared" si="64"/>
        <v>11.220184543019636</v>
      </c>
      <c r="P23" s="48" t="str">
        <f t="shared" si="55"/>
        <v>304.285714285714</v>
      </c>
      <c r="Q23" s="17" t="str">
        <f t="shared" si="56"/>
        <v>1+3.67095753760379i</v>
      </c>
      <c r="R23" s="17">
        <f t="shared" si="65"/>
        <v>3.8047245948806969</v>
      </c>
      <c r="S23" s="17">
        <f t="shared" si="66"/>
        <v>1.3048410147186211</v>
      </c>
      <c r="T23" s="17" t="str">
        <f t="shared" si="57"/>
        <v>1+0.0000761383785577081i</v>
      </c>
      <c r="U23" s="17">
        <f t="shared" si="67"/>
        <v>1.0000000028985263</v>
      </c>
      <c r="V23" s="17">
        <f t="shared" si="68"/>
        <v>7.6138378410582039E-5</v>
      </c>
      <c r="W23" s="31" t="str">
        <f t="shared" si="58"/>
        <v>1-0.000237932432992838i</v>
      </c>
      <c r="X23" s="17">
        <f t="shared" si="69"/>
        <v>1.0000000283059209</v>
      </c>
      <c r="Y23" s="17">
        <f t="shared" si="70"/>
        <v>-2.3793242850290701E-4</v>
      </c>
      <c r="Z23" s="31" t="str">
        <f t="shared" si="59"/>
        <v>0.999999992095375+0.00209890885487645i</v>
      </c>
      <c r="AA23" s="17">
        <f t="shared" si="71"/>
        <v>1.0000021948021571</v>
      </c>
      <c r="AB23" s="17">
        <f t="shared" si="72"/>
        <v>2.0989057892850617E-3</v>
      </c>
      <c r="AC23" s="66" t="str">
        <f t="shared" si="73"/>
        <v>20.8455729598846-77.2111097738893i</v>
      </c>
      <c r="AD23" s="64">
        <f t="shared" si="74"/>
        <v>38.05914795927071</v>
      </c>
      <c r="AE23" s="61">
        <f t="shared" si="75"/>
        <v>-74.891411638486929</v>
      </c>
      <c r="AF23" s="31" t="str">
        <f t="shared" si="60"/>
        <v>-0.000495863624968664</v>
      </c>
      <c r="AG23" s="31" t="str">
        <f t="shared" si="61"/>
        <v>0.0000155604286252383i</v>
      </c>
      <c r="AH23" s="31">
        <f t="shared" si="76"/>
        <v>1.5560428625238299E-5</v>
      </c>
      <c r="AI23" s="31">
        <f t="shared" si="77"/>
        <v>1.5707963267948966</v>
      </c>
      <c r="AJ23" s="31" t="str">
        <f t="shared" si="62"/>
        <v>1+0.0000607120089985347i</v>
      </c>
      <c r="AK23" s="31">
        <f t="shared" si="78"/>
        <v>1.000000001842974</v>
      </c>
      <c r="AL23" s="31">
        <f t="shared" si="79"/>
        <v>6.0712008923940936E-5</v>
      </c>
      <c r="AM23" s="31" t="str">
        <f t="shared" si="63"/>
        <v>1+0.0186116036474397i</v>
      </c>
      <c r="AN23" s="31">
        <f t="shared" si="80"/>
        <v>1.0001731808993528</v>
      </c>
      <c r="AO23" s="31">
        <f t="shared" si="81"/>
        <v>1.8609455125057555E-2</v>
      </c>
      <c r="AP23" s="58" t="str">
        <f t="shared" si="82"/>
        <v>-0.591160601155452+31.8670002853714i</v>
      </c>
      <c r="AQ23" s="49">
        <f t="shared" si="83"/>
        <v>30.068317986375913</v>
      </c>
      <c r="AR23" s="61">
        <f t="shared" si="84"/>
        <v>91.062764695826786</v>
      </c>
      <c r="AS23" s="58" t="str">
        <f t="shared" si="85"/>
        <v>2448.16337575598+709.930045531185i</v>
      </c>
      <c r="AT23" s="64">
        <f t="shared" si="86"/>
        <v>68.127465945646634</v>
      </c>
      <c r="AU23" s="61">
        <f t="shared" si="87"/>
        <v>16.171353057339868</v>
      </c>
      <c r="AV23" s="31"/>
    </row>
    <row r="24" spans="1:48" x14ac:dyDescent="0.25">
      <c r="N24" s="10">
        <v>6</v>
      </c>
      <c r="O24" s="50">
        <f t="shared" si="64"/>
        <v>11.481536214968834</v>
      </c>
      <c r="P24" s="48" t="str">
        <f t="shared" si="55"/>
        <v>304.285714285714</v>
      </c>
      <c r="Q24" s="17" t="str">
        <f t="shared" si="56"/>
        <v>1+3.75646512319017i</v>
      </c>
      <c r="R24" s="17">
        <f t="shared" si="65"/>
        <v>3.887290858907285</v>
      </c>
      <c r="S24" s="17">
        <f t="shared" si="66"/>
        <v>1.3106224650672598</v>
      </c>
      <c r="T24" s="17" t="str">
        <f t="shared" si="57"/>
        <v>1+0.0000779118692217219i</v>
      </c>
      <c r="U24" s="17">
        <f t="shared" si="67"/>
        <v>1.0000000030351297</v>
      </c>
      <c r="V24" s="17">
        <f t="shared" si="68"/>
        <v>7.7911869064073479E-5</v>
      </c>
      <c r="W24" s="31" t="str">
        <f t="shared" si="58"/>
        <v>1-0.000243474591317881i</v>
      </c>
      <c r="X24" s="17">
        <f t="shared" si="69"/>
        <v>1.0000000296399378</v>
      </c>
      <c r="Y24" s="17">
        <f t="shared" si="70"/>
        <v>-2.4347458650683326E-4</v>
      </c>
      <c r="Z24" s="31" t="str">
        <f t="shared" si="59"/>
        <v>0.999999991722841+0.0021477987226311i</v>
      </c>
      <c r="AA24" s="17">
        <f t="shared" si="71"/>
        <v>1.0000022982398766</v>
      </c>
      <c r="AB24" s="17">
        <f t="shared" si="72"/>
        <v>2.1477954377911545E-3</v>
      </c>
      <c r="AC24" s="66" t="str">
        <f t="shared" si="73"/>
        <v>19.9615748751285-75.6888794384035i</v>
      </c>
      <c r="AD24" s="64">
        <f t="shared" si="74"/>
        <v>37.872670848485491</v>
      </c>
      <c r="AE24" s="61">
        <f t="shared" si="75"/>
        <v>-75.225681442183173</v>
      </c>
      <c r="AF24" s="31" t="str">
        <f t="shared" si="60"/>
        <v>-0.000495863624968664</v>
      </c>
      <c r="AG24" s="31" t="str">
        <f t="shared" si="61"/>
        <v>0.0000159228775690912i</v>
      </c>
      <c r="AH24" s="31">
        <f t="shared" si="76"/>
        <v>1.5922877569091202E-5</v>
      </c>
      <c r="AI24" s="31">
        <f t="shared" si="77"/>
        <v>1.5707963267948966</v>
      </c>
      <c r="AJ24" s="31" t="str">
        <f t="shared" si="62"/>
        <v>1+0.0000621261733554866i</v>
      </c>
      <c r="AK24" s="31">
        <f t="shared" si="78"/>
        <v>1.0000000019298307</v>
      </c>
      <c r="AL24" s="31">
        <f t="shared" si="79"/>
        <v>6.2126173275557945E-5</v>
      </c>
      <c r="AM24" s="31" t="str">
        <f t="shared" si="63"/>
        <v>1+0.019045123587532i</v>
      </c>
      <c r="AN24" s="31">
        <f t="shared" si="80"/>
        <v>1.0001813419237855</v>
      </c>
      <c r="AO24" s="31">
        <f t="shared" si="81"/>
        <v>1.9042821426864868E-2</v>
      </c>
      <c r="AP24" s="58" t="str">
        <f t="shared" si="82"/>
        <v>-0.591160601052758+31.1416204520413i</v>
      </c>
      <c r="AQ24" s="49">
        <f t="shared" si="83"/>
        <v>29.86838885881598</v>
      </c>
      <c r="AR24" s="61">
        <f t="shared" si="84"/>
        <v>91.087513730254656</v>
      </c>
      <c r="AS24" s="58" t="str">
        <f t="shared" si="85"/>
        <v>2345.27385930993+666.380071848072i</v>
      </c>
      <c r="AT24" s="64">
        <f t="shared" si="86"/>
        <v>67.74105970730146</v>
      </c>
      <c r="AU24" s="61">
        <f t="shared" si="87"/>
        <v>15.861832288071515</v>
      </c>
      <c r="AV24" s="31"/>
    </row>
    <row r="25" spans="1:48" x14ac:dyDescent="0.25">
      <c r="A25" t="s">
        <v>32</v>
      </c>
      <c r="B25" s="43">
        <f>VOUT1</f>
        <v>15</v>
      </c>
      <c r="C25" t="s">
        <v>11</v>
      </c>
      <c r="E25" t="s">
        <v>160</v>
      </c>
      <c r="N25" s="10">
        <v>7</v>
      </c>
      <c r="O25" s="50">
        <f t="shared" si="64"/>
        <v>11.748975549395301</v>
      </c>
      <c r="P25" s="48" t="str">
        <f t="shared" si="55"/>
        <v>304.285714285714</v>
      </c>
      <c r="Q25" s="17" t="str">
        <f t="shared" si="56"/>
        <v>1+3.84396443630756i</v>
      </c>
      <c r="R25" s="17">
        <f t="shared" si="65"/>
        <v>3.971909186725862</v>
      </c>
      <c r="S25" s="17">
        <f t="shared" si="66"/>
        <v>1.3162895617383901</v>
      </c>
      <c r="T25" s="17" t="str">
        <f t="shared" si="57"/>
        <v>1+0.0000797266697900826i</v>
      </c>
      <c r="U25" s="17">
        <f t="shared" si="67"/>
        <v>1.0000000031781708</v>
      </c>
      <c r="V25" s="17">
        <f t="shared" si="68"/>
        <v>7.9726669621159278E-5</v>
      </c>
      <c r="W25" s="31" t="str">
        <f t="shared" si="58"/>
        <v>1-0.000249145843094008i</v>
      </c>
      <c r="X25" s="17">
        <f t="shared" si="69"/>
        <v>1.0000000310368251</v>
      </c>
      <c r="Y25" s="17">
        <f t="shared" si="70"/>
        <v>-2.4914583793887751E-4</v>
      </c>
      <c r="Z25" s="31" t="str">
        <f t="shared" si="59"/>
        <v>0.999999991332751+0.00219782738169796i</v>
      </c>
      <c r="AA25" s="17">
        <f t="shared" si="71"/>
        <v>1.0000024065524551</v>
      </c>
      <c r="AB25" s="17">
        <f t="shared" si="72"/>
        <v>2.1978238619289998E-3</v>
      </c>
      <c r="AC25" s="66" t="str">
        <f t="shared" si="73"/>
        <v>19.1122005021558-74.186934884623i</v>
      </c>
      <c r="AD25" s="64">
        <f t="shared" si="74"/>
        <v>37.685624457096452</v>
      </c>
      <c r="AE25" s="61">
        <f t="shared" si="75"/>
        <v>-75.55346953944948</v>
      </c>
      <c r="AF25" s="31" t="str">
        <f t="shared" si="60"/>
        <v>-0.000495863624968664</v>
      </c>
      <c r="AG25" s="31" t="str">
        <f t="shared" si="61"/>
        <v>0.0000162937690333954i</v>
      </c>
      <c r="AH25" s="31">
        <f t="shared" si="76"/>
        <v>1.62937690333954E-5</v>
      </c>
      <c r="AI25" s="31">
        <f t="shared" si="77"/>
        <v>1.5707963267948966</v>
      </c>
      <c r="AJ25" s="31" t="str">
        <f t="shared" si="62"/>
        <v>1+0.0000635732778318888i</v>
      </c>
      <c r="AK25" s="31">
        <f t="shared" si="78"/>
        <v>1.0000000020207809</v>
      </c>
      <c r="AL25" s="31">
        <f t="shared" si="79"/>
        <v>6.3573277746243698E-5</v>
      </c>
      <c r="AM25" s="31" t="str">
        <f t="shared" si="63"/>
        <v>1+0.0194887415042424i</v>
      </c>
      <c r="AN25" s="31">
        <f t="shared" si="80"/>
        <v>1.0001898874940793</v>
      </c>
      <c r="AO25" s="31">
        <f t="shared" si="81"/>
        <v>1.9486274719936952E-2</v>
      </c>
      <c r="AP25" s="58" t="str">
        <f t="shared" si="82"/>
        <v>-0.591160600945225+30.4327523180829i</v>
      </c>
      <c r="AQ25" s="49">
        <f t="shared" si="83"/>
        <v>29.668463070131615</v>
      </c>
      <c r="AR25" s="61">
        <f t="shared" si="84"/>
        <v>91.112838819380173</v>
      </c>
      <c r="AS25" s="58" t="str">
        <f t="shared" si="85"/>
        <v>2246.41423464724+625.493257144325i</v>
      </c>
      <c r="AT25" s="64">
        <f t="shared" si="86"/>
        <v>67.354087527228074</v>
      </c>
      <c r="AU25" s="61">
        <f t="shared" si="87"/>
        <v>15.559369279930669</v>
      </c>
      <c r="AV25" s="31"/>
    </row>
    <row r="26" spans="1:48" s="31" customFormat="1" x14ac:dyDescent="0.25">
      <c r="A26" t="s">
        <v>33</v>
      </c>
      <c r="B26" s="43">
        <f>IOUT1</f>
        <v>0.1</v>
      </c>
      <c r="C26" t="s">
        <v>12</v>
      </c>
      <c r="D26"/>
      <c r="E26" t="s">
        <v>34</v>
      </c>
      <c r="F26"/>
      <c r="G26"/>
      <c r="K26"/>
      <c r="N26" s="10">
        <v>8</v>
      </c>
      <c r="O26" s="50">
        <f t="shared" si="64"/>
        <v>12.022644346174133</v>
      </c>
      <c r="P26" s="48" t="str">
        <f t="shared" si="55"/>
        <v>304.285714285714</v>
      </c>
      <c r="Q26" s="17" t="str">
        <f t="shared" si="56"/>
        <v>1+3.93350187024996i</v>
      </c>
      <c r="R26" s="17">
        <f t="shared" si="65"/>
        <v>4.0586250089482192</v>
      </c>
      <c r="S26" s="17">
        <f t="shared" si="66"/>
        <v>1.3218438528640535</v>
      </c>
      <c r="T26" s="17" t="str">
        <f t="shared" si="57"/>
        <v>1+0.0000815837424940732i</v>
      </c>
      <c r="U26" s="17">
        <f t="shared" si="67"/>
        <v>1.0000000033279535</v>
      </c>
      <c r="V26" s="17">
        <f t="shared" si="68"/>
        <v>8.1583742313068606E-5</v>
      </c>
      <c r="W26" s="31" t="str">
        <f t="shared" si="58"/>
        <v>1-0.000254949195293979i</v>
      </c>
      <c r="X26" s="17">
        <f t="shared" si="69"/>
        <v>1.0000000324995455</v>
      </c>
      <c r="Y26" s="17">
        <f t="shared" si="70"/>
        <v>-2.5494918977015714E-4</v>
      </c>
      <c r="Z26" s="31" t="str">
        <f t="shared" si="59"/>
        <v>0.999999990924276+0.00224902135793428i</v>
      </c>
      <c r="AA26" s="17">
        <f t="shared" si="71"/>
        <v>1.0000025199696352</v>
      </c>
      <c r="AB26" s="17">
        <f t="shared" si="72"/>
        <v>2.2490175864344026E-3</v>
      </c>
      <c r="AC26" s="66" t="str">
        <f t="shared" si="73"/>
        <v>18.2963034359502-72.7056377837934i</v>
      </c>
      <c r="AD26" s="64">
        <f t="shared" si="74"/>
        <v>37.498031148891243</v>
      </c>
      <c r="AE26" s="61">
        <f t="shared" si="75"/>
        <v>-75.874866268628168</v>
      </c>
      <c r="AF26" s="31" t="str">
        <f t="shared" si="60"/>
        <v>-0.000495863624968664</v>
      </c>
      <c r="AG26" s="31" t="str">
        <f t="shared" si="61"/>
        <v>0.0000166732996697147i</v>
      </c>
      <c r="AH26" s="31">
        <f t="shared" si="76"/>
        <v>1.66732996697147E-5</v>
      </c>
      <c r="AI26" s="31">
        <f t="shared" si="77"/>
        <v>1.5707963267948966</v>
      </c>
      <c r="AJ26" s="31" t="str">
        <f t="shared" si="62"/>
        <v>1+0.0000650540897016891i</v>
      </c>
      <c r="AK26" s="31">
        <f t="shared" si="78"/>
        <v>1.0000000021160171</v>
      </c>
      <c r="AL26" s="31">
        <f t="shared" si="79"/>
        <v>6.5054089609918719E-5</v>
      </c>
      <c r="AM26" s="31" t="str">
        <f t="shared" si="63"/>
        <v>1+0.0199426926096623i</v>
      </c>
      <c r="AN26" s="31">
        <f t="shared" si="80"/>
        <v>1.0001988357264386</v>
      </c>
      <c r="AO26" s="31">
        <f t="shared" si="81"/>
        <v>1.9940049431035813E-2</v>
      </c>
      <c r="AP26" s="58" t="str">
        <f t="shared" si="82"/>
        <v>-0.591160600832624+29.7400200322285i</v>
      </c>
      <c r="AQ26" s="49">
        <f t="shared" si="83"/>
        <v>29.468540777559596</v>
      </c>
      <c r="AR26" s="61">
        <f t="shared" si="84"/>
        <v>91.138753350905873</v>
      </c>
      <c r="AS26" s="58" t="str">
        <f t="shared" si="85"/>
        <v>2151.45107041375+587.113139217076i</v>
      </c>
      <c r="AT26" s="64">
        <f t="shared" si="86"/>
        <v>66.966571926450825</v>
      </c>
      <c r="AU26" s="61">
        <f t="shared" si="87"/>
        <v>15.263887082277721</v>
      </c>
      <c r="AV26"/>
    </row>
    <row r="27" spans="1:48" s="31" customFormat="1" x14ac:dyDescent="0.25">
      <c r="A27"/>
      <c r="B27"/>
      <c r="C27"/>
      <c r="D27"/>
      <c r="E27"/>
      <c r="F27"/>
      <c r="G27"/>
      <c r="K27"/>
      <c r="N27" s="10">
        <v>9</v>
      </c>
      <c r="O27" s="50">
        <f t="shared" si="64"/>
        <v>12.302687708123818</v>
      </c>
      <c r="P27" s="48" t="str">
        <f t="shared" si="55"/>
        <v>304.285714285714</v>
      </c>
      <c r="Q27" s="17" t="str">
        <f t="shared" si="56"/>
        <v>1+4.02512489895003i</v>
      </c>
      <c r="R27" s="17">
        <f t="shared" si="65"/>
        <v>4.1474848344686546</v>
      </c>
      <c r="S27" s="17">
        <f t="shared" si="66"/>
        <v>1.3272869120212931</v>
      </c>
      <c r="T27" s="17" t="str">
        <f t="shared" si="57"/>
        <v>1+0.0000834840719782227i</v>
      </c>
      <c r="U27" s="17">
        <f t="shared" si="67"/>
        <v>1.0000000034847951</v>
      </c>
      <c r="V27" s="17">
        <f t="shared" si="68"/>
        <v>8.3484071784272783E-5</v>
      </c>
      <c r="W27" s="31" t="str">
        <f t="shared" si="58"/>
        <v>1-0.000260887724931946i</v>
      </c>
      <c r="X27" s="17">
        <f t="shared" si="69"/>
        <v>1.0000000340312019</v>
      </c>
      <c r="Y27" s="17">
        <f t="shared" si="70"/>
        <v>-2.6088771901306427E-4</v>
      </c>
      <c r="Z27" s="31" t="str">
        <f t="shared" si="59"/>
        <v>0.99999999049655+0.00230140779506389i</v>
      </c>
      <c r="AA27" s="17">
        <f t="shared" si="71"/>
        <v>1.0000026387319882</v>
      </c>
      <c r="AB27" s="17">
        <f t="shared" si="72"/>
        <v>2.3014037538295383E-3</v>
      </c>
      <c r="AC27" s="66" t="str">
        <f t="shared" si="73"/>
        <v>17.5127576546412-71.2452998311521i</v>
      </c>
      <c r="AD27" s="64">
        <f t="shared" si="74"/>
        <v>37.309912541144207</v>
      </c>
      <c r="AE27" s="61">
        <f t="shared" si="75"/>
        <v>-76.189963464078346</v>
      </c>
      <c r="AF27" s="31" t="str">
        <f t="shared" si="60"/>
        <v>-0.000495863624968664</v>
      </c>
      <c r="AG27" s="31" t="str">
        <f t="shared" si="61"/>
        <v>0.000017061670710216i</v>
      </c>
      <c r="AH27" s="31">
        <f t="shared" si="76"/>
        <v>1.7061670710215999E-5</v>
      </c>
      <c r="AI27" s="31">
        <f t="shared" si="77"/>
        <v>1.5707963267948966</v>
      </c>
      <c r="AJ27" s="31" t="str">
        <f t="shared" si="62"/>
        <v>1+0.0000665693941109421i</v>
      </c>
      <c r="AK27" s="31">
        <f t="shared" si="78"/>
        <v>1.000000002215742</v>
      </c>
      <c r="AL27" s="31">
        <f t="shared" si="79"/>
        <v>6.6569394012608367E-5</v>
      </c>
      <c r="AM27" s="31" t="str">
        <f t="shared" si="63"/>
        <v>1+0.0204072175946767i</v>
      </c>
      <c r="AN27" s="31">
        <f t="shared" si="80"/>
        <v>1.0002082055901944</v>
      </c>
      <c r="AO27" s="31">
        <f t="shared" si="81"/>
        <v>2.0404385409591771E-2</v>
      </c>
      <c r="AP27" s="58" t="str">
        <f t="shared" si="82"/>
        <v>-0.591160600714723+29.0630562986512i</v>
      </c>
      <c r="AQ27" s="49">
        <f t="shared" si="83"/>
        <v>29.268622145735677</v>
      </c>
      <c r="AR27" s="61">
        <f t="shared" si="84"/>
        <v>91.165271022206255</v>
      </c>
      <c r="AS27" s="58" t="str">
        <f t="shared" si="85"/>
        <v>2060.25330767177+551.091675907756i</v>
      </c>
      <c r="AT27" s="64">
        <f t="shared" si="86"/>
        <v>66.578534686879891</v>
      </c>
      <c r="AU27" s="61">
        <f t="shared" si="87"/>
        <v>14.975307558127895</v>
      </c>
      <c r="AV27"/>
    </row>
    <row r="28" spans="1:48" x14ac:dyDescent="0.25">
      <c r="A28" t="s">
        <v>161</v>
      </c>
      <c r="K28" s="31"/>
      <c r="N28" s="10">
        <v>10</v>
      </c>
      <c r="O28" s="50">
        <f t="shared" si="64"/>
        <v>12.58925411794168</v>
      </c>
      <c r="P28" s="48" t="str">
        <f t="shared" si="55"/>
        <v>304.285714285714</v>
      </c>
      <c r="Q28" s="17" t="str">
        <f t="shared" si="56"/>
        <v>1+4.11888210215035i</v>
      </c>
      <c r="R28" s="17">
        <f t="shared" si="65"/>
        <v>4.2385362769963972</v>
      </c>
      <c r="S28" s="17">
        <f t="shared" si="66"/>
        <v>1.332620334554768</v>
      </c>
      <c r="T28" s="17" t="str">
        <f t="shared" si="57"/>
        <v>1+0.0000854286658223774i</v>
      </c>
      <c r="U28" s="17">
        <f t="shared" si="67"/>
        <v>1.0000000036490284</v>
      </c>
      <c r="V28" s="17">
        <f t="shared" si="68"/>
        <v>8.5428665614556307E-5</v>
      </c>
      <c r="W28" s="31" t="str">
        <f t="shared" si="58"/>
        <v>1-0.00026696458069493i</v>
      </c>
      <c r="X28" s="17">
        <f t="shared" si="69"/>
        <v>1.0000000356350431</v>
      </c>
      <c r="Y28" s="17">
        <f t="shared" si="70"/>
        <v>-2.669645743527339E-4</v>
      </c>
      <c r="Z28" s="31" t="str">
        <f t="shared" si="59"/>
        <v>0.999999990048666+0.00235501446906918i</v>
      </c>
      <c r="AA28" s="17">
        <f t="shared" si="71"/>
        <v>1.0000027630914237</v>
      </c>
      <c r="AB28" s="17">
        <f t="shared" si="72"/>
        <v>2.3550101388092018E-3</v>
      </c>
      <c r="AC28" s="66" t="str">
        <f t="shared" si="73"/>
        <v>16.7604587671797-69.8061854358687i</v>
      </c>
      <c r="AD28" s="64">
        <f t="shared" si="74"/>
        <v>37.121289518421101</v>
      </c>
      <c r="AE28" s="61">
        <f t="shared" si="75"/>
        <v>-76.49885424636507</v>
      </c>
      <c r="AF28" s="31" t="str">
        <f t="shared" si="60"/>
        <v>-0.000495863624968664</v>
      </c>
      <c r="AG28" s="31" t="str">
        <f t="shared" si="61"/>
        <v>0.0000174590880743659i</v>
      </c>
      <c r="AH28" s="31">
        <f t="shared" si="76"/>
        <v>1.7459088074365899E-5</v>
      </c>
      <c r="AI28" s="31">
        <f t="shared" si="77"/>
        <v>1.5707963267948966</v>
      </c>
      <c r="AJ28" s="31" t="str">
        <f t="shared" si="62"/>
        <v>1+0.0000681199944941028i</v>
      </c>
      <c r="AK28" s="31">
        <f t="shared" si="78"/>
        <v>1.0000000023201667</v>
      </c>
      <c r="AL28" s="31">
        <f t="shared" si="79"/>
        <v>6.81199943887363E-5</v>
      </c>
      <c r="AM28" s="31" t="str">
        <f t="shared" si="63"/>
        <v>1+0.0208825627565811i</v>
      </c>
      <c r="AN28" s="31">
        <f t="shared" si="80"/>
        <v>1.0002180169479464</v>
      </c>
      <c r="AO28" s="31">
        <f t="shared" si="81"/>
        <v>2.0879528051311297E-2</v>
      </c>
      <c r="AP28" s="58" t="str">
        <f t="shared" si="82"/>
        <v>-0.591160600591253+28.4015021822181i</v>
      </c>
      <c r="AQ28" s="49">
        <f t="shared" si="83"/>
        <v>29.068707347041681</v>
      </c>
      <c r="AR28" s="61">
        <f t="shared" si="84"/>
        <v>91.192405847386212</v>
      </c>
      <c r="AS28" s="58" t="str">
        <f t="shared" si="85"/>
        <v>1972.69240511816+517.288872758283i</v>
      </c>
      <c r="AT28" s="64">
        <f t="shared" si="86"/>
        <v>66.189996865462803</v>
      </c>
      <c r="AU28" s="61">
        <f t="shared" si="87"/>
        <v>14.693551601021108</v>
      </c>
    </row>
    <row r="29" spans="1:48" x14ac:dyDescent="0.25">
      <c r="A29" t="s">
        <v>162</v>
      </c>
      <c r="B29" s="43">
        <f>Lm</f>
        <v>1.7999999999999998E-4</v>
      </c>
      <c r="C29" t="s">
        <v>75</v>
      </c>
      <c r="E29" t="s">
        <v>163</v>
      </c>
      <c r="N29" s="10">
        <v>11</v>
      </c>
      <c r="O29" s="50">
        <f t="shared" si="64"/>
        <v>12.882495516931346</v>
      </c>
      <c r="P29" s="48" t="str">
        <f t="shared" si="55"/>
        <v>304.285714285714</v>
      </c>
      <c r="Q29" s="17" t="str">
        <f t="shared" si="56"/>
        <v>1+4.21482319116107i</v>
      </c>
      <c r="R29" s="17">
        <f t="shared" si="65"/>
        <v>4.3318280820860364</v>
      </c>
      <c r="S29" s="17">
        <f t="shared" si="66"/>
        <v>1.3378457341006631</v>
      </c>
      <c r="T29" s="17" t="str">
        <f t="shared" si="57"/>
        <v>1+0.0000874185550759331i</v>
      </c>
      <c r="U29" s="17">
        <f t="shared" si="67"/>
        <v>1.0000000038210017</v>
      </c>
      <c r="V29" s="17">
        <f t="shared" si="68"/>
        <v>8.7418554853248791E-5</v>
      </c>
      <c r="W29" s="31" t="str">
        <f t="shared" si="58"/>
        <v>1-0.000273182984612291i</v>
      </c>
      <c r="X29" s="17">
        <f t="shared" si="69"/>
        <v>1.0000000373144708</v>
      </c>
      <c r="Y29" s="17">
        <f t="shared" si="70"/>
        <v>-2.7318297781650551E-4</v>
      </c>
      <c r="Z29" s="31" t="str">
        <f t="shared" si="59"/>
        <v>0.999999989579674+0.00240986980291828i</v>
      </c>
      <c r="AA29" s="17">
        <f t="shared" si="71"/>
        <v>1.000002893311722</v>
      </c>
      <c r="AB29" s="17">
        <f t="shared" si="72"/>
        <v>2.4098651629618421E-3</v>
      </c>
      <c r="AC29" s="66" t="str">
        <f t="shared" si="73"/>
        <v>16.0383250789765-68.3885143532813i</v>
      </c>
      <c r="AD29" s="64">
        <f t="shared" si="74"/>
        <v>36.932182247143068</v>
      </c>
      <c r="AE29" s="61">
        <f t="shared" si="75"/>
        <v>-76.801632824002169</v>
      </c>
      <c r="AF29" s="31" t="str">
        <f t="shared" si="60"/>
        <v>-0.000495863624968664</v>
      </c>
      <c r="AG29" s="31" t="str">
        <f t="shared" si="61"/>
        <v>0.0000178657624781111i</v>
      </c>
      <c r="AH29" s="31">
        <f t="shared" si="76"/>
        <v>1.7865762478111102E-5</v>
      </c>
      <c r="AI29" s="31">
        <f t="shared" si="77"/>
        <v>1.5707963267948966</v>
      </c>
      <c r="AJ29" s="31" t="str">
        <f t="shared" si="62"/>
        <v>1+0.0000697067130000189i</v>
      </c>
      <c r="AK29" s="31">
        <f t="shared" si="78"/>
        <v>1.0000000024295128</v>
      </c>
      <c r="AL29" s="31">
        <f t="shared" si="79"/>
        <v>6.9706712887116661E-5</v>
      </c>
      <c r="AM29" s="31" t="str">
        <f t="shared" si="63"/>
        <v>1+0.0213689801296725i</v>
      </c>
      <c r="AN29" s="31">
        <f t="shared" si="80"/>
        <v>1.0002282905975928</v>
      </c>
      <c r="AO29" s="31">
        <f t="shared" si="81"/>
        <v>2.1365728424472825E-2</v>
      </c>
      <c r="AP29" s="58" t="str">
        <f t="shared" si="82"/>
        <v>-0.591160600461971+27.7550069181806i</v>
      </c>
      <c r="AQ29" s="49">
        <f t="shared" si="83"/>
        <v>28.868796561970086</v>
      </c>
      <c r="AR29" s="61">
        <f t="shared" si="84"/>
        <v>91.220172164492823</v>
      </c>
      <c r="AS29" s="58" t="str">
        <f t="shared" si="85"/>
        <v>1888.64246311532+485.57241873281i</v>
      </c>
      <c r="AT29" s="64">
        <f t="shared" si="86"/>
        <v>65.800978809113133</v>
      </c>
      <c r="AU29" s="61">
        <f t="shared" si="87"/>
        <v>14.418539340490693</v>
      </c>
    </row>
    <row r="30" spans="1:48" x14ac:dyDescent="0.25">
      <c r="A30" s="31"/>
      <c r="B30" s="31"/>
      <c r="C30" s="31"/>
      <c r="D30" s="31"/>
      <c r="E30" s="31"/>
      <c r="F30" s="31"/>
      <c r="G30" s="31"/>
      <c r="N30" s="10">
        <v>12</v>
      </c>
      <c r="O30" s="50">
        <f t="shared" si="64"/>
        <v>13.182567385564075</v>
      </c>
      <c r="P30" s="48" t="str">
        <f t="shared" si="55"/>
        <v>304.285714285714</v>
      </c>
      <c r="Q30" s="17" t="str">
        <f t="shared" si="56"/>
        <v>1+4.31299903521753i</v>
      </c>
      <c r="R30" s="17">
        <f t="shared" si="65"/>
        <v>4.4274101546826836</v>
      </c>
      <c r="S30" s="17">
        <f t="shared" si="66"/>
        <v>1.3429647393072528</v>
      </c>
      <c r="T30" s="17" t="str">
        <f t="shared" si="57"/>
        <v>1+0.0000894547948045115i</v>
      </c>
      <c r="U30" s="17">
        <f t="shared" si="67"/>
        <v>1.0000000040010801</v>
      </c>
      <c r="V30" s="17">
        <f t="shared" si="68"/>
        <v>8.9454794565900963E-5</v>
      </c>
      <c r="W30" s="31" t="str">
        <f t="shared" si="58"/>
        <v>1-0.000279546233764099i</v>
      </c>
      <c r="X30" s="17">
        <f t="shared" si="69"/>
        <v>1.0000000390730477</v>
      </c>
      <c r="Y30" s="17">
        <f t="shared" si="70"/>
        <v>-2.7954622648228365E-4</v>
      </c>
      <c r="Z30" s="31" t="str">
        <f t="shared" si="59"/>
        <v>0.99999998908858+0.00246600288163527i</v>
      </c>
      <c r="AA30" s="17">
        <f t="shared" si="71"/>
        <v>1.0000030296690967</v>
      </c>
      <c r="AB30" s="17">
        <f t="shared" si="72"/>
        <v>2.4659979098331829E-3</v>
      </c>
      <c r="AC30" s="66" t="str">
        <f t="shared" si="73"/>
        <v>15.3452984879924-66.992464252317i</v>
      </c>
      <c r="AD30" s="64">
        <f t="shared" si="74"/>
        <v>36.742610190793485</v>
      </c>
      <c r="AE30" s="61">
        <f t="shared" si="75"/>
        <v>-77.098394306484408</v>
      </c>
      <c r="AF30" s="31" t="str">
        <f t="shared" si="60"/>
        <v>-0.000495863624968664</v>
      </c>
      <c r="AG30" s="31" t="str">
        <f t="shared" si="61"/>
        <v>0.0000182819095456035i</v>
      </c>
      <c r="AH30" s="31">
        <f t="shared" si="76"/>
        <v>1.82819095456035E-5</v>
      </c>
      <c r="AI30" s="31">
        <f t="shared" si="77"/>
        <v>1.5707963267948966</v>
      </c>
      <c r="AJ30" s="31" t="str">
        <f t="shared" si="62"/>
        <v>1+0.0000713303909278451i</v>
      </c>
      <c r="AK30" s="31">
        <f t="shared" si="78"/>
        <v>1.0000000025440123</v>
      </c>
      <c r="AL30" s="31">
        <f t="shared" si="79"/>
        <v>7.1330390806868173E-5</v>
      </c>
      <c r="AM30" s="31" t="str">
        <f t="shared" si="63"/>
        <v>1+0.0218667276188806i</v>
      </c>
      <c r="AN30" s="31">
        <f t="shared" si="80"/>
        <v>1.0002390483163304</v>
      </c>
      <c r="AO30" s="31">
        <f t="shared" si="81"/>
        <v>2.18632433989563E-2</v>
      </c>
      <c r="AP30" s="58" t="str">
        <f t="shared" si="82"/>
        <v>-0.591160600326601+27.123227726192i</v>
      </c>
      <c r="AQ30" s="49">
        <f t="shared" si="83"/>
        <v>28.668889979504222</v>
      </c>
      <c r="AR30" s="61">
        <f t="shared" si="84"/>
        <v>91.248584642883202</v>
      </c>
      <c r="AS30" s="58" t="str">
        <f t="shared" si="85"/>
        <v>1807.98032798802+455.817330800966i</v>
      </c>
      <c r="AT30" s="64">
        <f t="shared" si="86"/>
        <v>65.411500170297714</v>
      </c>
      <c r="AU30" s="61">
        <f t="shared" si="87"/>
        <v>14.150190336398794</v>
      </c>
    </row>
    <row r="31" spans="1:48" x14ac:dyDescent="0.25">
      <c r="A31" t="s">
        <v>124</v>
      </c>
      <c r="B31" s="43">
        <f>R_cs</f>
        <v>0.02</v>
      </c>
      <c r="C31" s="2" t="s">
        <v>35</v>
      </c>
      <c r="E31" t="s">
        <v>164</v>
      </c>
      <c r="N31" s="10">
        <v>13</v>
      </c>
      <c r="O31" s="50">
        <f t="shared" si="64"/>
        <v>13.489628825916535</v>
      </c>
      <c r="P31" s="48" t="str">
        <f t="shared" si="55"/>
        <v>304.285714285714</v>
      </c>
      <c r="Q31" s="17" t="str">
        <f t="shared" si="56"/>
        <v>1+4.41346168845175i</v>
      </c>
      <c r="R31" s="17">
        <f t="shared" si="65"/>
        <v>4.5253335871990004</v>
      </c>
      <c r="S31" s="17">
        <f t="shared" si="66"/>
        <v>1.347978990746985</v>
      </c>
      <c r="T31" s="17" t="str">
        <f t="shared" si="57"/>
        <v>1+0.0000915384646493694i</v>
      </c>
      <c r="U31" s="17">
        <f t="shared" si="67"/>
        <v>1.0000000041896453</v>
      </c>
      <c r="V31" s="17">
        <f t="shared" si="68"/>
        <v>9.1538464393693602E-5</v>
      </c>
      <c r="W31" s="31" t="str">
        <f t="shared" si="58"/>
        <v>1-0.00028605770202928i</v>
      </c>
      <c r="X31" s="17">
        <f t="shared" si="69"/>
        <v>1.0000000409145036</v>
      </c>
      <c r="Y31" s="17">
        <f t="shared" si="70"/>
        <v>-2.8605769422667435E-4</v>
      </c>
      <c r="Z31" s="31" t="str">
        <f t="shared" si="59"/>
        <v>0.99999998857434+0.00252344346772152i</v>
      </c>
      <c r="AA31" s="17">
        <f t="shared" si="71"/>
        <v>1.0000031724527751</v>
      </c>
      <c r="AB31" s="17">
        <f t="shared" si="72"/>
        <v>2.5234381403405164E-3</v>
      </c>
      <c r="AC31" s="66" t="str">
        <f t="shared" si="73"/>
        <v>14.6803452234824-65.6181732121906i</v>
      </c>
      <c r="AD31" s="64">
        <f t="shared" si="74"/>
        <v>36.552592125661349</v>
      </c>
      <c r="AE31" s="61">
        <f t="shared" si="75"/>
        <v>-77.389234528313878</v>
      </c>
      <c r="AF31" s="31" t="str">
        <f t="shared" si="60"/>
        <v>-0.000495863624968664</v>
      </c>
      <c r="AG31" s="31" t="str">
        <f t="shared" si="61"/>
        <v>0.0000187077499235267i</v>
      </c>
      <c r="AH31" s="31">
        <f t="shared" si="76"/>
        <v>1.8707749923526702E-5</v>
      </c>
      <c r="AI31" s="31">
        <f t="shared" si="77"/>
        <v>1.5707963267948966</v>
      </c>
      <c r="AJ31" s="31" t="str">
        <f t="shared" si="62"/>
        <v>1+0.0000729918891731106i</v>
      </c>
      <c r="AK31" s="31">
        <f t="shared" si="78"/>
        <v>1.000000002663908</v>
      </c>
      <c r="AL31" s="31">
        <f t="shared" si="79"/>
        <v>7.2991889043481486E-5</v>
      </c>
      <c r="AM31" s="31" t="str">
        <f t="shared" si="63"/>
        <v>1+0.0223760691365125i</v>
      </c>
      <c r="AN31" s="31">
        <f t="shared" si="80"/>
        <v>1.0002503129067255</v>
      </c>
      <c r="AO31" s="31">
        <f t="shared" si="81"/>
        <v>2.2372335778057854E-2</v>
      </c>
      <c r="AP31" s="58" t="str">
        <f t="shared" si="82"/>
        <v>-0.591160600184843+26.5058296285621i</v>
      </c>
      <c r="AQ31" s="49">
        <f t="shared" si="83"/>
        <v>28.468987797517364</v>
      </c>
      <c r="AR31" s="61">
        <f t="shared" si="84"/>
        <v>91.277658290751361</v>
      </c>
      <c r="AS31" s="58" t="str">
        <f t="shared" si="85"/>
        <v>1730.58567800657+427.905608041251i</v>
      </c>
      <c r="AT31" s="64">
        <f t="shared" si="86"/>
        <v>65.021579923178734</v>
      </c>
      <c r="AU31" s="61">
        <f t="shared" si="87"/>
        <v>13.888423762437451</v>
      </c>
    </row>
    <row r="32" spans="1:48" x14ac:dyDescent="0.25">
      <c r="A32" t="s">
        <v>125</v>
      </c>
      <c r="B32" s="43">
        <f>R_sl</f>
        <v>0</v>
      </c>
      <c r="C32" s="2" t="s">
        <v>35</v>
      </c>
      <c r="E32" t="s">
        <v>165</v>
      </c>
      <c r="N32" s="10">
        <v>14</v>
      </c>
      <c r="O32" s="50">
        <f t="shared" si="64"/>
        <v>13.803842646028857</v>
      </c>
      <c r="P32" s="48" t="str">
        <f t="shared" si="55"/>
        <v>304.285714285714</v>
      </c>
      <c r="Q32" s="17" t="str">
        <f t="shared" si="56"/>
        <v>1+4.51626441749226i</v>
      </c>
      <c r="R32" s="17">
        <f t="shared" si="65"/>
        <v>4.6256506881417998</v>
      </c>
      <c r="S32" s="17">
        <f t="shared" si="66"/>
        <v>1.3528901380145493</v>
      </c>
      <c r="T32" s="17" t="str">
        <f t="shared" si="57"/>
        <v>1+0.0000936706693998393i</v>
      </c>
      <c r="U32" s="17">
        <f t="shared" si="67"/>
        <v>1.0000000043870971</v>
      </c>
      <c r="V32" s="17">
        <f t="shared" si="68"/>
        <v>9.3670669125877755E-5</v>
      </c>
      <c r="W32" s="31" t="str">
        <f t="shared" si="58"/>
        <v>1-0.000292720841874498i</v>
      </c>
      <c r="X32" s="17">
        <f t="shared" si="69"/>
        <v>1.0000000428427447</v>
      </c>
      <c r="Y32" s="17">
        <f t="shared" si="70"/>
        <v>-2.9272083351385538E-4</v>
      </c>
      <c r="Z32" s="31" t="str">
        <f t="shared" si="59"/>
        <v>0.999999988035865+0.00258222201693608i</v>
      </c>
      <c r="AA32" s="17">
        <f t="shared" si="71"/>
        <v>1.0000033219656197</v>
      </c>
      <c r="AB32" s="17">
        <f t="shared" si="72"/>
        <v>2.5822163085455129E-3</v>
      </c>
      <c r="AC32" s="66" t="str">
        <f t="shared" si="73"/>
        <v>14.0424564392335-64.2657421435526i</v>
      </c>
      <c r="AD32" s="64">
        <f t="shared" si="74"/>
        <v>36.362146157021009</v>
      </c>
      <c r="AE32" s="61">
        <f t="shared" si="75"/>
        <v>-77.674249883705485</v>
      </c>
      <c r="AF32" s="31" t="str">
        <f t="shared" si="60"/>
        <v>-0.000495863624968664</v>
      </c>
      <c r="AG32" s="31" t="str">
        <f t="shared" si="61"/>
        <v>0.0000191435093980857i</v>
      </c>
      <c r="AH32" s="31">
        <f t="shared" si="76"/>
        <v>1.91435093980857E-5</v>
      </c>
      <c r="AI32" s="31">
        <f t="shared" si="77"/>
        <v>1.5707963267948966</v>
      </c>
      <c r="AJ32" s="31" t="str">
        <f t="shared" si="62"/>
        <v>1+0.0000746920886841775i</v>
      </c>
      <c r="AK32" s="31">
        <f t="shared" si="78"/>
        <v>1.000000002789454</v>
      </c>
      <c r="AL32" s="31">
        <f t="shared" si="79"/>
        <v>7.4692088545277402E-5</v>
      </c>
      <c r="AM32" s="31" t="str">
        <f t="shared" si="63"/>
        <v>1+0.0228972747421829i</v>
      </c>
      <c r="AN32" s="31">
        <f t="shared" si="80"/>
        <v>1.0002621082449434</v>
      </c>
      <c r="AO32" s="31">
        <f t="shared" si="81"/>
        <v>2.2893274433138242E-2</v>
      </c>
      <c r="AP32" s="58" t="str">
        <f t="shared" si="82"/>
        <v>-0.591160600036406+25.9024852726475i</v>
      </c>
      <c r="AQ32" s="49">
        <f t="shared" si="83"/>
        <v>28.26909022319008</v>
      </c>
      <c r="AR32" s="61">
        <f t="shared" si="84"/>
        <v>91.307408462816895</v>
      </c>
      <c r="AS32" s="58" t="str">
        <f t="shared" si="85"/>
        <v>1656.34109243453+401.725895796407i</v>
      </c>
      <c r="AT32" s="64">
        <f t="shared" si="86"/>
        <v>64.631236380211092</v>
      </c>
      <c r="AU32" s="61">
        <f t="shared" si="87"/>
        <v>13.633158579111415</v>
      </c>
      <c r="AV32" s="31"/>
    </row>
    <row r="33" spans="1:48" x14ac:dyDescent="0.25">
      <c r="A33" t="s">
        <v>111</v>
      </c>
      <c r="B33" s="21">
        <f>Rsl_int</f>
        <v>1333</v>
      </c>
      <c r="C33" s="2" t="s">
        <v>35</v>
      </c>
      <c r="E33" t="s">
        <v>166</v>
      </c>
      <c r="K33" s="31"/>
      <c r="N33" s="10">
        <v>15</v>
      </c>
      <c r="O33" s="50">
        <f t="shared" si="64"/>
        <v>14.125375446227544</v>
      </c>
      <c r="P33" s="48" t="str">
        <f t="shared" si="55"/>
        <v>304.285714285714</v>
      </c>
      <c r="Q33" s="17" t="str">
        <f t="shared" si="56"/>
        <v>1+4.62146172970675i</v>
      </c>
      <c r="R33" s="17">
        <f t="shared" si="65"/>
        <v>4.7284150113060193</v>
      </c>
      <c r="S33" s="17">
        <f t="shared" si="66"/>
        <v>1.3576998370050657</v>
      </c>
      <c r="T33" s="17" t="str">
        <f t="shared" si="57"/>
        <v>1+0.0000958525395791028i</v>
      </c>
      <c r="U33" s="17">
        <f t="shared" si="67"/>
        <v>1.0000000045938546</v>
      </c>
      <c r="V33" s="17">
        <f t="shared" si="68"/>
        <v>9.5852539285547713E-5</v>
      </c>
      <c r="W33" s="31" t="str">
        <f t="shared" si="58"/>
        <v>1-0.000299539186184696i</v>
      </c>
      <c r="X33" s="17">
        <f t="shared" si="69"/>
        <v>1.0000000448618609</v>
      </c>
      <c r="Y33" s="17">
        <f t="shared" si="70"/>
        <v>-2.9953917722610606E-4</v>
      </c>
      <c r="Z33" s="31" t="str">
        <f t="shared" si="59"/>
        <v>0.999999987472013+0.00264236969444376i</v>
      </c>
      <c r="AA33" s="17">
        <f t="shared" si="71"/>
        <v>1.0000034785247642</v>
      </c>
      <c r="AB33" s="17">
        <f t="shared" si="72"/>
        <v>2.642363577794214E-3</v>
      </c>
      <c r="AC33" s="66" t="str">
        <f t="shared" si="73"/>
        <v>13.4306486727371-62.9352371302605i</v>
      </c>
      <c r="AD33" s="64">
        <f t="shared" si="74"/>
        <v>36.171289735656657</v>
      </c>
      <c r="AE33" s="61">
        <f t="shared" si="75"/>
        <v>-77.95353717163394</v>
      </c>
      <c r="AF33" s="31" t="str">
        <f t="shared" si="60"/>
        <v>-0.000495863624968664</v>
      </c>
      <c r="AG33" s="31" t="str">
        <f t="shared" si="61"/>
        <v>0.0000195894190147218i</v>
      </c>
      <c r="AH33" s="31">
        <f t="shared" si="76"/>
        <v>1.95894190147218E-5</v>
      </c>
      <c r="AI33" s="31">
        <f t="shared" si="77"/>
        <v>1.5707963267948966</v>
      </c>
      <c r="AJ33" s="31" t="str">
        <f t="shared" si="62"/>
        <v>1+0.0000764318909293314i</v>
      </c>
      <c r="AK33" s="31">
        <f t="shared" si="78"/>
        <v>1.0000000029209168</v>
      </c>
      <c r="AL33" s="31">
        <f t="shared" si="79"/>
        <v>7.6431890780497257E-5</v>
      </c>
      <c r="AM33" s="31" t="str">
        <f t="shared" si="63"/>
        <v>1+0.0234306207860029i</v>
      </c>
      <c r="AN33" s="31">
        <f t="shared" si="80"/>
        <v>1.0002744593312465</v>
      </c>
      <c r="AO33" s="31">
        <f t="shared" si="81"/>
        <v>2.3426334441153121E-2</v>
      </c>
      <c r="AP33" s="58" t="str">
        <f t="shared" si="82"/>
        <v>-0.591160599880978+25.3128747572844i</v>
      </c>
      <c r="AQ33" s="49">
        <f t="shared" si="83"/>
        <v>28.069197473446955</v>
      </c>
      <c r="AR33" s="61">
        <f t="shared" si="84"/>
        <v>91.337850868178094</v>
      </c>
      <c r="AS33" s="58" t="str">
        <f t="shared" si="85"/>
        <v>1585.13210497211+377.173160297659i</v>
      </c>
      <c r="AT33" s="64">
        <f t="shared" si="86"/>
        <v>64.240487209103605</v>
      </c>
      <c r="AU33" s="61">
        <f t="shared" si="87"/>
        <v>13.384313696544204</v>
      </c>
    </row>
    <row r="34" spans="1:48" x14ac:dyDescent="0.25">
      <c r="A34" t="s">
        <v>109</v>
      </c>
      <c r="B34" s="21">
        <f>Isl</f>
        <v>2.9999999999999997E-5</v>
      </c>
      <c r="C34" s="2" t="s">
        <v>12</v>
      </c>
      <c r="E34" t="s">
        <v>167</v>
      </c>
      <c r="K34" s="31"/>
      <c r="N34" s="10">
        <v>16</v>
      </c>
      <c r="O34" s="50">
        <f t="shared" si="64"/>
        <v>14.454397707459275</v>
      </c>
      <c r="P34" s="48" t="str">
        <f t="shared" si="55"/>
        <v>304.285714285714</v>
      </c>
      <c r="Q34" s="17" t="str">
        <f t="shared" si="56"/>
        <v>1+4.72910940210261i</v>
      </c>
      <c r="R34" s="17">
        <f t="shared" si="65"/>
        <v>4.8336813855544207</v>
      </c>
      <c r="S34" s="17">
        <f t="shared" si="66"/>
        <v>1.3624097473662735</v>
      </c>
      <c r="T34" s="17" t="str">
        <f t="shared" si="57"/>
        <v>1+0.0000980852320436095i</v>
      </c>
      <c r="U34" s="17">
        <f t="shared" si="67"/>
        <v>1.0000000048103563</v>
      </c>
      <c r="V34" s="17">
        <f t="shared" si="68"/>
        <v>9.8085231729059559E-5</v>
      </c>
      <c r="W34" s="31" t="str">
        <f t="shared" si="58"/>
        <v>1-0.00030651635013628i</v>
      </c>
      <c r="X34" s="17">
        <f t="shared" si="69"/>
        <v>1.0000000469761354</v>
      </c>
      <c r="Y34" s="17">
        <f t="shared" si="70"/>
        <v>-3.0651634053697796E-4</v>
      </c>
      <c r="Z34" s="31" t="str">
        <f t="shared" si="59"/>
        <v>0.999999986881587+0.00270391839133934i</v>
      </c>
      <c r="AA34" s="17">
        <f t="shared" si="71"/>
        <v>1.0000036424622869</v>
      </c>
      <c r="AB34" s="17">
        <f t="shared" si="72"/>
        <v>2.7039118372325574E-3</v>
      </c>
      <c r="AC34" s="66" t="str">
        <f t="shared" si="73"/>
        <v>12.8439641812855-61.6266916888521i</v>
      </c>
      <c r="AD34" s="64">
        <f t="shared" si="74"/>
        <v>35.980039674647344</v>
      </c>
      <c r="AE34" s="61">
        <f t="shared" si="75"/>
        <v>-78.227193450875006</v>
      </c>
      <c r="AF34" s="31" t="str">
        <f t="shared" si="60"/>
        <v>-0.000495863624968664</v>
      </c>
      <c r="AG34" s="31" t="str">
        <f t="shared" si="61"/>
        <v>0.0000200457152006162i</v>
      </c>
      <c r="AH34" s="31">
        <f t="shared" si="76"/>
        <v>2.0045715200616201E-5</v>
      </c>
      <c r="AI34" s="31">
        <f t="shared" si="77"/>
        <v>1.5707963267948966</v>
      </c>
      <c r="AJ34" s="31" t="str">
        <f t="shared" si="62"/>
        <v>1+0.0000782122183747518i</v>
      </c>
      <c r="AK34" s="31">
        <f t="shared" si="78"/>
        <v>1.0000000030585754</v>
      </c>
      <c r="AL34" s="31">
        <f t="shared" si="79"/>
        <v>7.8212218215273138E-5</v>
      </c>
      <c r="AM34" s="31" t="str">
        <f t="shared" si="63"/>
        <v>1+0.0239763900551045i</v>
      </c>
      <c r="AN34" s="31">
        <f t="shared" si="80"/>
        <v>1.0002873923428579</v>
      </c>
      <c r="AO34" s="31">
        <f t="shared" si="81"/>
        <v>2.3971797225115402E-2</v>
      </c>
      <c r="AP34" s="58" t="str">
        <f t="shared" si="82"/>
        <v>-0.591160599718221+24.736685463173i</v>
      </c>
      <c r="AQ34" s="49">
        <f t="shared" si="83"/>
        <v>27.869309775413932</v>
      </c>
      <c r="AR34" s="61">
        <f t="shared" si="84"/>
        <v>91.369001578332444</v>
      </c>
      <c r="AS34" s="58" t="str">
        <f t="shared" si="85"/>
        <v>1516.8472428749+354.148374070151i</v>
      </c>
      <c r="AT34" s="64">
        <f t="shared" si="86"/>
        <v>63.849349450061254</v>
      </c>
      <c r="AU34" s="61">
        <f t="shared" si="87"/>
        <v>13.141808127457452</v>
      </c>
    </row>
    <row r="35" spans="1:48" x14ac:dyDescent="0.25">
      <c r="A35" s="31"/>
      <c r="B35" s="26"/>
      <c r="C35" s="2"/>
      <c r="D35" s="31"/>
      <c r="E35" s="31"/>
      <c r="F35" s="31"/>
      <c r="G35" s="31"/>
      <c r="N35" s="10">
        <v>17</v>
      </c>
      <c r="O35" s="50">
        <f t="shared" si="64"/>
        <v>14.791083881682074</v>
      </c>
      <c r="P35" s="48" t="str">
        <f t="shared" si="55"/>
        <v>304.285714285714</v>
      </c>
      <c r="Q35" s="17" t="str">
        <f t="shared" si="56"/>
        <v>1+4.83926451090063i</v>
      </c>
      <c r="R35" s="17">
        <f t="shared" si="65"/>
        <v>4.9415059452015546</v>
      </c>
      <c r="S35" s="17">
        <f t="shared" si="66"/>
        <v>1.3670215301184139</v>
      </c>
      <c r="T35" s="17" t="str">
        <f t="shared" si="57"/>
        <v>1+0.000100369930596457i</v>
      </c>
      <c r="U35" s="17">
        <f t="shared" si="67"/>
        <v>1.0000000050370614</v>
      </c>
      <c r="V35" s="17">
        <f t="shared" si="68"/>
        <v>1.0036993025941067E-4</v>
      </c>
      <c r="W35" s="31" t="str">
        <f t="shared" si="58"/>
        <v>1-0.000313656033113929i</v>
      </c>
      <c r="X35" s="17">
        <f t="shared" si="69"/>
        <v>1.0000000491900525</v>
      </c>
      <c r="Y35" s="17">
        <f t="shared" si="70"/>
        <v>-3.1365602282809157E-4</v>
      </c>
      <c r="Z35" s="31" t="str">
        <f t="shared" si="59"/>
        <v>0.999999986263336+0.0027669007415566i</v>
      </c>
      <c r="AA35" s="17">
        <f t="shared" si="71"/>
        <v>1.0000038141259191</v>
      </c>
      <c r="AB35" s="17">
        <f t="shared" si="72"/>
        <v>2.7668937187060988E-3</v>
      </c>
      <c r="AC35" s="66" t="str">
        <f t="shared" si="73"/>
        <v>12.2814711655124-60.3401089436062i</v>
      </c>
      <c r="AD35" s="64">
        <f t="shared" si="74"/>
        <v>35.788412166334851</v>
      </c>
      <c r="AE35" s="61">
        <f t="shared" si="75"/>
        <v>-78.495315904677213</v>
      </c>
      <c r="AF35" s="31" t="str">
        <f t="shared" si="60"/>
        <v>-0.000495863624968664</v>
      </c>
      <c r="AG35" s="31" t="str">
        <f t="shared" si="61"/>
        <v>0.0000205126398900463i</v>
      </c>
      <c r="AH35" s="31">
        <f t="shared" si="76"/>
        <v>2.0512639890046301E-5</v>
      </c>
      <c r="AI35" s="31">
        <f t="shared" si="77"/>
        <v>1.5707963267948966</v>
      </c>
      <c r="AJ35" s="31" t="str">
        <f t="shared" si="62"/>
        <v>1+0.0000800340149736155i</v>
      </c>
      <c r="AK35" s="31">
        <f t="shared" si="78"/>
        <v>1.0000000032027216</v>
      </c>
      <c r="AL35" s="31">
        <f t="shared" si="79"/>
        <v>8.0034014802731049E-5</v>
      </c>
      <c r="AM35" s="31" t="str">
        <f t="shared" si="63"/>
        <v>1+0.0245348719235784i</v>
      </c>
      <c r="AN35" s="31">
        <f t="shared" si="80"/>
        <v>1.0003009346893097</v>
      </c>
      <c r="AO35" s="31">
        <f t="shared" si="81"/>
        <v>2.4529950697538539E-2</v>
      </c>
      <c r="AP35" s="58" t="str">
        <f t="shared" si="82"/>
        <v>-0.591160599547792+24.1736118871231i</v>
      </c>
      <c r="AQ35" s="49">
        <f t="shared" si="83"/>
        <v>27.669427366897168</v>
      </c>
      <c r="AR35" s="61">
        <f t="shared" si="84"/>
        <v>91.400877035367259</v>
      </c>
      <c r="AS35" s="58" t="str">
        <f t="shared" si="85"/>
        <v>1451.37805297193+332.558212337872i</v>
      </c>
      <c r="AT35" s="64">
        <f t="shared" si="86"/>
        <v>63.457839533232026</v>
      </c>
      <c r="AU35" s="61">
        <f t="shared" si="87"/>
        <v>12.905561130690055</v>
      </c>
    </row>
    <row r="36" spans="1:48" x14ac:dyDescent="0.25">
      <c r="A36" s="31" t="s">
        <v>190</v>
      </c>
      <c r="B36" s="21">
        <f>Gcomp</f>
        <v>0.14199999999999999</v>
      </c>
      <c r="C36" s="2"/>
      <c r="D36" s="31"/>
      <c r="E36" s="31" t="s">
        <v>191</v>
      </c>
      <c r="F36" s="31"/>
      <c r="G36" s="31"/>
      <c r="N36" s="10">
        <v>18</v>
      </c>
      <c r="O36" s="50">
        <f t="shared" si="64"/>
        <v>15.135612484362087</v>
      </c>
      <c r="P36" s="48" t="str">
        <f t="shared" si="55"/>
        <v>304.285714285714</v>
      </c>
      <c r="Q36" s="17" t="str">
        <f t="shared" si="56"/>
        <v>1+4.95198546179757i</v>
      </c>
      <c r="R36" s="17">
        <f t="shared" si="65"/>
        <v>5.0519461610209673</v>
      </c>
      <c r="S36" s="17">
        <f t="shared" si="66"/>
        <v>1.3715368454353627</v>
      </c>
      <c r="T36" s="17" t="str">
        <f t="shared" si="57"/>
        <v>1+0.00010270784661506i</v>
      </c>
      <c r="U36" s="17">
        <f t="shared" si="67"/>
        <v>1.0000000052744509</v>
      </c>
      <c r="V36" s="17">
        <f t="shared" si="68"/>
        <v>1.0270784625390834E-4</v>
      </c>
      <c r="W36" s="31" t="str">
        <f t="shared" si="58"/>
        <v>1-0.000320962020672064i</v>
      </c>
      <c r="X36" s="17">
        <f t="shared" si="69"/>
        <v>1.0000000515083081</v>
      </c>
      <c r="Y36" s="17">
        <f t="shared" si="70"/>
        <v>-3.2096200965059065E-4</v>
      </c>
      <c r="Z36" s="31" t="str">
        <f t="shared" si="59"/>
        <v>0.999999985615946+0.00283135013917129i</v>
      </c>
      <c r="AA36" s="17">
        <f t="shared" si="71"/>
        <v>1.0000039938797758</v>
      </c>
      <c r="AB36" s="17">
        <f t="shared" si="72"/>
        <v>2.831342614053026E-3</v>
      </c>
      <c r="AC36" s="66" t="str">
        <f t="shared" si="73"/>
        <v>11.7422638903964-59.0754637158132i</v>
      </c>
      <c r="AD36" s="64">
        <f t="shared" si="74"/>
        <v>35.596422799403896</v>
      </c>
      <c r="AE36" s="61">
        <f t="shared" si="75"/>
        <v>-78.758001714697585</v>
      </c>
      <c r="AF36" s="31" t="str">
        <f t="shared" si="60"/>
        <v>-0.000495863624968664</v>
      </c>
      <c r="AG36" s="31" t="str">
        <f t="shared" si="61"/>
        <v>0.0000209904406526631i</v>
      </c>
      <c r="AH36" s="31">
        <f t="shared" si="76"/>
        <v>2.0990440652663098E-5</v>
      </c>
      <c r="AI36" s="31">
        <f t="shared" si="77"/>
        <v>1.5707963267948966</v>
      </c>
      <c r="AJ36" s="31" t="str">
        <f t="shared" si="62"/>
        <v>1+0.0000818982466665938i</v>
      </c>
      <c r="AK36" s="31">
        <f t="shared" si="78"/>
        <v>1.0000000033536613</v>
      </c>
      <c r="AL36" s="31">
        <f t="shared" si="79"/>
        <v>8.1898246483487816E-5</v>
      </c>
      <c r="AM36" s="31" t="str">
        <f t="shared" si="63"/>
        <v>1+0.0251063625059036i</v>
      </c>
      <c r="AN36" s="31">
        <f t="shared" si="80"/>
        <v>1.0003151150703851</v>
      </c>
      <c r="AO36" s="31">
        <f t="shared" si="81"/>
        <v>2.5101089406908517E-2</v>
      </c>
      <c r="AP36" s="58" t="str">
        <f t="shared" si="82"/>
        <v>-0.591160599369331+23.6233554800711i</v>
      </c>
      <c r="AQ36" s="49">
        <f t="shared" si="83"/>
        <v>27.469550496883631</v>
      </c>
      <c r="AR36" s="61">
        <f t="shared" si="84"/>
        <v>91.433494060323369</v>
      </c>
      <c r="AS36" s="58" t="str">
        <f t="shared" si="85"/>
        <v>1388.6191157493+312.314760561898i</v>
      </c>
      <c r="AT36" s="64">
        <f t="shared" si="86"/>
        <v>63.065973296287538</v>
      </c>
      <c r="AU36" s="61">
        <f t="shared" si="87"/>
        <v>12.675492345625772</v>
      </c>
    </row>
    <row r="37" spans="1:48" x14ac:dyDescent="0.25">
      <c r="N37" s="10">
        <v>19</v>
      </c>
      <c r="O37" s="50">
        <f t="shared" si="64"/>
        <v>15.488166189124817</v>
      </c>
      <c r="P37" s="48" t="str">
        <f t="shared" si="55"/>
        <v>304.285714285714</v>
      </c>
      <c r="Q37" s="17" t="str">
        <f t="shared" si="56"/>
        <v>1+5.06733202093362i</v>
      </c>
      <c r="R37" s="17">
        <f t="shared" si="65"/>
        <v>5.165060871894851</v>
      </c>
      <c r="S37" s="17">
        <f t="shared" si="66"/>
        <v>1.3759573505804974</v>
      </c>
      <c r="T37" s="17" t="str">
        <f t="shared" si="57"/>
        <v>1+0.000105100219693438i</v>
      </c>
      <c r="U37" s="17">
        <f t="shared" si="67"/>
        <v>1.000000005523028</v>
      </c>
      <c r="V37" s="17">
        <f t="shared" si="68"/>
        <v>1.0510021930645702E-4</v>
      </c>
      <c r="W37" s="31" t="str">
        <f t="shared" si="58"/>
        <v>1-0.000328438186541994i</v>
      </c>
      <c r="X37" s="17">
        <f t="shared" si="69"/>
        <v>1.0000000539358196</v>
      </c>
      <c r="Y37" s="17">
        <f t="shared" si="70"/>
        <v>-3.2843817473227256E-4</v>
      </c>
      <c r="Z37" s="31" t="str">
        <f t="shared" si="59"/>
        <v>0.999999984938047+0.00289730075610712i</v>
      </c>
      <c r="AA37" s="17">
        <f t="shared" si="71"/>
        <v>1.0000041821051378</v>
      </c>
      <c r="AB37" s="17">
        <f t="shared" si="72"/>
        <v>2.8972926927994455E-3</v>
      </c>
      <c r="AC37" s="66" t="str">
        <f t="shared" si="73"/>
        <v>11.225462713239-57.8327045265249i</v>
      </c>
      <c r="AD37" s="64">
        <f t="shared" si="74"/>
        <v>35.40408657601057</v>
      </c>
      <c r="AE37" s="61">
        <f t="shared" si="75"/>
        <v>-79.015347943827592</v>
      </c>
      <c r="AF37" s="31" t="str">
        <f t="shared" si="60"/>
        <v>-0.000495863624968664</v>
      </c>
      <c r="AG37" s="31" t="str">
        <f t="shared" si="61"/>
        <v>0.0000214793708247552i</v>
      </c>
      <c r="AH37" s="31">
        <f t="shared" si="76"/>
        <v>2.1479370824755199E-5</v>
      </c>
      <c r="AI37" s="31">
        <f t="shared" si="77"/>
        <v>1.5707963267948966</v>
      </c>
      <c r="AJ37" s="31" t="str">
        <f t="shared" si="62"/>
        <v>1+0.000083805901894006i</v>
      </c>
      <c r="AK37" s="31">
        <f t="shared" si="78"/>
        <v>1.0000000035117145</v>
      </c>
      <c r="AL37" s="31">
        <f t="shared" si="79"/>
        <v>8.3805901697804396E-5</v>
      </c>
      <c r="AM37" s="31" t="str">
        <f t="shared" si="63"/>
        <v>1+0.0256911648139515i</v>
      </c>
      <c r="AN37" s="31">
        <f t="shared" si="80"/>
        <v>1.0003299635367811</v>
      </c>
      <c r="AO37" s="31">
        <f t="shared" si="81"/>
        <v>2.5685514687234262E-2</v>
      </c>
      <c r="AP37" s="58" t="str">
        <f t="shared" si="82"/>
        <v>-0.591160599182465+23.0856244887869i</v>
      </c>
      <c r="AQ37" s="49">
        <f t="shared" si="83"/>
        <v>27.269679426066066</v>
      </c>
      <c r="AR37" s="61">
        <f t="shared" si="84"/>
        <v>91.466869861734224</v>
      </c>
      <c r="AS37" s="58" t="str">
        <f t="shared" si="85"/>
        <v>1328.46804860666+293.335233170957i</v>
      </c>
      <c r="AT37" s="64">
        <f t="shared" si="86"/>
        <v>62.673766002076626</v>
      </c>
      <c r="AU37" s="61">
        <f t="shared" si="87"/>
        <v>12.451521917906645</v>
      </c>
      <c r="AV37" s="31"/>
    </row>
    <row r="38" spans="1:48" x14ac:dyDescent="0.25">
      <c r="N38" s="10">
        <v>20</v>
      </c>
      <c r="O38" s="50">
        <f t="shared" si="64"/>
        <v>15.848931924611136</v>
      </c>
      <c r="P38" s="48" t="str">
        <f t="shared" si="55"/>
        <v>304.285714285714</v>
      </c>
      <c r="Q38" s="17" t="str">
        <f t="shared" si="56"/>
        <v>1+5.18536534658125i</v>
      </c>
      <c r="R38" s="17">
        <f t="shared" si="65"/>
        <v>5.2809103171257972</v>
      </c>
      <c r="S38" s="17">
        <f t="shared" si="66"/>
        <v>1.380284697990747</v>
      </c>
      <c r="T38" s="17" t="str">
        <f t="shared" si="57"/>
        <v>1+0.000107548318299463i</v>
      </c>
      <c r="U38" s="17">
        <f t="shared" si="67"/>
        <v>1.0000000057833203</v>
      </c>
      <c r="V38" s="17">
        <f t="shared" si="68"/>
        <v>1.0754831788480541E-4</v>
      </c>
      <c r="W38" s="31" t="str">
        <f t="shared" si="58"/>
        <v>1-0.000336088494685821i</v>
      </c>
      <c r="X38" s="17">
        <f t="shared" si="69"/>
        <v>1.0000000564777365</v>
      </c>
      <c r="Y38" s="17">
        <f t="shared" si="70"/>
        <v>-3.3608848203147654E-4</v>
      </c>
      <c r="Z38" s="31" t="str">
        <f t="shared" si="59"/>
        <v>0.999999984228199+0.00296478756025414i</v>
      </c>
      <c r="AA38" s="17">
        <f t="shared" si="71"/>
        <v>1.0000043792012492</v>
      </c>
      <c r="AB38" s="17">
        <f t="shared" si="72"/>
        <v>2.9647789202663461E-3</v>
      </c>
      <c r="AC38" s="66" t="str">
        <f t="shared" si="73"/>
        <v>10.7302140276094-56.6117555126255i</v>
      </c>
      <c r="AD38" s="64">
        <f t="shared" si="74"/>
        <v>35.211417928900474</v>
      </c>
      <c r="AE38" s="61">
        <f t="shared" si="75"/>
        <v>-79.267451427534695</v>
      </c>
      <c r="AF38" s="31" t="str">
        <f t="shared" si="60"/>
        <v>-0.000495863624968664</v>
      </c>
      <c r="AG38" s="31" t="str">
        <f t="shared" si="61"/>
        <v>0.0000219796896435717i</v>
      </c>
      <c r="AH38" s="31">
        <f t="shared" si="76"/>
        <v>2.1979689643571699E-5</v>
      </c>
      <c r="AI38" s="31">
        <f t="shared" si="77"/>
        <v>1.5707963267948966</v>
      </c>
      <c r="AJ38" s="31" t="str">
        <f t="shared" si="62"/>
        <v>1+0.0000857579921199047i</v>
      </c>
      <c r="AK38" s="31">
        <f t="shared" si="78"/>
        <v>1.0000000036772165</v>
      </c>
      <c r="AL38" s="31">
        <f t="shared" si="79"/>
        <v>8.5757991909670895E-5</v>
      </c>
      <c r="AM38" s="31" t="str">
        <f t="shared" si="63"/>
        <v>1+0.0262895889176464i</v>
      </c>
      <c r="AN38" s="31">
        <f t="shared" si="80"/>
        <v>1.0003455115536126</v>
      </c>
      <c r="AO38" s="31">
        <f t="shared" si="81"/>
        <v>2.6283534810723059E-2</v>
      </c>
      <c r="AP38" s="58" t="str">
        <f t="shared" si="82"/>
        <v>-0.591160598986787+22.5601338011808i</v>
      </c>
      <c r="AQ38" s="49">
        <f t="shared" si="83"/>
        <v>27.069814427391272</v>
      </c>
      <c r="AR38" s="61">
        <f t="shared" si="84"/>
        <v>91.501022044343671</v>
      </c>
      <c r="AS38" s="58" t="str">
        <f t="shared" si="85"/>
        <v>1270.82549933275+275.541703476712i</v>
      </c>
      <c r="AT38" s="64">
        <f t="shared" si="86"/>
        <v>62.28123235629176</v>
      </c>
      <c r="AU38" s="61">
        <f t="shared" si="87"/>
        <v>12.233570616808946</v>
      </c>
      <c r="AV38" s="31"/>
    </row>
    <row r="39" spans="1:48" x14ac:dyDescent="0.25">
      <c r="A39" t="s">
        <v>504</v>
      </c>
      <c r="N39" s="10">
        <v>21</v>
      </c>
      <c r="O39" s="50">
        <f t="shared" si="64"/>
        <v>16.218100973589298</v>
      </c>
      <c r="P39" s="48" t="str">
        <f t="shared" si="55"/>
        <v>304.285714285714</v>
      </c>
      <c r="Q39" s="17" t="str">
        <f t="shared" si="56"/>
        <v>1+5.30614802157204i</v>
      </c>
      <c r="R39" s="17">
        <f t="shared" si="65"/>
        <v>5.3995561694303049</v>
      </c>
      <c r="S39" s="17">
        <f t="shared" si="66"/>
        <v>1.3845205335022708</v>
      </c>
      <c r="T39" s="17" t="str">
        <f t="shared" si="57"/>
        <v>1+0.00011005344044742i</v>
      </c>
      <c r="U39" s="17">
        <f t="shared" si="67"/>
        <v>1.0000000060558798</v>
      </c>
      <c r="V39" s="17">
        <f t="shared" si="68"/>
        <v>1.1005344000310639E-4</v>
      </c>
      <c r="W39" s="31" t="str">
        <f t="shared" si="58"/>
        <v>1-0.000343917001398188i</v>
      </c>
      <c r="X39" s="17">
        <f t="shared" si="69"/>
        <v>1.0000000591394502</v>
      </c>
      <c r="Y39" s="17">
        <f t="shared" si="70"/>
        <v>-3.4391698783881367E-4</v>
      </c>
      <c r="Z39" s="31" t="str">
        <f t="shared" si="59"/>
        <v>0.999999983484897+0.00303384633400921i</v>
      </c>
      <c r="AA39" s="17">
        <f t="shared" si="71"/>
        <v>1.0000045855861726</v>
      </c>
      <c r="AB39" s="17">
        <f t="shared" si="72"/>
        <v>3.0338370760977841E-3</v>
      </c>
      <c r="AC39" s="66" t="str">
        <f t="shared" si="73"/>
        <v>10.2556901317313-55.4125182565795i</v>
      </c>
      <c r="AD39" s="64">
        <f t="shared" si="74"/>
        <v>35.018430738464929</v>
      </c>
      <c r="AE39" s="61">
        <f t="shared" si="75"/>
        <v>-79.514408673344846</v>
      </c>
      <c r="AF39" s="31" t="str">
        <f t="shared" si="60"/>
        <v>-0.000495863624968664</v>
      </c>
      <c r="AG39" s="31" t="str">
        <f t="shared" si="61"/>
        <v>0.0000224916623847727i</v>
      </c>
      <c r="AH39" s="31">
        <f t="shared" si="76"/>
        <v>2.2491662384772702E-5</v>
      </c>
      <c r="AI39" s="31">
        <f t="shared" si="77"/>
        <v>1.5707963267948966</v>
      </c>
      <c r="AJ39" s="31" t="str">
        <f t="shared" si="62"/>
        <v>1+0.0000877555523683664i</v>
      </c>
      <c r="AK39" s="31">
        <f t="shared" si="78"/>
        <v>1.0000000038505183</v>
      </c>
      <c r="AL39" s="31">
        <f t="shared" si="79"/>
        <v>8.7755552143096817E-5</v>
      </c>
      <c r="AM39" s="31" t="str">
        <f t="shared" si="63"/>
        <v>1+0.0269019521093693i</v>
      </c>
      <c r="AN39" s="31">
        <f t="shared" si="80"/>
        <v>1.0003617920668975</v>
      </c>
      <c r="AO39" s="31">
        <f t="shared" si="81"/>
        <v>2.6895465143630122E-2</v>
      </c>
      <c r="AP39" s="58" t="str">
        <f t="shared" si="82"/>
        <v>-0.591160598781891+22.0466047951351i</v>
      </c>
      <c r="AQ39" s="49">
        <f t="shared" si="83"/>
        <v>26.869955786635234</v>
      </c>
      <c r="AR39" s="61">
        <f t="shared" si="84"/>
        <v>91.535968618004574</v>
      </c>
      <c r="AS39" s="58" t="str">
        <f t="shared" si="85"/>
        <v>1215.59513078682+258.860844708219i</v>
      </c>
      <c r="AT39" s="64">
        <f t="shared" si="86"/>
        <v>61.888386525100152</v>
      </c>
      <c r="AU39" s="61">
        <f t="shared" si="87"/>
        <v>12.021559944659758</v>
      </c>
    </row>
    <row r="40" spans="1:48" x14ac:dyDescent="0.25">
      <c r="A40" t="s">
        <v>505</v>
      </c>
      <c r="B40" s="32">
        <f>((Np/NS1_)*(VOUT1+VD))/((VIN_var+(Np/NS1_)*(VOUT1+VD)))</f>
        <v>0.55555555555555558</v>
      </c>
      <c r="C40" t="s">
        <v>14</v>
      </c>
      <c r="E40" t="s">
        <v>506</v>
      </c>
      <c r="N40" s="10">
        <v>22</v>
      </c>
      <c r="O40" s="50">
        <f t="shared" si="64"/>
        <v>16.595869074375614</v>
      </c>
      <c r="P40" s="48" t="str">
        <f t="shared" si="55"/>
        <v>304.285714285714</v>
      </c>
      <c r="Q40" s="17" t="str">
        <f t="shared" si="56"/>
        <v>1+5.42974408647908i</v>
      </c>
      <c r="R40" s="17">
        <f t="shared" si="65"/>
        <v>5.5210615686346536</v>
      </c>
      <c r="S40" s="17">
        <f t="shared" si="66"/>
        <v>1.3886664947112812</v>
      </c>
      <c r="T40" s="17" t="str">
        <f t="shared" si="57"/>
        <v>1+0.000112616914386232i</v>
      </c>
      <c r="U40" s="17">
        <f t="shared" si="67"/>
        <v>1.0000000063412846</v>
      </c>
      <c r="V40" s="17">
        <f t="shared" si="68"/>
        <v>1.1261691391014139E-4</v>
      </c>
      <c r="W40" s="31" t="str">
        <f t="shared" si="58"/>
        <v>1-0.000351927857456977i</v>
      </c>
      <c r="X40" s="17">
        <f t="shared" si="69"/>
        <v>1.0000000619266065</v>
      </c>
      <c r="Y40" s="17">
        <f t="shared" si="70"/>
        <v>-3.5192784292784567E-4</v>
      </c>
      <c r="Z40" s="31" t="str">
        <f t="shared" si="59"/>
        <v>0.999999982706564+0.00310451369324829i</v>
      </c>
      <c r="AA40" s="17">
        <f t="shared" si="71"/>
        <v>1.0000048016976719</v>
      </c>
      <c r="AB40" s="17">
        <f t="shared" si="72"/>
        <v>3.1045037732200446E-3</v>
      </c>
      <c r="AC40" s="66" t="str">
        <f t="shared" si="73"/>
        <v>9.8010890292683-54.2348735306393i</v>
      </c>
      <c r="AD40" s="64">
        <f t="shared" si="74"/>
        <v>34.825138349687208</v>
      </c>
      <c r="AE40" s="61">
        <f t="shared" si="75"/>
        <v>-79.756315768094481</v>
      </c>
      <c r="AF40" s="31" t="str">
        <f t="shared" si="60"/>
        <v>-0.000495863624968664</v>
      </c>
      <c r="AG40" s="31" t="str">
        <f t="shared" si="61"/>
        <v>0.0000230155605030826i</v>
      </c>
      <c r="AH40" s="31">
        <f t="shared" si="76"/>
        <v>2.3015560503082599E-5</v>
      </c>
      <c r="AI40" s="31">
        <f t="shared" si="77"/>
        <v>1.5707963267948966</v>
      </c>
      <c r="AJ40" s="31" t="str">
        <f t="shared" si="62"/>
        <v>1+0.0000897996417722764i</v>
      </c>
      <c r="AK40" s="31">
        <f t="shared" si="78"/>
        <v>1.0000000040319879</v>
      </c>
      <c r="AL40" s="31">
        <f t="shared" si="79"/>
        <v>8.9799641530895693E-5</v>
      </c>
      <c r="AM40" s="31" t="str">
        <f t="shared" si="63"/>
        <v>1+0.0275285790721901i</v>
      </c>
      <c r="AN40" s="31">
        <f t="shared" si="80"/>
        <v>1.0003788395731559</v>
      </c>
      <c r="AO40" s="31">
        <f t="shared" si="81"/>
        <v>2.7521628305326902E-2</v>
      </c>
      <c r="AP40" s="58" t="str">
        <f t="shared" si="82"/>
        <v>-0.591160598567336+21.5447651907728i</v>
      </c>
      <c r="AQ40" s="49">
        <f t="shared" si="83"/>
        <v>26.67010380300356</v>
      </c>
      <c r="AR40" s="61">
        <f t="shared" si="84"/>
        <v>91.571728006761504</v>
      </c>
      <c r="AS40" s="58" t="str">
        <f t="shared" si="85"/>
        <v>1162.68359771173+243.223682049041i</v>
      </c>
      <c r="AT40" s="64">
        <f t="shared" si="86"/>
        <v>61.495242152690778</v>
      </c>
      <c r="AU40" s="61">
        <f t="shared" si="87"/>
        <v>11.815412238667012</v>
      </c>
    </row>
    <row r="41" spans="1:48" x14ac:dyDescent="0.25">
      <c r="A41" t="s">
        <v>189</v>
      </c>
      <c r="B41" s="27">
        <f>Gcomp*((VOUT1^2)/(Pout_var))*((1-Dc_var_ccm)/((1+Dc_var_ccm)*((Acs*R_cs)/(Np/NS1_))))</f>
        <v>304.28571428571416</v>
      </c>
      <c r="C41" t="s">
        <v>144</v>
      </c>
      <c r="E41" t="s">
        <v>193</v>
      </c>
      <c r="N41" s="10">
        <v>23</v>
      </c>
      <c r="O41" s="50">
        <f t="shared" si="64"/>
        <v>16.982436524617448</v>
      </c>
      <c r="P41" s="48" t="str">
        <f t="shared" si="55"/>
        <v>304.285714285714</v>
      </c>
      <c r="Q41" s="17" t="str">
        <f t="shared" si="56"/>
        <v>1+5.55621907357188i</v>
      </c>
      <c r="R41" s="17">
        <f t="shared" si="65"/>
        <v>5.6454911560929713</v>
      </c>
      <c r="S41" s="17">
        <f t="shared" si="66"/>
        <v>1.3927242094635617</v>
      </c>
      <c r="T41" s="17" t="str">
        <f t="shared" si="57"/>
        <v>1+0.000115240099303713i</v>
      </c>
      <c r="U41" s="17">
        <f t="shared" si="67"/>
        <v>1.0000000066401402</v>
      </c>
      <c r="V41" s="17">
        <f t="shared" si="68"/>
        <v>1.1524009879357272E-4</v>
      </c>
      <c r="W41" s="31" t="str">
        <f t="shared" si="58"/>
        <v>1-0.000360125310324103i</v>
      </c>
      <c r="X41" s="17">
        <f t="shared" si="69"/>
        <v>1.0000000648451175</v>
      </c>
      <c r="Y41" s="17">
        <f t="shared" si="70"/>
        <v>-3.6012529475585832E-4</v>
      </c>
      <c r="Z41" s="31" t="str">
        <f t="shared" si="59"/>
        <v>0.999999981891549+0.00317682710674061i</v>
      </c>
      <c r="AA41" s="17">
        <f t="shared" si="71"/>
        <v>1.0000050279941419</v>
      </c>
      <c r="AB41" s="17">
        <f t="shared" si="72"/>
        <v>3.1768164772417243E-3</v>
      </c>
      <c r="AC41" s="66" t="str">
        <f t="shared" si="73"/>
        <v>9.36563416996039-53.0786829566916i</v>
      </c>
      <c r="AD41" s="64">
        <f t="shared" si="74"/>
        <v>34.631553588938097</v>
      </c>
      <c r="AE41" s="61">
        <f t="shared" si="75"/>
        <v>-79.993268292583551</v>
      </c>
      <c r="AF41" s="31" t="str">
        <f t="shared" si="60"/>
        <v>-0.000495863624968664</v>
      </c>
      <c r="AG41" s="31" t="str">
        <f t="shared" si="61"/>
        <v>0.0000235516617762181i</v>
      </c>
      <c r="AH41" s="31">
        <f t="shared" si="76"/>
        <v>2.35516617762181E-5</v>
      </c>
      <c r="AI41" s="31">
        <f t="shared" si="77"/>
        <v>1.5707963267948966</v>
      </c>
      <c r="AJ41" s="31" t="str">
        <f t="shared" si="62"/>
        <v>1+0.0000918913441348922i</v>
      </c>
      <c r="AK41" s="31">
        <f t="shared" si="78"/>
        <v>1.0000000042220094</v>
      </c>
      <c r="AL41" s="31">
        <f t="shared" si="79"/>
        <v>9.189134387624812E-5</v>
      </c>
      <c r="AM41" s="31" t="str">
        <f t="shared" si="63"/>
        <v>1+0.0281698020520187i</v>
      </c>
      <c r="AN41" s="31">
        <f t="shared" si="80"/>
        <v>1.0003966901922707</v>
      </c>
      <c r="AO41" s="31">
        <f t="shared" si="81"/>
        <v>2.816235433063537E-2</v>
      </c>
      <c r="AP41" s="58" t="str">
        <f t="shared" si="82"/>
        <v>-0.591160598342665+21.0543489060934i</v>
      </c>
      <c r="AQ41" s="49">
        <f t="shared" si="83"/>
        <v>26.470258789761591</v>
      </c>
      <c r="AR41" s="61">
        <f t="shared" si="84"/>
        <v>91.608319058119477</v>
      </c>
      <c r="AS41" s="58" t="str">
        <f t="shared" si="85"/>
        <v>1112.00051654633+228.565355517095i</v>
      </c>
      <c r="AT41" s="64">
        <f t="shared" si="86"/>
        <v>61.101812378699719</v>
      </c>
      <c r="AU41" s="61">
        <f t="shared" si="87"/>
        <v>11.615050765535901</v>
      </c>
    </row>
    <row r="42" spans="1:48" s="31" customFormat="1" x14ac:dyDescent="0.25">
      <c r="A42" t="s">
        <v>206</v>
      </c>
      <c r="B42" s="29">
        <f>(1+Dc_var_ccm)/(Cout_total*((VOUT1^2)/Pout_var))</f>
        <v>19.204389574759944</v>
      </c>
      <c r="C42" t="s">
        <v>205</v>
      </c>
      <c r="D42"/>
      <c r="E42" t="s">
        <v>196</v>
      </c>
      <c r="F42"/>
      <c r="G42"/>
      <c r="K42"/>
      <c r="N42" s="10">
        <v>24</v>
      </c>
      <c r="O42" s="50">
        <f t="shared" si="64"/>
        <v>17.378008287493756</v>
      </c>
      <c r="P42" s="48" t="str">
        <f t="shared" si="55"/>
        <v>304.285714285714</v>
      </c>
      <c r="Q42" s="17" t="str">
        <f t="shared" si="56"/>
        <v>1+5.6856400415628i</v>
      </c>
      <c r="R42" s="17">
        <f t="shared" si="65"/>
        <v>5.7729111098493666</v>
      </c>
      <c r="S42" s="17">
        <f t="shared" si="66"/>
        <v>1.3966952944663864</v>
      </c>
      <c r="T42" s="17" t="str">
        <f t="shared" si="57"/>
        <v>1+0.000117924386047228i</v>
      </c>
      <c r="U42" s="17">
        <f t="shared" si="67"/>
        <v>1.0000000069530803</v>
      </c>
      <c r="V42" s="17">
        <f t="shared" si="68"/>
        <v>1.1792438550060285E-4</v>
      </c>
      <c r="W42" s="31" t="str">
        <f t="shared" si="58"/>
        <v>1-0.000368513706397588i</v>
      </c>
      <c r="X42" s="17">
        <f t="shared" si="69"/>
        <v>1.0000000679011736</v>
      </c>
      <c r="Y42" s="17">
        <f t="shared" si="70"/>
        <v>-3.6851368971591334E-4</v>
      </c>
      <c r="Z42" s="31" t="str">
        <f t="shared" si="59"/>
        <v>0.999999981038124+0.00325082491601522i</v>
      </c>
      <c r="AA42" s="17">
        <f t="shared" si="71"/>
        <v>1.0000052649555815</v>
      </c>
      <c r="AB42" s="17">
        <f t="shared" si="72"/>
        <v>3.2508135263051977E-3</v>
      </c>
      <c r="AC42" s="66" t="str">
        <f t="shared" si="73"/>
        <v>8.94857413706023-51.9437905832276i</v>
      </c>
      <c r="AD42" s="64">
        <f t="shared" si="74"/>
        <v>34.43768878058183</v>
      </c>
      <c r="AE42" s="61">
        <f t="shared" si="75"/>
        <v>-80.225361243269631</v>
      </c>
      <c r="AF42" s="31" t="str">
        <f t="shared" si="60"/>
        <v>-0.000495863624968664</v>
      </c>
      <c r="AG42" s="31" t="str">
        <f t="shared" si="61"/>
        <v>0.0000241002504521705i</v>
      </c>
      <c r="AH42" s="31">
        <f t="shared" si="76"/>
        <v>2.4100250452170501E-5</v>
      </c>
      <c r="AI42" s="31">
        <f t="shared" si="77"/>
        <v>1.5707963267948966</v>
      </c>
      <c r="AJ42" s="31" t="str">
        <f t="shared" si="62"/>
        <v>1+0.0000940317685044947i</v>
      </c>
      <c r="AK42" s="31">
        <f t="shared" si="78"/>
        <v>1.0000000044209867</v>
      </c>
      <c r="AL42" s="31">
        <f t="shared" si="79"/>
        <v>9.4031768227352563E-5</v>
      </c>
      <c r="AM42" s="31" t="str">
        <f t="shared" si="63"/>
        <v>1+0.0288259610337669i</v>
      </c>
      <c r="AN42" s="31">
        <f t="shared" si="80"/>
        <v>1.0004153817437635</v>
      </c>
      <c r="AO42" s="31">
        <f t="shared" si="81"/>
        <v>2.8817980835473638E-2</v>
      </c>
      <c r="AP42" s="58" t="str">
        <f t="shared" si="82"/>
        <v>-0.591160598107418+20.5750959158913i</v>
      </c>
      <c r="AQ42" s="49">
        <f t="shared" si="83"/>
        <v>26.27042107489244</v>
      </c>
      <c r="AR42" s="61">
        <f t="shared" si="84"/>
        <v>91.645761052501953</v>
      </c>
      <c r="AS42" s="58" t="str">
        <f t="shared" si="85"/>
        <v>1063.45842904581+214.824893489626i</v>
      </c>
      <c r="AT42" s="64">
        <f t="shared" si="86"/>
        <v>60.708109855474305</v>
      </c>
      <c r="AU42" s="61">
        <f t="shared" si="87"/>
        <v>11.420399809232295</v>
      </c>
      <c r="AV42"/>
    </row>
    <row r="43" spans="1:48" s="31" customFormat="1" x14ac:dyDescent="0.25">
      <c r="A43"/>
      <c r="B43" s="29">
        <f>wp_lf/(2*PI())</f>
        <v>3.056473529885507</v>
      </c>
      <c r="C43" t="s">
        <v>61</v>
      </c>
      <c r="D43"/>
      <c r="E43"/>
      <c r="F43"/>
      <c r="G43"/>
      <c r="N43" s="10">
        <v>25</v>
      </c>
      <c r="O43" s="50">
        <f t="shared" si="64"/>
        <v>17.782794100389236</v>
      </c>
      <c r="P43" s="48" t="str">
        <f t="shared" si="55"/>
        <v>304.285714285714</v>
      </c>
      <c r="Q43" s="17" t="str">
        <f t="shared" si="56"/>
        <v>1+5.81807561116203i</v>
      </c>
      <c r="R43" s="17">
        <f t="shared" si="65"/>
        <v>5.9033891805638588</v>
      </c>
      <c r="S43" s="17">
        <f t="shared" si="66"/>
        <v>1.4005813540165946</v>
      </c>
      <c r="T43" s="17" t="str">
        <f t="shared" si="57"/>
        <v>1+0.000120671197861138i</v>
      </c>
      <c r="U43" s="17">
        <f t="shared" si="67"/>
        <v>1.0000000072807689</v>
      </c>
      <c r="V43" s="17">
        <f t="shared" si="68"/>
        <v>1.2067119727541859E-4</v>
      </c>
      <c r="W43" s="31" t="str">
        <f t="shared" si="58"/>
        <v>1-0.000377097493316057i</v>
      </c>
      <c r="X43" s="17">
        <f t="shared" si="69"/>
        <v>1.0000000711012573</v>
      </c>
      <c r="Y43" s="17">
        <f t="shared" si="70"/>
        <v>-3.7709747544132066E-4</v>
      </c>
      <c r="Z43" s="31" t="str">
        <f t="shared" si="59"/>
        <v>0.999999980144479+0.00332654635569003i</v>
      </c>
      <c r="AA43" s="17">
        <f t="shared" si="71"/>
        <v>1.0000055130846104</v>
      </c>
      <c r="AB43" s="17">
        <f t="shared" si="72"/>
        <v>3.3265341513994918E-3</v>
      </c>
      <c r="AC43" s="66" t="str">
        <f t="shared" si="73"/>
        <v>8.54918228804354-50.8300243812227i</v>
      </c>
      <c r="AD43" s="64">
        <f t="shared" si="74"/>
        <v>34.243555763361996</v>
      </c>
      <c r="AE43" s="61">
        <f t="shared" si="75"/>
        <v>-80.452688960645574</v>
      </c>
      <c r="AF43" s="31" t="str">
        <f t="shared" si="60"/>
        <v>-0.000495863624968664</v>
      </c>
      <c r="AG43" s="31" t="str">
        <f t="shared" si="61"/>
        <v>0.0000246616173999172i</v>
      </c>
      <c r="AH43" s="31">
        <f t="shared" si="76"/>
        <v>2.4661617399917202E-5</v>
      </c>
      <c r="AI43" s="31">
        <f t="shared" si="77"/>
        <v>1.5707963267948966</v>
      </c>
      <c r="AJ43" s="31" t="str">
        <f t="shared" si="62"/>
        <v>1+0.0000962220497624151i</v>
      </c>
      <c r="AK43" s="31">
        <f t="shared" si="78"/>
        <v>1.0000000046293414</v>
      </c>
      <c r="AL43" s="31">
        <f t="shared" si="79"/>
        <v>9.6222049465451945E-5</v>
      </c>
      <c r="AM43" s="31" t="str">
        <f t="shared" si="63"/>
        <v>1+0.0294974039216115i</v>
      </c>
      <c r="AN43" s="31">
        <f t="shared" si="80"/>
        <v>1.0004349538266417</v>
      </c>
      <c r="AO43" s="31">
        <f t="shared" si="81"/>
        <v>2.9488853185853762E-2</v>
      </c>
      <c r="AP43" s="58" t="str">
        <f t="shared" si="82"/>
        <v>-0.591160597861068+20.1067521138873i</v>
      </c>
      <c r="AQ43" s="49">
        <f t="shared" si="83"/>
        <v>26.070591001786326</v>
      </c>
      <c r="AR43" s="61">
        <f t="shared" si="84"/>
        <v>91.68407371289986</v>
      </c>
      <c r="AS43" s="58" t="str">
        <f t="shared" si="85"/>
        <v>1016.97276046347+201.944996644624i</v>
      </c>
      <c r="AT43" s="64">
        <f t="shared" si="86"/>
        <v>60.314146765148337</v>
      </c>
      <c r="AU43" s="61">
        <f t="shared" si="87"/>
        <v>11.231384752254307</v>
      </c>
      <c r="AV43"/>
    </row>
    <row r="44" spans="1:48" s="31" customFormat="1" x14ac:dyDescent="0.25">
      <c r="A44"/>
      <c r="B44" s="26"/>
      <c r="C44"/>
      <c r="D44"/>
      <c r="E44"/>
      <c r="F44"/>
      <c r="G44"/>
      <c r="N44" s="10">
        <v>26</v>
      </c>
      <c r="O44" s="50">
        <f t="shared" si="64"/>
        <v>18.197008586099841</v>
      </c>
      <c r="P44" s="48" t="str">
        <f t="shared" si="55"/>
        <v>304.285714285714</v>
      </c>
      <c r="Q44" s="17" t="str">
        <f t="shared" si="56"/>
        <v>1+5.95359600146168i</v>
      </c>
      <c r="R44" s="17">
        <f t="shared" si="65"/>
        <v>6.0369947282253369</v>
      </c>
      <c r="S44" s="17">
        <f t="shared" si="66"/>
        <v>1.4043839788388159</v>
      </c>
      <c r="T44" s="17" t="str">
        <f t="shared" si="57"/>
        <v>1+0.000123481991141427i</v>
      </c>
      <c r="U44" s="17">
        <f t="shared" si="67"/>
        <v>1.0000000076239011</v>
      </c>
      <c r="V44" s="17">
        <f t="shared" si="68"/>
        <v>1.2348199051381736E-4</v>
      </c>
      <c r="W44" s="31" t="str">
        <f t="shared" si="58"/>
        <v>1-0.000385881222316961i</v>
      </c>
      <c r="X44" s="17">
        <f t="shared" si="69"/>
        <v>1.0000000744521562</v>
      </c>
      <c r="Y44" s="17">
        <f t="shared" si="70"/>
        <v>-3.8588120316383599E-4</v>
      </c>
      <c r="Z44" s="31" t="str">
        <f t="shared" si="59"/>
        <v>0.999999979208717+0.00340403157427469i</v>
      </c>
      <c r="AA44" s="17">
        <f t="shared" si="71"/>
        <v>1.0000057729075333</v>
      </c>
      <c r="AB44" s="17">
        <f t="shared" si="72"/>
        <v>3.4040184971458496E-3</v>
      </c>
      <c r="AC44" s="66" t="str">
        <f t="shared" si="73"/>
        <v>8.16675635458844-49.7371976609089i</v>
      </c>
      <c r="AD44" s="64">
        <f t="shared" si="74"/>
        <v>34.049165906535947</v>
      </c>
      <c r="AE44" s="61">
        <f t="shared" si="75"/>
        <v>-80.675345063957394</v>
      </c>
      <c r="AF44" s="31" t="str">
        <f t="shared" si="60"/>
        <v>-0.000495863624968664</v>
      </c>
      <c r="AG44" s="31" t="str">
        <f t="shared" si="61"/>
        <v>0.0000252360602636443i</v>
      </c>
      <c r="AH44" s="31">
        <f t="shared" si="76"/>
        <v>2.5236060263644302E-5</v>
      </c>
      <c r="AI44" s="31">
        <f t="shared" si="77"/>
        <v>1.5707963267948966</v>
      </c>
      <c r="AJ44" s="31" t="str">
        <f t="shared" si="62"/>
        <v>1+0.0000984633492247695i</v>
      </c>
      <c r="AK44" s="31">
        <f t="shared" si="78"/>
        <v>1.0000000048475155</v>
      </c>
      <c r="AL44" s="31">
        <f t="shared" si="79"/>
        <v>9.846334890656775E-5</v>
      </c>
      <c r="AM44" s="31" t="str">
        <f t="shared" si="63"/>
        <v>1+0.03018448672346i</v>
      </c>
      <c r="AN44" s="31">
        <f t="shared" si="80"/>
        <v>1.0004554479029832</v>
      </c>
      <c r="AO44" s="31">
        <f t="shared" si="81"/>
        <v>3.0175324670279845E-2</v>
      </c>
      <c r="AP44" s="58" t="str">
        <f t="shared" si="82"/>
        <v>-0.591160597603119+19.6490691779985i</v>
      </c>
      <c r="AQ44" s="49">
        <f t="shared" si="83"/>
        <v>25.870768929962015</v>
      </c>
      <c r="AR44" s="61">
        <f t="shared" si="84"/>
        <v>91.723277214714955</v>
      </c>
      <c r="AS44" s="58" t="str">
        <f t="shared" si="85"/>
        <v>972.461772991927+189.871832063494i</v>
      </c>
      <c r="AT44" s="64">
        <f t="shared" si="86"/>
        <v>59.919934836497973</v>
      </c>
      <c r="AU44" s="61">
        <f t="shared" si="87"/>
        <v>11.047932150757548</v>
      </c>
      <c r="AV44"/>
    </row>
    <row r="45" spans="1:48" x14ac:dyDescent="0.25">
      <c r="A45" t="s">
        <v>207</v>
      </c>
      <c r="B45" s="29">
        <f>(((VOUT1^2)/Pout_var)*((1-Dc_var_ccm)^2))/((Lm/((Np/NS1_)^2))*Dc_var_ccm)</f>
        <v>296296.29629629629</v>
      </c>
      <c r="C45" t="s">
        <v>205</v>
      </c>
      <c r="E45" t="s">
        <v>197</v>
      </c>
      <c r="N45" s="10">
        <v>27</v>
      </c>
      <c r="O45" s="50">
        <f t="shared" si="64"/>
        <v>18.62087136662868</v>
      </c>
      <c r="P45" s="48" t="str">
        <f t="shared" si="55"/>
        <v>304.285714285714</v>
      </c>
      <c r="Q45" s="17" t="str">
        <f t="shared" si="56"/>
        <v>1+6.09227306716646i</v>
      </c>
      <c r="R45" s="17">
        <f t="shared" si="65"/>
        <v>6.1737987596715387</v>
      </c>
      <c r="S45" s="17">
        <f t="shared" si="66"/>
        <v>1.4081047450278925</v>
      </c>
      <c r="T45" s="17" t="str">
        <f t="shared" si="57"/>
        <v>1+0.000126358256207897i</v>
      </c>
      <c r="U45" s="17">
        <f t="shared" si="67"/>
        <v>1.0000000079832043</v>
      </c>
      <c r="V45" s="17">
        <f t="shared" si="68"/>
        <v>1.2635825553540113E-4</v>
      </c>
      <c r="W45" s="31" t="str">
        <f t="shared" si="58"/>
        <v>1-0.000394869550649677i</v>
      </c>
      <c r="X45" s="17">
        <f t="shared" si="69"/>
        <v>1.0000000779609779</v>
      </c>
      <c r="Y45" s="17">
        <f t="shared" si="70"/>
        <v>-3.9486953012673391E-4</v>
      </c>
      <c r="Z45" s="31" t="str">
        <f t="shared" si="59"/>
        <v>0.999999978228854+0.00348332165545771i</v>
      </c>
      <c r="AA45" s="17">
        <f t="shared" si="71"/>
        <v>1.0000060449754611</v>
      </c>
      <c r="AB45" s="17">
        <f t="shared" si="72"/>
        <v>3.4833076430662749E-3</v>
      </c>
      <c r="AC45" s="66" t="str">
        <f t="shared" si="73"/>
        <v>7.8006180073795-48.6651104116428i</v>
      </c>
      <c r="AD45" s="64">
        <f t="shared" si="74"/>
        <v>33.854530125735216</v>
      </c>
      <c r="AE45" s="61">
        <f t="shared" si="75"/>
        <v>-80.893422391922257</v>
      </c>
      <c r="AF45" s="31" t="str">
        <f t="shared" si="60"/>
        <v>-0.000495863624968664</v>
      </c>
      <c r="AG45" s="31" t="str">
        <f t="shared" si="61"/>
        <v>0.0000258238836205621i</v>
      </c>
      <c r="AH45" s="31">
        <f t="shared" si="76"/>
        <v>2.5823883620562099E-5</v>
      </c>
      <c r="AI45" s="31">
        <f t="shared" si="77"/>
        <v>1.5707963267948966</v>
      </c>
      <c r="AJ45" s="31" t="str">
        <f t="shared" si="62"/>
        <v>1+0.000100756855258199i</v>
      </c>
      <c r="AK45" s="31">
        <f t="shared" si="78"/>
        <v>1.0000000050759719</v>
      </c>
      <c r="AL45" s="31">
        <f t="shared" si="79"/>
        <v>1.0075685491723968E-4</v>
      </c>
      <c r="AM45" s="31" t="str">
        <f t="shared" si="63"/>
        <v>1+0.030887573739708i</v>
      </c>
      <c r="AN45" s="31">
        <f t="shared" si="80"/>
        <v>1.0004769073854358</v>
      </c>
      <c r="AO45" s="31">
        <f t="shared" si="81"/>
        <v>3.0877756675578627E-2</v>
      </c>
      <c r="AP45" s="58" t="str">
        <f t="shared" si="82"/>
        <v>-0.591160597333007+19.201804438674i</v>
      </c>
      <c r="AQ45" s="49">
        <f t="shared" si="83"/>
        <v>25.670955235821388</v>
      </c>
      <c r="AR45" s="61">
        <f t="shared" si="84"/>
        <v>91.763392195798787</v>
      </c>
      <c r="AS45" s="58" t="str">
        <f t="shared" si="85"/>
        <v>929.846515110034+178.554837218723i</v>
      </c>
      <c r="AT45" s="64">
        <f t="shared" si="86"/>
        <v>59.525485361556605</v>
      </c>
      <c r="AU45" s="61">
        <f t="shared" si="87"/>
        <v>10.869969803876508</v>
      </c>
    </row>
    <row r="46" spans="1:48" x14ac:dyDescent="0.25">
      <c r="A46" s="31"/>
      <c r="B46" s="29">
        <f>wz_rhp/(2*PI())</f>
        <v>47157.020175376398</v>
      </c>
      <c r="C46" s="31" t="s">
        <v>61</v>
      </c>
      <c r="D46" s="31"/>
      <c r="E46" s="31"/>
      <c r="F46" s="31"/>
      <c r="G46" s="31"/>
      <c r="K46" s="31"/>
      <c r="N46" s="10">
        <v>28</v>
      </c>
      <c r="O46" s="50">
        <f t="shared" si="64"/>
        <v>19.054607179632477</v>
      </c>
      <c r="P46" s="48" t="str">
        <f t="shared" si="55"/>
        <v>304.285714285714</v>
      </c>
      <c r="Q46" s="17" t="str">
        <f t="shared" si="56"/>
        <v>1+6.23418033669221i</v>
      </c>
      <c r="R46" s="17">
        <f t="shared" si="65"/>
        <v>6.3138739669397737</v>
      </c>
      <c r="S46" s="17">
        <f t="shared" si="66"/>
        <v>1.4117452130898083</v>
      </c>
      <c r="T46" s="17" t="str">
        <f t="shared" si="57"/>
        <v>1+0.000129301518094357i</v>
      </c>
      <c r="U46" s="17">
        <f t="shared" si="67"/>
        <v>1.0000000083594411</v>
      </c>
      <c r="V46" s="17">
        <f t="shared" si="68"/>
        <v>1.2930151737376472E-4</v>
      </c>
      <c r="W46" s="31" t="str">
        <f t="shared" si="58"/>
        <v>1-0.000404067244044865i</v>
      </c>
      <c r="X46" s="17">
        <f t="shared" si="69"/>
        <v>1.0000000816351655</v>
      </c>
      <c r="Y46" s="17">
        <f t="shared" si="70"/>
        <v>-4.0406722205413537E-4</v>
      </c>
      <c r="Z46" s="31" t="str">
        <f t="shared" si="59"/>
        <v>0.999999977202812+0.00356445863988967i</v>
      </c>
      <c r="AA46" s="17">
        <f t="shared" si="71"/>
        <v>1.0000063298654764</v>
      </c>
      <c r="AB46" s="17">
        <f t="shared" si="72"/>
        <v>3.5644436253468659E-3</v>
      </c>
      <c r="AC46" s="66" t="str">
        <f t="shared" si="73"/>
        <v>7.45011239085224-47.6135505671967i</v>
      </c>
      <c r="AD46" s="64">
        <f t="shared" si="74"/>
        <v>33.659658898528974</v>
      </c>
      <c r="AE46" s="61">
        <f t="shared" si="75"/>
        <v>-81.1070129491209</v>
      </c>
      <c r="AF46" s="31" t="str">
        <f t="shared" si="60"/>
        <v>-0.000495863624968664</v>
      </c>
      <c r="AG46" s="31" t="str">
        <f t="shared" si="61"/>
        <v>0.0000264253991423949i</v>
      </c>
      <c r="AH46" s="31">
        <f t="shared" si="76"/>
        <v>2.6425399142394899E-5</v>
      </c>
      <c r="AI46" s="31">
        <f t="shared" si="77"/>
        <v>1.5707963267948966</v>
      </c>
      <c r="AJ46" s="31" t="str">
        <f t="shared" si="62"/>
        <v>1+0.000103103783909961i</v>
      </c>
      <c r="AK46" s="31">
        <f t="shared" si="78"/>
        <v>1.0000000053151952</v>
      </c>
      <c r="AL46" s="31">
        <f t="shared" si="79"/>
        <v>1.0310378354461651E-4</v>
      </c>
      <c r="AM46" s="31" t="str">
        <f t="shared" si="63"/>
        <v>1+0.0316070377563983i</v>
      </c>
      <c r="AN46" s="31">
        <f t="shared" si="80"/>
        <v>1.0004993777288091</v>
      </c>
      <c r="AO46" s="31">
        <f t="shared" si="81"/>
        <v>3.1596518866211482E-2</v>
      </c>
      <c r="AP46" s="58" t="str">
        <f t="shared" si="82"/>
        <v>-0.591160597050172+18.7647207502289i</v>
      </c>
      <c r="AQ46" s="49">
        <f t="shared" si="83"/>
        <v>25.471150313439527</v>
      </c>
      <c r="AR46" s="61">
        <f t="shared" si="84"/>
        <v>91.804439766690464</v>
      </c>
      <c r="AS46" s="58" t="str">
        <f t="shared" si="85"/>
        <v>889.050767431282+167.946533553145i</v>
      </c>
      <c r="AT46" s="64">
        <f t="shared" si="86"/>
        <v>59.130809211968504</v>
      </c>
      <c r="AU46" s="61">
        <f t="shared" si="87"/>
        <v>10.697426817569566</v>
      </c>
    </row>
    <row r="47" spans="1:48" x14ac:dyDescent="0.25">
      <c r="A47" s="31"/>
      <c r="B47" s="1"/>
      <c r="C47" s="31"/>
      <c r="D47" s="31"/>
      <c r="E47" s="31"/>
      <c r="F47" s="31"/>
      <c r="G47" s="31"/>
      <c r="N47" s="10">
        <v>29</v>
      </c>
      <c r="O47" s="50">
        <f t="shared" si="64"/>
        <v>19.498445997580465</v>
      </c>
      <c r="P47" s="48" t="str">
        <f t="shared" si="55"/>
        <v>304.285714285714</v>
      </c>
      <c r="Q47" s="17" t="str">
        <f t="shared" si="56"/>
        <v>1+6.37939305115162i</v>
      </c>
      <c r="R47" s="17">
        <f t="shared" si="65"/>
        <v>6.4572947664700555</v>
      </c>
      <c r="S47" s="17">
        <f t="shared" si="66"/>
        <v>1.4153069270755616</v>
      </c>
      <c r="T47" s="17" t="str">
        <f t="shared" si="57"/>
        <v>1+0.000132313337357219i</v>
      </c>
      <c r="U47" s="17">
        <f t="shared" si="67"/>
        <v>1.0000000087534096</v>
      </c>
      <c r="V47" s="17">
        <f t="shared" si="68"/>
        <v>1.3231333658509043E-4</v>
      </c>
      <c r="W47" s="31" t="str">
        <f t="shared" si="58"/>
        <v>1-0.000413479179241308i</v>
      </c>
      <c r="X47" s="17">
        <f t="shared" si="69"/>
        <v>1.0000000854825122</v>
      </c>
      <c r="Y47" s="17">
        <f t="shared" si="70"/>
        <v>-4.1347915567781679E-4</v>
      </c>
      <c r="Z47" s="31" t="str">
        <f t="shared" si="59"/>
        <v>0.999999976128413+0.0036474855474737i</v>
      </c>
      <c r="AA47" s="17">
        <f t="shared" si="71"/>
        <v>1.0000066281818563</v>
      </c>
      <c r="AB47" s="17">
        <f t="shared" si="72"/>
        <v>3.6474694591069876E-3</v>
      </c>
      <c r="AC47" s="66" t="str">
        <f t="shared" si="73"/>
        <v>7.11460763258682-46.5822951989315i</v>
      </c>
      <c r="AD47" s="64">
        <f t="shared" si="74"/>
        <v>33.46456227967284</v>
      </c>
      <c r="AE47" s="61">
        <f t="shared" si="75"/>
        <v>-81.316207857746505</v>
      </c>
      <c r="AF47" s="31" t="str">
        <f t="shared" si="60"/>
        <v>-0.000495863624968664</v>
      </c>
      <c r="AG47" s="31" t="str">
        <f t="shared" si="61"/>
        <v>0.0000270409257606346i</v>
      </c>
      <c r="AH47" s="31">
        <f t="shared" si="76"/>
        <v>2.70409257606346E-5</v>
      </c>
      <c r="AI47" s="31">
        <f t="shared" si="77"/>
        <v>1.5707963267948966</v>
      </c>
      <c r="AJ47" s="31" t="str">
        <f t="shared" si="62"/>
        <v>1+0.000105505379552693i</v>
      </c>
      <c r="AK47" s="31">
        <f t="shared" si="78"/>
        <v>1.0000000055656926</v>
      </c>
      <c r="AL47" s="31">
        <f t="shared" si="79"/>
        <v>1.0550537916121934E-4</v>
      </c>
      <c r="AM47" s="31" t="str">
        <f t="shared" si="63"/>
        <v>1+0.0323432602428756i</v>
      </c>
      <c r="AN47" s="31">
        <f t="shared" si="80"/>
        <v>1.0005229065259518</v>
      </c>
      <c r="AO47" s="31">
        <f t="shared" si="81"/>
        <v>3.2331989367096567E-2</v>
      </c>
      <c r="AP47" s="58" t="str">
        <f t="shared" si="82"/>
        <v>-0.591160596754002+18.3375863651059i</v>
      </c>
      <c r="AQ47" s="49">
        <f t="shared" si="83"/>
        <v>25.271354575391012</v>
      </c>
      <c r="AR47" s="61">
        <f t="shared" si="84"/>
        <v>91.846441521054629</v>
      </c>
      <c r="AS47" s="58" t="str">
        <f t="shared" si="85"/>
        <v>850.000985601514+158.002349344374i</v>
      </c>
      <c r="AT47" s="64">
        <f t="shared" si="86"/>
        <v>58.735916855063849</v>
      </c>
      <c r="AU47" s="61">
        <f t="shared" si="87"/>
        <v>10.530233663308129</v>
      </c>
    </row>
    <row r="48" spans="1:48" x14ac:dyDescent="0.25">
      <c r="A48" t="s">
        <v>208</v>
      </c>
      <c r="B48" s="29">
        <f>1/(Cout_total*Resr_total)</f>
        <v>925925.92592592584</v>
      </c>
      <c r="C48" t="s">
        <v>205</v>
      </c>
      <c r="E48" t="s">
        <v>198</v>
      </c>
      <c r="K48" s="31"/>
      <c r="N48" s="10">
        <v>30</v>
      </c>
      <c r="O48" s="50">
        <f t="shared" si="64"/>
        <v>19.952623149688804</v>
      </c>
      <c r="P48" s="48" t="str">
        <f t="shared" si="55"/>
        <v>304.285714285714</v>
      </c>
      <c r="Q48" s="17" t="str">
        <f t="shared" si="56"/>
        <v>1+6.527988204248i</v>
      </c>
      <c r="R48" s="17">
        <f t="shared" si="65"/>
        <v>6.604137339183751</v>
      </c>
      <c r="S48" s="17">
        <f t="shared" si="66"/>
        <v>1.418791413802621</v>
      </c>
      <c r="T48" s="17" t="str">
        <f t="shared" si="57"/>
        <v>1+0.000135395310902921i</v>
      </c>
      <c r="U48" s="17">
        <f t="shared" si="67"/>
        <v>1.0000000091659451</v>
      </c>
      <c r="V48" s="17">
        <f t="shared" si="68"/>
        <v>1.3539531007557035E-4</v>
      </c>
      <c r="W48" s="31" t="str">
        <f t="shared" si="58"/>
        <v>1-0.000423110346571629i</v>
      </c>
      <c r="X48" s="17">
        <f t="shared" si="69"/>
        <v>1.0000000895111787</v>
      </c>
      <c r="Y48" s="17">
        <f t="shared" si="70"/>
        <v>-4.2311032132289335E-4</v>
      </c>
      <c r="Z48" s="31" t="str">
        <f t="shared" si="59"/>
        <v>0.99999997500338+0.00373244640017517i</v>
      </c>
      <c r="AA48" s="17">
        <f t="shared" si="71"/>
        <v>1.0000069405573597</v>
      </c>
      <c r="AB48" s="17">
        <f t="shared" si="72"/>
        <v>3.7324291611861094E-3</v>
      </c>
      <c r="AC48" s="66" t="str">
        <f t="shared" si="73"/>
        <v>6.79349433166754-45.5711116393932i</v>
      </c>
      <c r="AD48" s="64">
        <f t="shared" si="74"/>
        <v>33.269249916028059</v>
      </c>
      <c r="AE48" s="61">
        <f t="shared" si="75"/>
        <v>-81.521097314403846</v>
      </c>
      <c r="AF48" s="31" t="str">
        <f t="shared" si="60"/>
        <v>-0.000495863624968664</v>
      </c>
      <c r="AG48" s="31" t="str">
        <f t="shared" si="61"/>
        <v>0.0000276707898356415i</v>
      </c>
      <c r="AH48" s="31">
        <f t="shared" si="76"/>
        <v>2.7670789835641499E-5</v>
      </c>
      <c r="AI48" s="31">
        <f t="shared" si="77"/>
        <v>1.5707963267948966</v>
      </c>
      <c r="AJ48" s="31" t="str">
        <f t="shared" si="62"/>
        <v>1+0.000107962915544192i</v>
      </c>
      <c r="AK48" s="31">
        <f t="shared" si="78"/>
        <v>1.0000000058279954</v>
      </c>
      <c r="AL48" s="31">
        <f t="shared" si="79"/>
        <v>1.0796291512472041E-4</v>
      </c>
      <c r="AM48" s="31" t="str">
        <f t="shared" si="63"/>
        <v>1+0.0330966315540474i</v>
      </c>
      <c r="AN48" s="31">
        <f t="shared" si="80"/>
        <v>1.0005475436081108</v>
      </c>
      <c r="AO48" s="31">
        <f t="shared" si="81"/>
        <v>3.3084554949981713E-2</v>
      </c>
      <c r="AP48" s="58" t="str">
        <f t="shared" si="82"/>
        <v>-0.591160596443874+17.9201748110004i</v>
      </c>
      <c r="AQ48" s="49">
        <f t="shared" si="83"/>
        <v>25.071568453615129</v>
      </c>
      <c r="AR48" s="61">
        <f t="shared" si="84"/>
        <v>91.889419546322017</v>
      </c>
      <c r="AS48" s="58" t="str">
        <f t="shared" si="85"/>
        <v>812.626240748495+148.680451538377i</v>
      </c>
      <c r="AT48" s="64">
        <f t="shared" si="86"/>
        <v>58.340818369643195</v>
      </c>
      <c r="AU48" s="61">
        <f t="shared" si="87"/>
        <v>10.368322231918194</v>
      </c>
    </row>
    <row r="49" spans="1:48" x14ac:dyDescent="0.25">
      <c r="A49" s="31"/>
      <c r="B49" s="29">
        <f>wz_esr/(2*PI())</f>
        <v>147365.68804805123</v>
      </c>
      <c r="C49" s="31" t="s">
        <v>61</v>
      </c>
      <c r="D49" s="31"/>
      <c r="E49" s="31"/>
      <c r="F49" s="31"/>
      <c r="G49" s="31"/>
      <c r="K49" s="31"/>
      <c r="N49" s="10">
        <v>31</v>
      </c>
      <c r="O49" s="50">
        <f t="shared" si="64"/>
        <v>20.4173794466953</v>
      </c>
      <c r="P49" s="48" t="str">
        <f t="shared" si="55"/>
        <v>304.285714285714</v>
      </c>
      <c r="Q49" s="17" t="str">
        <f t="shared" si="56"/>
        <v>1+6.68004458309839i</v>
      </c>
      <c r="R49" s="17">
        <f t="shared" si="65"/>
        <v>6.7544796714611657</v>
      </c>
      <c r="S49" s="17">
        <f t="shared" si="66"/>
        <v>1.4222001821588068</v>
      </c>
      <c r="T49" s="17" t="str">
        <f t="shared" si="57"/>
        <v>1+0.000138549072834633i</v>
      </c>
      <c r="U49" s="17">
        <f t="shared" si="67"/>
        <v>1.0000000095979227</v>
      </c>
      <c r="V49" s="17">
        <f t="shared" si="68"/>
        <v>1.3854907194811082E-4</v>
      </c>
      <c r="W49" s="31" t="str">
        <f t="shared" si="58"/>
        <v>1-0.000432965852608228i</v>
      </c>
      <c r="X49" s="17">
        <f t="shared" si="69"/>
        <v>1.0000000937297104</v>
      </c>
      <c r="Y49" s="17">
        <f t="shared" si="70"/>
        <v>-4.3296582555372044E-4</v>
      </c>
      <c r="Z49" s="31" t="str">
        <f t="shared" si="59"/>
        <v>0.999999973825325+0.00381938624536277i</v>
      </c>
      <c r="AA49" s="17">
        <f t="shared" si="71"/>
        <v>1.0000072676545617</v>
      </c>
      <c r="AB49" s="17">
        <f t="shared" si="72"/>
        <v>3.8193677734604413E-3</v>
      </c>
      <c r="AC49" s="66" t="str">
        <f t="shared" si="73"/>
        <v>6.48618502995344-44.5797585389316i</v>
      </c>
      <c r="AD49" s="64">
        <f t="shared" si="74"/>
        <v>33.073731061137998</v>
      </c>
      <c r="AE49" s="61">
        <f t="shared" si="75"/>
        <v>-81.72177055166361</v>
      </c>
      <c r="AF49" s="31" t="str">
        <f t="shared" si="60"/>
        <v>-0.000495863624968664</v>
      </c>
      <c r="AG49" s="31" t="str">
        <f t="shared" si="61"/>
        <v>0.0000283153253296854i</v>
      </c>
      <c r="AH49" s="31">
        <f t="shared" si="76"/>
        <v>2.8315325329685401E-5</v>
      </c>
      <c r="AI49" s="31">
        <f t="shared" si="77"/>
        <v>1.5707963267948966</v>
      </c>
      <c r="AJ49" s="31" t="str">
        <f t="shared" si="62"/>
        <v>1+0.00011047769490257i</v>
      </c>
      <c r="AK49" s="31">
        <f t="shared" si="78"/>
        <v>1.0000000061026604</v>
      </c>
      <c r="AL49" s="31">
        <f t="shared" si="79"/>
        <v>1.1047769445309809E-4</v>
      </c>
      <c r="AM49" s="31" t="str">
        <f t="shared" si="63"/>
        <v>1+0.0338675511373547i</v>
      </c>
      <c r="AN49" s="31">
        <f t="shared" si="80"/>
        <v>1.0005733411499835</v>
      </c>
      <c r="AO49" s="31">
        <f t="shared" si="81"/>
        <v>3.3854611223396905E-2</v>
      </c>
      <c r="AP49" s="58" t="str">
        <f t="shared" si="82"/>
        <v>-0.591160596119133+17.5122647707813i</v>
      </c>
      <c r="AQ49" s="49">
        <f t="shared" si="83"/>
        <v>24.871792400320551</v>
      </c>
      <c r="AR49" s="61">
        <f t="shared" si="84"/>
        <v>91.933396434534359</v>
      </c>
      <c r="AS49" s="58" t="str">
        <f t="shared" si="85"/>
        <v>776.858157942423+139.941586229544i</v>
      </c>
      <c r="AT49" s="64">
        <f t="shared" si="86"/>
        <v>57.945523461458556</v>
      </c>
      <c r="AU49" s="61">
        <f t="shared" si="87"/>
        <v>10.211625882870704</v>
      </c>
    </row>
    <row r="50" spans="1:48" x14ac:dyDescent="0.25">
      <c r="B50" s="26"/>
      <c r="N50" s="10">
        <v>32</v>
      </c>
      <c r="O50" s="50">
        <f t="shared" si="64"/>
        <v>20.8929613085404</v>
      </c>
      <c r="P50" s="48" t="str">
        <f t="shared" si="55"/>
        <v>304.285714285714</v>
      </c>
      <c r="Q50" s="17" t="str">
        <f t="shared" si="56"/>
        <v>1+6.83564281000763i</v>
      </c>
      <c r="R50" s="17">
        <f t="shared" si="65"/>
        <v>6.9084015970417507</v>
      </c>
      <c r="S50" s="17">
        <f t="shared" si="66"/>
        <v>1.4255347224836346</v>
      </c>
      <c r="T50" s="17" t="str">
        <f t="shared" si="57"/>
        <v>1+0.000141776295318676i</v>
      </c>
      <c r="U50" s="17">
        <f t="shared" si="67"/>
        <v>1.0000000100502588</v>
      </c>
      <c r="V50" s="17">
        <f t="shared" si="68"/>
        <v>1.4177629436875036E-4</v>
      </c>
      <c r="W50" s="31" t="str">
        <f t="shared" si="58"/>
        <v>1-0.000443050922870864i</v>
      </c>
      <c r="X50" s="17">
        <f t="shared" si="69"/>
        <v>1.0000000981470554</v>
      </c>
      <c r="Y50" s="17">
        <f t="shared" si="70"/>
        <v>-4.4305089388143703E-4</v>
      </c>
      <c r="Z50" s="31" t="str">
        <f t="shared" si="59"/>
        <v>0.999999972591751+0.00390835117969324i</v>
      </c>
      <c r="AA50" s="17">
        <f t="shared" si="71"/>
        <v>1.0000076101672659</v>
      </c>
      <c r="AB50" s="17">
        <f t="shared" si="72"/>
        <v>3.9083313867014245E-3</v>
      </c>
      <c r="AC50" s="66" t="str">
        <f t="shared" si="73"/>
        <v>6.19211366985647-43.6079868579806i</v>
      </c>
      <c r="AD50" s="64">
        <f t="shared" si="74"/>
        <v>32.878014589452114</v>
      </c>
      <c r="AE50" s="61">
        <f t="shared" si="75"/>
        <v>-81.918315804088394</v>
      </c>
      <c r="AF50" s="31" t="str">
        <f t="shared" si="60"/>
        <v>-0.000495863624968664</v>
      </c>
      <c r="AG50" s="31" t="str">
        <f t="shared" si="61"/>
        <v>0.0000289748739840168i</v>
      </c>
      <c r="AH50" s="31">
        <f t="shared" si="76"/>
        <v>2.8974873984016802E-5</v>
      </c>
      <c r="AI50" s="31">
        <f t="shared" si="77"/>
        <v>1.5707963267948966</v>
      </c>
      <c r="AJ50" s="31" t="str">
        <f t="shared" si="62"/>
        <v>1+0.000113051050997132i</v>
      </c>
      <c r="AK50" s="31">
        <f t="shared" si="78"/>
        <v>1.0000000063902701</v>
      </c>
      <c r="AL50" s="31">
        <f t="shared" si="79"/>
        <v>1.1305105051551417E-4</v>
      </c>
      <c r="AM50" s="31" t="str">
        <f t="shared" si="63"/>
        <v>1+0.0346564277445653i</v>
      </c>
      <c r="AN50" s="31">
        <f t="shared" si="80"/>
        <v>1.0006003537796768</v>
      </c>
      <c r="AO50" s="31">
        <f t="shared" si="81"/>
        <v>3.4642562826218928E-2</v>
      </c>
      <c r="AP50" s="58" t="str">
        <f t="shared" si="82"/>
        <v>-0.59116059577909+17.1136399651458i</v>
      </c>
      <c r="AQ50" s="49">
        <f t="shared" si="83"/>
        <v>24.672026888932251</v>
      </c>
      <c r="AR50" s="61">
        <f t="shared" si="84"/>
        <v>91.978395293395081</v>
      </c>
      <c r="AS50" s="58" t="str">
        <f t="shared" si="85"/>
        <v>742.630853086085+131.748927460872i</v>
      </c>
      <c r="AT50" s="64">
        <f t="shared" si="86"/>
        <v>57.550041478384358</v>
      </c>
      <c r="AU50" s="61">
        <f t="shared" si="87"/>
        <v>10.060079489306711</v>
      </c>
    </row>
    <row r="51" spans="1:48" x14ac:dyDescent="0.25">
      <c r="A51" s="31" t="s">
        <v>201</v>
      </c>
      <c r="B51" s="1">
        <f>(Isl*(Rsl_int+R_sl)*Fsw)</f>
        <v>10093.475999999999</v>
      </c>
      <c r="C51" s="31" t="s">
        <v>144</v>
      </c>
      <c r="D51" s="31"/>
      <c r="E51" s="31" t="s">
        <v>202</v>
      </c>
      <c r="F51" s="31"/>
      <c r="G51" s="31"/>
      <c r="N51" s="10">
        <v>33</v>
      </c>
      <c r="O51" s="50">
        <f t="shared" si="64"/>
        <v>21.379620895022335</v>
      </c>
      <c r="P51" s="48" t="str">
        <f t="shared" si="55"/>
        <v>304.285714285714</v>
      </c>
      <c r="Q51" s="17" t="str">
        <f t="shared" si="56"/>
        <v>1+6.99486538521511i</v>
      </c>
      <c r="R51" s="17">
        <f t="shared" si="65"/>
        <v>7.0659848398705565</v>
      </c>
      <c r="S51" s="17">
        <f t="shared" si="66"/>
        <v>1.4287965060223402</v>
      </c>
      <c r="T51" s="17" t="str">
        <f t="shared" si="57"/>
        <v>1+0.000145078689471128i</v>
      </c>
      <c r="U51" s="17">
        <f t="shared" si="67"/>
        <v>1.0000000105239131</v>
      </c>
      <c r="V51" s="17">
        <f t="shared" si="68"/>
        <v>1.4507868845326435E-4</v>
      </c>
      <c r="W51" s="31" t="str">
        <f t="shared" si="58"/>
        <v>1-0.000453370904597275i</v>
      </c>
      <c r="X51" s="17">
        <f t="shared" si="69"/>
        <v>1.0000001027725833</v>
      </c>
      <c r="Y51" s="17">
        <f t="shared" si="70"/>
        <v>-4.5337087353454454E-4</v>
      </c>
      <c r="Z51" s="31" t="str">
        <f t="shared" si="59"/>
        <v>0.99999997130004+0.0039993883735523i</v>
      </c>
      <c r="AA51" s="17">
        <f t="shared" si="71"/>
        <v>1.0000079688219705</v>
      </c>
      <c r="AB51" s="17">
        <f t="shared" si="72"/>
        <v>3.9993671649885881E-3</v>
      </c>
      <c r="AC51" s="66" t="str">
        <f t="shared" si="73"/>
        <v>5.91073504189539-42.6555407976572i</v>
      </c>
      <c r="AD51" s="64">
        <f t="shared" si="74"/>
        <v>32.682109010190224</v>
      </c>
      <c r="AE51" s="61">
        <f t="shared" si="75"/>
        <v>-82.110820278457481</v>
      </c>
      <c r="AF51" s="31" t="str">
        <f t="shared" si="60"/>
        <v>-0.000495863624968664</v>
      </c>
      <c r="AG51" s="31" t="str">
        <f t="shared" si="61"/>
        <v>0.0000296497855000624i</v>
      </c>
      <c r="AH51" s="31">
        <f t="shared" si="76"/>
        <v>2.9649785500062402E-5</v>
      </c>
      <c r="AI51" s="31">
        <f t="shared" si="77"/>
        <v>1.5707963267948966</v>
      </c>
      <c r="AJ51" s="31" t="str">
        <f t="shared" si="62"/>
        <v>1+0.000115684348255339i</v>
      </c>
      <c r="AK51" s="31">
        <f t="shared" si="78"/>
        <v>1.0000000066914341</v>
      </c>
      <c r="AL51" s="31">
        <f t="shared" si="79"/>
        <v>1.1568434773927619E-4</v>
      </c>
      <c r="AM51" s="31" t="str">
        <f t="shared" si="63"/>
        <v>1+0.0354636796484979i</v>
      </c>
      <c r="AN51" s="31">
        <f t="shared" si="80"/>
        <v>1.0006286386938019</v>
      </c>
      <c r="AO51" s="31">
        <f t="shared" si="81"/>
        <v>3.5448823624870861E-2</v>
      </c>
      <c r="AP51" s="58" t="str">
        <f t="shared" si="82"/>
        <v>-0.591160595423015+16.7240890379455i</v>
      </c>
      <c r="AQ51" s="49">
        <f t="shared" si="83"/>
        <v>24.47227241508233</v>
      </c>
      <c r="AR51" s="61">
        <f t="shared" si="84"/>
        <v>92.02443975752756</v>
      </c>
      <c r="AS51" s="58" t="str">
        <f t="shared" si="85"/>
        <v>709.880868614981+124.067934016397i</v>
      </c>
      <c r="AT51" s="64">
        <f t="shared" si="86"/>
        <v>57.154381425272547</v>
      </c>
      <c r="AU51" s="61">
        <f t="shared" si="87"/>
        <v>9.9136194790701158</v>
      </c>
    </row>
    <row r="52" spans="1:48" x14ac:dyDescent="0.25">
      <c r="A52" s="31" t="s">
        <v>204</v>
      </c>
      <c r="B52" s="1">
        <f>(R_cs*VIN_var*Acs*(1-Dc_var_ccm))/Lm</f>
        <v>592.59259259259261</v>
      </c>
      <c r="C52" s="31" t="s">
        <v>144</v>
      </c>
      <c r="D52" s="31"/>
      <c r="E52" s="31" t="s">
        <v>203</v>
      </c>
      <c r="F52" s="31"/>
      <c r="G52" s="31"/>
      <c r="N52" s="10">
        <v>34</v>
      </c>
      <c r="O52" s="50">
        <f t="shared" si="64"/>
        <v>21.877616239495538</v>
      </c>
      <c r="P52" s="48" t="str">
        <f t="shared" si="55"/>
        <v>304.285714285714</v>
      </c>
      <c r="Q52" s="17" t="str">
        <f t="shared" si="56"/>
        <v>1+7.15779673063785i</v>
      </c>
      <c r="R52" s="17">
        <f t="shared" si="65"/>
        <v>7.2273130579164695</v>
      </c>
      <c r="S52" s="17">
        <f t="shared" si="66"/>
        <v>1.4319869844480482</v>
      </c>
      <c r="T52" s="17" t="str">
        <f t="shared" si="57"/>
        <v>1+0.000148458006265081i</v>
      </c>
      <c r="U52" s="17">
        <f t="shared" si="67"/>
        <v>1.0000000110198897</v>
      </c>
      <c r="V52" s="17">
        <f t="shared" si="68"/>
        <v>1.4845800517442043E-4</v>
      </c>
      <c r="W52" s="31" t="str">
        <f t="shared" si="58"/>
        <v>1-0.000463931269578379i</v>
      </c>
      <c r="X52" s="17">
        <f t="shared" si="69"/>
        <v>1.0000001076161056</v>
      </c>
      <c r="Y52" s="17">
        <f t="shared" si="70"/>
        <v>-4.639312362940638E-4</v>
      </c>
      <c r="Z52" s="31" t="str">
        <f t="shared" si="59"/>
        <v>0.999999969947453+0.0040925460960652i</v>
      </c>
      <c r="AA52" s="17">
        <f t="shared" si="71"/>
        <v>1.0000083443794132</v>
      </c>
      <c r="AB52" s="17">
        <f t="shared" si="72"/>
        <v>4.0925233706899863E-3</v>
      </c>
      <c r="AC52" s="66" t="str">
        <f t="shared" si="73"/>
        <v>5.64152422498261-41.7221586713243i</v>
      </c>
      <c r="AD52" s="64">
        <f t="shared" si="74"/>
        <v>32.486022480839793</v>
      </c>
      <c r="AE52" s="61">
        <f t="shared" si="75"/>
        <v>-82.299370127930715</v>
      </c>
      <c r="AF52" s="31" t="str">
        <f t="shared" si="60"/>
        <v>-0.000495863624968664</v>
      </c>
      <c r="AG52" s="31" t="str">
        <f t="shared" si="61"/>
        <v>0.0000303404177248413i</v>
      </c>
      <c r="AH52" s="31">
        <f t="shared" si="76"/>
        <v>3.0340417724841301E-5</v>
      </c>
      <c r="AI52" s="31">
        <f t="shared" si="77"/>
        <v>1.5707963267948966</v>
      </c>
      <c r="AJ52" s="31" t="str">
        <f t="shared" si="62"/>
        <v>1+0.000118378982886255i</v>
      </c>
      <c r="AK52" s="31">
        <f t="shared" si="78"/>
        <v>1.0000000070067918</v>
      </c>
      <c r="AL52" s="31">
        <f t="shared" si="79"/>
        <v>1.1837898233328374E-4</v>
      </c>
      <c r="AM52" s="31" t="str">
        <f t="shared" si="63"/>
        <v>1+0.0362897348647976i</v>
      </c>
      <c r="AN52" s="31">
        <f t="shared" si="80"/>
        <v>1.000658255777944</v>
      </c>
      <c r="AO52" s="31">
        <f t="shared" si="81"/>
        <v>3.6273816914185041E-2</v>
      </c>
      <c r="AP52" s="58" t="str">
        <f t="shared" si="82"/>
        <v>-0.591160595050165+16.3434054441229i</v>
      </c>
      <c r="AQ52" s="49">
        <f t="shared" si="83"/>
        <v>24.272529497646701</v>
      </c>
      <c r="AR52" s="61">
        <f t="shared" si="84"/>
        <v>92.071553999942296</v>
      </c>
      <c r="AS52" s="58" t="str">
        <f t="shared" si="85"/>
        <v>678.54710835165+116.866213878649i</v>
      </c>
      <c r="AT52" s="64">
        <f t="shared" si="86"/>
        <v>56.758551978486487</v>
      </c>
      <c r="AU52" s="61">
        <f t="shared" si="87"/>
        <v>9.7721838720115759</v>
      </c>
    </row>
    <row r="53" spans="1:48" x14ac:dyDescent="0.25">
      <c r="A53" t="s">
        <v>507</v>
      </c>
      <c r="B53" s="1">
        <f>1+(B51/B52)</f>
        <v>18.032740749999999</v>
      </c>
      <c r="N53" s="10">
        <v>35</v>
      </c>
      <c r="O53" s="50">
        <f t="shared" si="64"/>
        <v>22.387211385683404</v>
      </c>
      <c r="P53" s="48" t="str">
        <f t="shared" si="55"/>
        <v>304.285714285714</v>
      </c>
      <c r="Q53" s="17" t="str">
        <f t="shared" si="56"/>
        <v>1+7.32452323463182i</v>
      </c>
      <c r="R53" s="17">
        <f t="shared" si="65"/>
        <v>7.3924718879858711</v>
      </c>
      <c r="S53" s="17">
        <f t="shared" si="66"/>
        <v>1.4351075894476897</v>
      </c>
      <c r="T53" s="17" t="str">
        <f t="shared" si="57"/>
        <v>1+0.00015191603745903i</v>
      </c>
      <c r="U53" s="17">
        <f t="shared" si="67"/>
        <v>1.0000000115392411</v>
      </c>
      <c r="V53" s="17">
        <f t="shared" si="68"/>
        <v>1.5191603629036615E-4</v>
      </c>
      <c r="W53" s="31" t="str">
        <f t="shared" si="58"/>
        <v>1-0.000474737617059469i</v>
      </c>
      <c r="X53" s="17">
        <f t="shared" si="69"/>
        <v>1.0000001126878961</v>
      </c>
      <c r="Y53" s="17">
        <f t="shared" si="70"/>
        <v>-4.7473758139468292E-4</v>
      </c>
      <c r="Z53" s="31" t="str">
        <f t="shared" si="59"/>
        <v>0.99999996853112+0.00418787374068949i</v>
      </c>
      <c r="AA53" s="17">
        <f t="shared" si="71"/>
        <v>1.0000087376361813</v>
      </c>
      <c r="AB53" s="17">
        <f t="shared" si="72"/>
        <v>4.1878493900227211E-3</v>
      </c>
      <c r="AC53" s="66" t="str">
        <f t="shared" si="73"/>
        <v>5.38397602211608-40.8075737197618i</v>
      </c>
      <c r="AD53" s="64">
        <f t="shared" si="74"/>
        <v>32.289762820284352</v>
      </c>
      <c r="AE53" s="61">
        <f t="shared" si="75"/>
        <v>-82.484050429901004</v>
      </c>
      <c r="AF53" s="31" t="str">
        <f t="shared" si="60"/>
        <v>-0.000495863624968664</v>
      </c>
      <c r="AG53" s="31" t="str">
        <f t="shared" si="61"/>
        <v>0.0000310471368407009i</v>
      </c>
      <c r="AH53" s="31">
        <f t="shared" si="76"/>
        <v>3.1047136840700903E-5</v>
      </c>
      <c r="AI53" s="31">
        <f t="shared" si="77"/>
        <v>1.5707963267948966</v>
      </c>
      <c r="AJ53" s="31" t="str">
        <f t="shared" si="62"/>
        <v>1+0.000121136383620828i</v>
      </c>
      <c r="AK53" s="31">
        <f t="shared" si="78"/>
        <v>1.0000000073370117</v>
      </c>
      <c r="AL53" s="31">
        <f t="shared" si="79"/>
        <v>1.2113638302830863E-4</v>
      </c>
      <c r="AM53" s="31" t="str">
        <f t="shared" si="63"/>
        <v>1+0.037135031378874i</v>
      </c>
      <c r="AN53" s="31">
        <f t="shared" si="80"/>
        <v>1.0006892677327512</v>
      </c>
      <c r="AO53" s="31">
        <f t="shared" si="81"/>
        <v>3.7117975621942578E-2</v>
      </c>
      <c r="AP53" s="58" t="str">
        <f t="shared" si="82"/>
        <v>-0.591160594659737+15.9713873401971i</v>
      </c>
      <c r="AQ53" s="49">
        <f t="shared" si="83"/>
        <v>24.072798679828765</v>
      </c>
      <c r="AR53" s="61">
        <f t="shared" si="84"/>
        <v>92.119762743713778</v>
      </c>
      <c r="AS53" s="58" t="str">
        <f t="shared" si="85"/>
        <v>648.570771825096+110.113396026345i</v>
      </c>
      <c r="AT53" s="64">
        <f t="shared" si="86"/>
        <v>56.362561500113124</v>
      </c>
      <c r="AU53" s="61">
        <f t="shared" si="87"/>
        <v>9.6357123138127747</v>
      </c>
      <c r="AV53" s="31"/>
    </row>
    <row r="54" spans="1:48" x14ac:dyDescent="0.25">
      <c r="A54" t="s">
        <v>199</v>
      </c>
      <c r="B54" s="1">
        <f>2*PI()*Fsw</f>
        <v>1585875.9715321276</v>
      </c>
      <c r="C54" t="s">
        <v>205</v>
      </c>
      <c r="N54" s="10">
        <v>36</v>
      </c>
      <c r="O54" s="50">
        <f t="shared" si="64"/>
        <v>22.908676527677727</v>
      </c>
      <c r="P54" s="48" t="str">
        <f t="shared" si="55"/>
        <v>304.285714285714</v>
      </c>
      <c r="Q54" s="17" t="str">
        <f t="shared" si="56"/>
        <v>1+7.4951332977963i</v>
      </c>
      <c r="R54" s="17">
        <f t="shared" si="65"/>
        <v>7.5615489915582002</v>
      </c>
      <c r="S54" s="17">
        <f t="shared" si="66"/>
        <v>1.4381597323675255</v>
      </c>
      <c r="T54" s="17" t="str">
        <f t="shared" si="57"/>
        <v>1+0.000155454616546886i</v>
      </c>
      <c r="U54" s="17">
        <f t="shared" si="67"/>
        <v>1.0000000120830688</v>
      </c>
      <c r="V54" s="17">
        <f t="shared" si="68"/>
        <v>1.5545461529464013E-4</v>
      </c>
      <c r="W54" s="31" t="str">
        <f t="shared" si="58"/>
        <v>1-0.000485795676709019i</v>
      </c>
      <c r="X54" s="17">
        <f t="shared" si="69"/>
        <v>1.0000001179987128</v>
      </c>
      <c r="Y54" s="17">
        <f t="shared" si="70"/>
        <v>-4.8579563849351242E-4</v>
      </c>
      <c r="Z54" s="31" t="str">
        <f t="shared" si="59"/>
        <v>0.999999967048037+0.00428542185140414i</v>
      </c>
      <c r="AA54" s="17">
        <f t="shared" si="71"/>
        <v>1.0000091494264038</v>
      </c>
      <c r="AB54" s="17">
        <f t="shared" si="72"/>
        <v>4.2853957592074972E-3</v>
      </c>
      <c r="AC54" s="66" t="str">
        <f t="shared" si="73"/>
        <v>5.13760439387572-39.9115148725423i</v>
      </c>
      <c r="AD54" s="64">
        <f t="shared" si="74"/>
        <v>32.093337521558944</v>
      </c>
      <c r="AE54" s="61">
        <f t="shared" si="75"/>
        <v>-82.664945167298413</v>
      </c>
      <c r="AF54" s="31" t="str">
        <f t="shared" si="60"/>
        <v>-0.000495863624968664</v>
      </c>
      <c r="AG54" s="31" t="str">
        <f t="shared" si="61"/>
        <v>0.0000317703175594709i</v>
      </c>
      <c r="AH54" s="31">
        <f t="shared" si="76"/>
        <v>3.1770317559470902E-5</v>
      </c>
      <c r="AI54" s="31">
        <f t="shared" si="77"/>
        <v>1.5707963267948966</v>
      </c>
      <c r="AJ54" s="31" t="str">
        <f t="shared" si="62"/>
        <v>1+0.000123958012469426i</v>
      </c>
      <c r="AK54" s="31">
        <f t="shared" si="78"/>
        <v>1.0000000076827944</v>
      </c>
      <c r="AL54" s="31">
        <f t="shared" si="79"/>
        <v>1.2395801183453007E-4</v>
      </c>
      <c r="AM54" s="31" t="str">
        <f t="shared" si="63"/>
        <v>1+0.0380000173781276i</v>
      </c>
      <c r="AN54" s="31">
        <f t="shared" si="80"/>
        <v>1.0007217402059065</v>
      </c>
      <c r="AO54" s="31">
        <f t="shared" si="81"/>
        <v>3.7981742517109944E-2</v>
      </c>
      <c r="AP54" s="58" t="str">
        <f t="shared" si="82"/>
        <v>-0.591160594250908+15.6078374772454i</v>
      </c>
      <c r="AQ54" s="49">
        <f t="shared" si="83"/>
        <v>23.873080530294708</v>
      </c>
      <c r="AR54" s="61">
        <f t="shared" si="84"/>
        <v>92.169091273868034</v>
      </c>
      <c r="AS54" s="58" t="str">
        <f t="shared" si="85"/>
        <v>619.895288334793+103.7810092515i</v>
      </c>
      <c r="AT54" s="64">
        <f t="shared" si="86"/>
        <v>55.966418051853644</v>
      </c>
      <c r="AU54" s="61">
        <f t="shared" si="87"/>
        <v>9.5041461065696158</v>
      </c>
      <c r="AV54" s="31"/>
    </row>
    <row r="55" spans="1:48" x14ac:dyDescent="0.25">
      <c r="A55" t="s">
        <v>200</v>
      </c>
      <c r="B55" s="1">
        <f>1/(PI()*(((1-Dc_var_ccm)*mc)-0.5))</f>
        <v>4.235913328121791E-2</v>
      </c>
      <c r="N55" s="10">
        <v>37</v>
      </c>
      <c r="O55" s="50">
        <f t="shared" si="64"/>
        <v>23.442288153199236</v>
      </c>
      <c r="P55" s="48" t="str">
        <f t="shared" si="55"/>
        <v>304.285714285714</v>
      </c>
      <c r="Q55" s="17" t="str">
        <f t="shared" si="56"/>
        <v>1+7.6697173798451i</v>
      </c>
      <c r="R55" s="17">
        <f t="shared" si="65"/>
        <v>7.7346341016688029</v>
      </c>
      <c r="S55" s="17">
        <f t="shared" si="66"/>
        <v>1.4411448039142958</v>
      </c>
      <c r="T55" s="17" t="str">
        <f t="shared" si="57"/>
        <v>1+0.00015907561973012i</v>
      </c>
      <c r="U55" s="17">
        <f t="shared" si="67"/>
        <v>1.0000000126525264</v>
      </c>
      <c r="V55" s="17">
        <f t="shared" si="68"/>
        <v>1.5907561838831438E-4</v>
      </c>
      <c r="W55" s="31" t="str">
        <f t="shared" si="58"/>
        <v>1-0.000497111311656626i</v>
      </c>
      <c r="X55" s="17">
        <f t="shared" si="69"/>
        <v>1.0000001235598204</v>
      </c>
      <c r="Y55" s="17">
        <f t="shared" si="70"/>
        <v>-4.9711127070797324E-4</v>
      </c>
      <c r="Z55" s="31" t="str">
        <f t="shared" si="59"/>
        <v>0.999999965495059+0.00438524214950867i</v>
      </c>
      <c r="AA55" s="17">
        <f t="shared" si="71"/>
        <v>1.0000095806235203</v>
      </c>
      <c r="AB55" s="17">
        <f t="shared" si="72"/>
        <v>4.3852141912307172E-3</v>
      </c>
      <c r="AC55" s="66" t="str">
        <f t="shared" si="73"/>
        <v>4.90194189187517-39.0337074581789i</v>
      </c>
      <c r="AD55" s="64">
        <f t="shared" si="74"/>
        <v>31.896753764232901</v>
      </c>
      <c r="AE55" s="61">
        <f t="shared" si="75"/>
        <v>-82.842137213119003</v>
      </c>
      <c r="AF55" s="31" t="str">
        <f t="shared" si="60"/>
        <v>-0.000495863624968664</v>
      </c>
      <c r="AG55" s="31" t="str">
        <f t="shared" si="61"/>
        <v>0.0000325103433211407i</v>
      </c>
      <c r="AH55" s="31">
        <f t="shared" si="76"/>
        <v>3.2510343321140701E-5</v>
      </c>
      <c r="AI55" s="31">
        <f t="shared" si="77"/>
        <v>1.5707963267948966</v>
      </c>
      <c r="AJ55" s="31" t="str">
        <f t="shared" si="62"/>
        <v>1+0.000126845365497015i</v>
      </c>
      <c r="AK55" s="31">
        <f t="shared" si="78"/>
        <v>1.0000000080448732</v>
      </c>
      <c r="AL55" s="31">
        <f t="shared" si="79"/>
        <v>1.2684536481671175E-4</v>
      </c>
      <c r="AM55" s="31" t="str">
        <f t="shared" si="63"/>
        <v>1+0.0388851514895849i</v>
      </c>
      <c r="AN55" s="31">
        <f t="shared" si="80"/>
        <v>1.0007557419302513</v>
      </c>
      <c r="AO55" s="31">
        <f t="shared" si="81"/>
        <v>3.8865570421780668E-2</v>
      </c>
      <c r="AP55" s="58" t="str">
        <f t="shared" si="82"/>
        <v>-0.591160593822819+15.2525630963183i</v>
      </c>
      <c r="AQ55" s="49">
        <f t="shared" si="83"/>
        <v>23.673375644359709</v>
      </c>
      <c r="AR55" s="61">
        <f t="shared" si="84"/>
        <v>92.219565449481721</v>
      </c>
      <c r="AS55" s="58" t="str">
        <f t="shared" si="85"/>
        <v>592.466251009418+97.8423676803952i</v>
      </c>
      <c r="AT55" s="64">
        <f t="shared" si="86"/>
        <v>55.570129408592607</v>
      </c>
      <c r="AU55" s="61">
        <f t="shared" si="87"/>
        <v>9.3774282363627286</v>
      </c>
      <c r="AV55" s="31"/>
    </row>
    <row r="56" spans="1:48" x14ac:dyDescent="0.25">
      <c r="N56" s="10">
        <v>38</v>
      </c>
      <c r="O56" s="50">
        <f t="shared" si="64"/>
        <v>23.988329190194907</v>
      </c>
      <c r="P56" s="48" t="str">
        <f t="shared" si="55"/>
        <v>304.285714285714</v>
      </c>
      <c r="Q56" s="17" t="str">
        <f t="shared" si="56"/>
        <v>1+7.84836804756937i</v>
      </c>
      <c r="R56" s="17">
        <f t="shared" si="65"/>
        <v>7.9118190708652989</v>
      </c>
      <c r="S56" s="17">
        <f t="shared" si="66"/>
        <v>1.4440641739082121</v>
      </c>
      <c r="T56" s="17" t="str">
        <f t="shared" si="57"/>
        <v>1+0.00016278096691255i</v>
      </c>
      <c r="U56" s="17">
        <f t="shared" si="67"/>
        <v>1.0000000132488216</v>
      </c>
      <c r="V56" s="17">
        <f t="shared" si="68"/>
        <v>1.6278096547477937E-4</v>
      </c>
      <c r="W56" s="31" t="str">
        <f t="shared" si="58"/>
        <v>1-0.000508690521601718i</v>
      </c>
      <c r="X56" s="17">
        <f t="shared" si="69"/>
        <v>1.000000129383015</v>
      </c>
      <c r="Y56" s="17">
        <f t="shared" si="70"/>
        <v>-5.0869047772444638E-4</v>
      </c>
      <c r="Z56" s="31" t="str">
        <f t="shared" si="59"/>
        <v>0.999999963868891+0.0044873875610464i</v>
      </c>
      <c r="AA56" s="17">
        <f t="shared" si="71"/>
        <v>1.0000100321421312</v>
      </c>
      <c r="AB56" s="17">
        <f t="shared" si="72"/>
        <v>4.4873576032280647E-3</v>
      </c>
      <c r="AC56" s="66" t="str">
        <f t="shared" si="73"/>
        <v>4.67653909408722-38.1738738655564i</v>
      </c>
      <c r="AD56" s="64">
        <f t="shared" si="74"/>
        <v>31.700018426420531</v>
      </c>
      <c r="AE56" s="61">
        <f t="shared" si="75"/>
        <v>-83.015708317962535</v>
      </c>
      <c r="AF56" s="31" t="str">
        <f t="shared" si="60"/>
        <v>-0.000495863624968664</v>
      </c>
      <c r="AG56" s="31" t="str">
        <f t="shared" si="61"/>
        <v>0.0000332676064971647i</v>
      </c>
      <c r="AH56" s="31">
        <f t="shared" si="76"/>
        <v>3.3267606497164697E-5</v>
      </c>
      <c r="AI56" s="31">
        <f t="shared" si="77"/>
        <v>1.5707963267948966</v>
      </c>
      <c r="AJ56" s="31" t="str">
        <f t="shared" si="62"/>
        <v>1+0.000129799973616386i</v>
      </c>
      <c r="AK56" s="31">
        <f t="shared" si="78"/>
        <v>1.0000000084240166</v>
      </c>
      <c r="AL56" s="31">
        <f t="shared" si="79"/>
        <v>1.2979997288742792E-4</v>
      </c>
      <c r="AM56" s="31" t="str">
        <f t="shared" si="63"/>
        <v>1+0.0397909030230677i</v>
      </c>
      <c r="AN56" s="31">
        <f t="shared" si="80"/>
        <v>1.0007913448683452</v>
      </c>
      <c r="AO56" s="31">
        <f t="shared" si="81"/>
        <v>3.976992242682708E-2</v>
      </c>
      <c r="AP56" s="58" t="str">
        <f t="shared" si="82"/>
        <v>-0.591160593374548+14.9053758262364i</v>
      </c>
      <c r="AQ56" s="49">
        <f t="shared" si="83"/>
        <v>23.473684645229483</v>
      </c>
      <c r="AR56" s="61">
        <f t="shared" si="84"/>
        <v>92.271211715992521</v>
      </c>
      <c r="AS56" s="58" t="str">
        <f t="shared" si="85"/>
        <v>566.231351083662+92.2724626892246i</v>
      </c>
      <c r="AT56" s="64">
        <f t="shared" si="86"/>
        <v>55.173703071650017</v>
      </c>
      <c r="AU56" s="61">
        <f t="shared" si="87"/>
        <v>9.2555033980299868</v>
      </c>
    </row>
    <row r="57" spans="1:48" x14ac:dyDescent="0.25">
      <c r="N57" s="10">
        <v>39</v>
      </c>
      <c r="O57" s="50">
        <f t="shared" si="64"/>
        <v>24.547089156850316</v>
      </c>
      <c r="P57" s="48" t="str">
        <f t="shared" si="55"/>
        <v>304.285714285714</v>
      </c>
      <c r="Q57" s="17" t="str">
        <f t="shared" si="56"/>
        <v>1+8.03118002391791i</v>
      </c>
      <c r="R57" s="17">
        <f t="shared" si="65"/>
        <v>8.0931979202647746</v>
      </c>
      <c r="S57" s="17">
        <f t="shared" si="66"/>
        <v>1.4469191910842136</v>
      </c>
      <c r="T57" s="17" t="str">
        <f t="shared" si="57"/>
        <v>1+0.000166572622718297i</v>
      </c>
      <c r="U57" s="17">
        <f t="shared" si="67"/>
        <v>1.0000000138732192</v>
      </c>
      <c r="V57" s="17">
        <f t="shared" si="68"/>
        <v>1.6657262117769799E-4</v>
      </c>
      <c r="W57" s="31" t="str">
        <f t="shared" si="58"/>
        <v>1-0.000520539445994678i</v>
      </c>
      <c r="X57" s="17">
        <f t="shared" si="69"/>
        <v>1.0000001354806483</v>
      </c>
      <c r="Y57" s="17">
        <f t="shared" si="70"/>
        <v>-5.205393989793348E-4</v>
      </c>
      <c r="Z57" s="31" t="str">
        <f t="shared" si="59"/>
        <v>0.999999962166084+0.0045919122448666i</v>
      </c>
      <c r="AA57" s="17">
        <f t="shared" si="71"/>
        <v>1.0000105049399401</v>
      </c>
      <c r="AB57" s="17">
        <f t="shared" si="72"/>
        <v>4.5918801445041244E-3</v>
      </c>
      <c r="AC57" s="66" t="str">
        <f t="shared" si="73"/>
        <v>4.46096404374449-37.3317341590947i</v>
      </c>
      <c r="AD57" s="64">
        <f t="shared" si="74"/>
        <v>31.503138096420614</v>
      </c>
      <c r="AE57" s="61">
        <f t="shared" si="75"/>
        <v>-83.18573910037442</v>
      </c>
      <c r="AF57" s="31" t="str">
        <f t="shared" si="60"/>
        <v>-0.000495863624968664</v>
      </c>
      <c r="AG57" s="31" t="str">
        <f t="shared" si="61"/>
        <v>0.0000340425085985024i</v>
      </c>
      <c r="AH57" s="31">
        <f t="shared" si="76"/>
        <v>3.4042508598502401E-5</v>
      </c>
      <c r="AI57" s="31">
        <f t="shared" si="77"/>
        <v>1.5707963267948966</v>
      </c>
      <c r="AJ57" s="31" t="str">
        <f t="shared" si="62"/>
        <v>1+0.000132823403399874i</v>
      </c>
      <c r="AK57" s="31">
        <f t="shared" si="78"/>
        <v>1.0000000088210281</v>
      </c>
      <c r="AL57" s="31">
        <f t="shared" si="79"/>
        <v>1.3282340261878134E-4</v>
      </c>
      <c r="AM57" s="31" t="str">
        <f t="shared" si="63"/>
        <v>1+0.0407177522200281i</v>
      </c>
      <c r="AN57" s="31">
        <f t="shared" si="80"/>
        <v>1.0008286243637576</v>
      </c>
      <c r="AO57" s="31">
        <f t="shared" si="81"/>
        <v>4.0695272111264912E-2</v>
      </c>
      <c r="AP57" s="58" t="str">
        <f t="shared" si="82"/>
        <v>-0.591160592905149+14.5660915837136i</v>
      </c>
      <c r="AQ57" s="49">
        <f t="shared" si="83"/>
        <v>23.274008185298793</v>
      </c>
      <c r="AR57" s="61">
        <f t="shared" si="84"/>
        <v>92.324057117721296</v>
      </c>
      <c r="AS57" s="58" t="str">
        <f t="shared" si="85"/>
        <v>541.140312591194+87.0478609125034i</v>
      </c>
      <c r="AT57" s="64">
        <f t="shared" si="86"/>
        <v>54.777146281719396</v>
      </c>
      <c r="AU57" s="61">
        <f t="shared" si="87"/>
        <v>9.1383180173468759</v>
      </c>
    </row>
    <row r="58" spans="1:48" x14ac:dyDescent="0.25">
      <c r="N58" s="10">
        <v>40</v>
      </c>
      <c r="O58" s="50">
        <f t="shared" si="64"/>
        <v>25.118864315095799</v>
      </c>
      <c r="P58" s="48" t="str">
        <f t="shared" si="55"/>
        <v>304.285714285714</v>
      </c>
      <c r="Q58" s="17" t="str">
        <f t="shared" si="56"/>
        <v>1+8.2182502382204i</v>
      </c>
      <c r="R58" s="17">
        <f t="shared" si="65"/>
        <v>8.2788668897385751</v>
      </c>
      <c r="S58" s="17">
        <f t="shared" si="66"/>
        <v>1.4497111829380642</v>
      </c>
      <c r="T58" s="17" t="str">
        <f t="shared" si="57"/>
        <v>1+0.00017045259753346i</v>
      </c>
      <c r="U58" s="17">
        <f t="shared" si="67"/>
        <v>1.000000014527044</v>
      </c>
      <c r="V58" s="17">
        <f t="shared" si="68"/>
        <v>1.7045259588267843E-4</v>
      </c>
      <c r="W58" s="31" t="str">
        <f t="shared" si="58"/>
        <v>1-0.000532664367292063i</v>
      </c>
      <c r="X58" s="17">
        <f t="shared" si="69"/>
        <v>1.0000001418656541</v>
      </c>
      <c r="Y58" s="17">
        <f t="shared" si="70"/>
        <v>-5.3266431691421554E-4</v>
      </c>
      <c r="Z58" s="31" t="str">
        <f t="shared" si="59"/>
        <v>0.999999960383027+0.0046988716213402i</v>
      </c>
      <c r="AA58" s="17">
        <f t="shared" si="71"/>
        <v>1.0000110000197844</v>
      </c>
      <c r="AB58" s="17">
        <f t="shared" si="72"/>
        <v>4.6988372252025337E-3</v>
      </c>
      <c r="AC58" s="66" t="str">
        <f t="shared" si="73"/>
        <v>4.25480169332016-36.5070066500369i</v>
      </c>
      <c r="AD58" s="64">
        <f t="shared" si="74"/>
        <v>31.306119083988957</v>
      </c>
      <c r="AE58" s="61">
        <f t="shared" si="75"/>
        <v>-83.352309039797419</v>
      </c>
      <c r="AF58" s="31" t="str">
        <f t="shared" si="60"/>
        <v>-0.000495863624968664</v>
      </c>
      <c r="AG58" s="31" t="str">
        <f t="shared" si="61"/>
        <v>0.0000348354604885048i</v>
      </c>
      <c r="AH58" s="31">
        <f t="shared" si="76"/>
        <v>3.4835460488504798E-5</v>
      </c>
      <c r="AI58" s="31">
        <f t="shared" si="77"/>
        <v>1.5707963267948966</v>
      </c>
      <c r="AJ58" s="31" t="str">
        <f t="shared" si="62"/>
        <v>1+0.000135917257909971i</v>
      </c>
      <c r="AK58" s="31">
        <f t="shared" si="78"/>
        <v>1.0000000092367505</v>
      </c>
      <c r="AL58" s="31">
        <f t="shared" si="79"/>
        <v>1.3591725707301513E-4</v>
      </c>
      <c r="AM58" s="31" t="str">
        <f t="shared" si="63"/>
        <v>1+0.0416661905081791i</v>
      </c>
      <c r="AN58" s="31">
        <f t="shared" si="80"/>
        <v>1.0008676592994019</v>
      </c>
      <c r="AO58" s="31">
        <f t="shared" si="81"/>
        <v>4.1642103765322791E-2</v>
      </c>
      <c r="AP58" s="58" t="str">
        <f t="shared" si="82"/>
        <v>-0.591160592413634+14.2345304757534i</v>
      </c>
      <c r="AQ58" s="49">
        <f t="shared" si="83"/>
        <v>23.074346947509461</v>
      </c>
      <c r="AR58" s="61">
        <f t="shared" si="84"/>
        <v>92.378129310605544</v>
      </c>
      <c r="AS58" s="58" t="str">
        <f t="shared" si="85"/>
        <v>517.144827648857+82.1466080503373i</v>
      </c>
      <c r="AT58" s="64">
        <f t="shared" si="86"/>
        <v>54.380466031498429</v>
      </c>
      <c r="AU58" s="61">
        <f t="shared" si="87"/>
        <v>9.0258202708081363</v>
      </c>
    </row>
    <row r="59" spans="1:48" x14ac:dyDescent="0.25">
      <c r="N59" s="10">
        <v>41</v>
      </c>
      <c r="O59" s="50">
        <f t="shared" si="64"/>
        <v>25.703957827688647</v>
      </c>
      <c r="P59" s="48" t="str">
        <f t="shared" si="55"/>
        <v>304.285714285714</v>
      </c>
      <c r="Q59" s="17" t="str">
        <f t="shared" si="56"/>
        <v>1+8.40967787758056i</v>
      </c>
      <c r="R59" s="17">
        <f t="shared" si="65"/>
        <v>8.4689244892529221</v>
      </c>
      <c r="S59" s="17">
        <f t="shared" si="66"/>
        <v>1.4524414556140712</v>
      </c>
      <c r="T59" s="17" t="str">
        <f t="shared" si="57"/>
        <v>1+0.000174422948572041i</v>
      </c>
      <c r="U59" s="17">
        <f t="shared" si="67"/>
        <v>1.0000000152116824</v>
      </c>
      <c r="V59" s="17">
        <f t="shared" si="68"/>
        <v>1.7442294680319667E-4</v>
      </c>
      <c r="W59" s="31" t="str">
        <f t="shared" si="58"/>
        <v>1-0.000545071714287628i</v>
      </c>
      <c r="X59" s="17">
        <f t="shared" si="69"/>
        <v>1.0000001485515757</v>
      </c>
      <c r="Y59" s="17">
        <f t="shared" si="70"/>
        <v>-5.4507166030679226E-4</v>
      </c>
      <c r="Z59" s="31" t="str">
        <f t="shared" si="59"/>
        <v>0.999999958515936+0.00480832240174431i</v>
      </c>
      <c r="AA59" s="17">
        <f t="shared" si="71"/>
        <v>1.0000115184317593</v>
      </c>
      <c r="AB59" s="17">
        <f t="shared" si="72"/>
        <v>4.8082855456417061E-3</v>
      </c>
      <c r="AC59" s="66" t="str">
        <f t="shared" si="73"/>
        <v>4.05765335490813-35.6994084261718i</v>
      </c>
      <c r="AD59" s="64">
        <f t="shared" si="74"/>
        <v>31.108967431246199</v>
      </c>
      <c r="AE59" s="61">
        <f t="shared" si="75"/>
        <v>-83.515496471948893</v>
      </c>
      <c r="AF59" s="31" t="str">
        <f t="shared" si="60"/>
        <v>-0.000495863624968664</v>
      </c>
      <c r="AG59" s="31" t="str">
        <f t="shared" si="61"/>
        <v>0.00003564688260076i</v>
      </c>
      <c r="AH59" s="31">
        <f t="shared" si="76"/>
        <v>3.5646882600759998E-5</v>
      </c>
      <c r="AI59" s="31">
        <f t="shared" si="77"/>
        <v>1.5707963267948966</v>
      </c>
      <c r="AJ59" s="31" t="str">
        <f t="shared" si="62"/>
        <v>1+0.000139083177549289i</v>
      </c>
      <c r="AK59" s="31">
        <f t="shared" si="78"/>
        <v>1.0000000096720651</v>
      </c>
      <c r="AL59" s="31">
        <f t="shared" si="79"/>
        <v>1.3908317665247463E-4</v>
      </c>
      <c r="AM59" s="31" t="str">
        <f t="shared" si="63"/>
        <v>1+0.0426367207620544i</v>
      </c>
      <c r="AN59" s="31">
        <f t="shared" si="80"/>
        <v>1.0009085322632341</v>
      </c>
      <c r="AO59" s="31">
        <f t="shared" si="81"/>
        <v>4.2610912617202755E-2</v>
      </c>
      <c r="AP59" s="58" t="str">
        <f t="shared" si="82"/>
        <v>-0.591160591898952+13.9105167042678i</v>
      </c>
      <c r="AQ59" s="49">
        <f t="shared" si="83"/>
        <v>22.874701646771186</v>
      </c>
      <c r="AR59" s="61">
        <f t="shared" si="84"/>
        <v>92.433456575142998</v>
      </c>
      <c r="AS59" s="58" t="str">
        <f t="shared" si="85"/>
        <v>494.198492485733+77.548138189236i</v>
      </c>
      <c r="AT59" s="64">
        <f t="shared" si="86"/>
        <v>53.983669078017378</v>
      </c>
      <c r="AU59" s="61">
        <f t="shared" si="87"/>
        <v>8.9179601031941136</v>
      </c>
    </row>
    <row r="60" spans="1:48" x14ac:dyDescent="0.25">
      <c r="N60" s="10">
        <v>42</v>
      </c>
      <c r="O60" s="50">
        <f t="shared" si="64"/>
        <v>26.302679918953825</v>
      </c>
      <c r="P60" s="48" t="str">
        <f t="shared" si="55"/>
        <v>304.285714285714</v>
      </c>
      <c r="Q60" s="17" t="str">
        <f t="shared" si="56"/>
        <v>1+8.60556443946666i</v>
      </c>
      <c r="R60" s="17">
        <f t="shared" si="65"/>
        <v>8.6634715513939984</v>
      </c>
      <c r="S60" s="17">
        <f t="shared" si="66"/>
        <v>1.4551112938313666</v>
      </c>
      <c r="T60" s="17" t="str">
        <f t="shared" si="57"/>
        <v>1+0.000178485780966715i</v>
      </c>
      <c r="U60" s="17">
        <f t="shared" si="67"/>
        <v>1.0000000159285869</v>
      </c>
      <c r="V60" s="17">
        <f t="shared" si="68"/>
        <v>1.7848577907136418E-4</v>
      </c>
      <c r="W60" s="31" t="str">
        <f t="shared" si="58"/>
        <v>1-0.000557768065520986i</v>
      </c>
      <c r="X60" s="17">
        <f t="shared" si="69"/>
        <v>1.0000001555525955</v>
      </c>
      <c r="Y60" s="17">
        <f t="shared" si="70"/>
        <v>-5.5776800767947884E-4</v>
      </c>
      <c r="Z60" s="31" t="str">
        <f t="shared" si="59"/>
        <v>0.999999956560853+0.00492032261833152i</v>
      </c>
      <c r="AA60" s="17">
        <f t="shared" si="71"/>
        <v>1.0000120612754511</v>
      </c>
      <c r="AB60" s="17">
        <f t="shared" si="72"/>
        <v>4.9202831263317854E-3</v>
      </c>
      <c r="AC60" s="66" t="str">
        <f t="shared" si="73"/>
        <v>3.86913615815521-34.9086558422365i</v>
      </c>
      <c r="AD60" s="64">
        <f t="shared" si="74"/>
        <v>30.911688923226489</v>
      </c>
      <c r="AE60" s="61">
        <f t="shared" si="75"/>
        <v>-83.675378586449739</v>
      </c>
      <c r="AF60" s="31" t="str">
        <f t="shared" si="60"/>
        <v>-0.000495863624968664</v>
      </c>
      <c r="AG60" s="31" t="str">
        <f t="shared" si="61"/>
        <v>0.0000364772051620125i</v>
      </c>
      <c r="AH60" s="31">
        <f t="shared" si="76"/>
        <v>3.6477205162012497E-5</v>
      </c>
      <c r="AI60" s="31">
        <f t="shared" si="77"/>
        <v>1.5707963267948966</v>
      </c>
      <c r="AJ60" s="31" t="str">
        <f t="shared" si="62"/>
        <v>1+0.000142322840930327i</v>
      </c>
      <c r="AK60" s="31">
        <f t="shared" si="78"/>
        <v>1.0000000101278954</v>
      </c>
      <c r="AL60" s="31">
        <f t="shared" si="79"/>
        <v>1.4232283996937312E-4</v>
      </c>
      <c r="AM60" s="31" t="str">
        <f t="shared" si="63"/>
        <v>1+0.0436298575696415i</v>
      </c>
      <c r="AN60" s="31">
        <f t="shared" si="80"/>
        <v>1.0009513297216539</v>
      </c>
      <c r="AO60" s="31">
        <f t="shared" si="81"/>
        <v>4.3602205063518133E-2</v>
      </c>
      <c r="AP60" s="58" t="str">
        <f t="shared" si="82"/>
        <v>-0.591160591360013+13.5938784728662i</v>
      </c>
      <c r="AQ60" s="49">
        <f t="shared" si="83"/>
        <v>22.675073031446761</v>
      </c>
      <c r="AR60" s="61">
        <f t="shared" si="84"/>
        <v>92.490067829544984</v>
      </c>
      <c r="AS60" s="58" t="str">
        <f t="shared" si="85"/>
        <v>472.256744351166+73.233188360214i</v>
      </c>
      <c r="AT60" s="64">
        <f t="shared" si="86"/>
        <v>53.58676195467325</v>
      </c>
      <c r="AU60" s="61">
        <f t="shared" si="87"/>
        <v>8.8146892430952501</v>
      </c>
    </row>
    <row r="61" spans="1:48" ht="15.75" x14ac:dyDescent="0.25">
      <c r="A61" s="51" t="s">
        <v>215</v>
      </c>
      <c r="N61" s="10">
        <v>43</v>
      </c>
      <c r="O61" s="50">
        <f t="shared" si="64"/>
        <v>26.915348039269158</v>
      </c>
      <c r="P61" s="48" t="str">
        <f t="shared" si="55"/>
        <v>304.285714285714</v>
      </c>
      <c r="Q61" s="17" t="str">
        <f t="shared" si="56"/>
        <v>1+8.8060137855267i</v>
      </c>
      <c r="R61" s="17">
        <f t="shared" si="65"/>
        <v>8.8626112851058902</v>
      </c>
      <c r="S61" s="17">
        <f t="shared" si="66"/>
        <v>1.4577219608458529</v>
      </c>
      <c r="T61" s="17" t="str">
        <f t="shared" si="57"/>
        <v>1+0.000182643248884998i</v>
      </c>
      <c r="U61" s="17">
        <f t="shared" si="67"/>
        <v>1.000000016679278</v>
      </c>
      <c r="V61" s="17">
        <f t="shared" si="68"/>
        <v>1.8264324685409301E-4</v>
      </c>
      <c r="W61" s="31" t="str">
        <f t="shared" si="58"/>
        <v>1-0.000570760152765619i</v>
      </c>
      <c r="X61" s="17">
        <f t="shared" si="69"/>
        <v>1.0000001628835626</v>
      </c>
      <c r="Y61" s="17">
        <f t="shared" si="70"/>
        <v>-5.7076009078732798E-4</v>
      </c>
      <c r="Z61" s="31" t="str">
        <f t="shared" si="59"/>
        <v>0.999999954513629+0.00503493165509914i</v>
      </c>
      <c r="AA61" s="17">
        <f t="shared" si="71"/>
        <v>1.0000126297022611</v>
      </c>
      <c r="AB61" s="17">
        <f t="shared" si="72"/>
        <v>5.0348893386878875E-3</v>
      </c>
      <c r="AC61" s="66" t="str">
        <f t="shared" si="73"/>
        <v>3.68888251674276-34.1344649731613i</v>
      </c>
      <c r="AD61" s="64">
        <f t="shared" si="74"/>
        <v>30.714289098071937</v>
      </c>
      <c r="AE61" s="61">
        <f t="shared" si="75"/>
        <v>-83.832031426539544</v>
      </c>
      <c r="AF61" s="31" t="str">
        <f t="shared" si="60"/>
        <v>-0.000495863624968664</v>
      </c>
      <c r="AG61" s="31" t="str">
        <f t="shared" si="61"/>
        <v>0.0000373268684202747i</v>
      </c>
      <c r="AH61" s="31">
        <f t="shared" si="76"/>
        <v>3.7326868420274698E-5</v>
      </c>
      <c r="AI61" s="31">
        <f t="shared" si="77"/>
        <v>1.5707963267948966</v>
      </c>
      <c r="AJ61" s="31" t="str">
        <f t="shared" si="62"/>
        <v>1+0.000145637965765493i</v>
      </c>
      <c r="AK61" s="31">
        <f t="shared" si="78"/>
        <v>1.0000000106052085</v>
      </c>
      <c r="AL61" s="31">
        <f t="shared" si="79"/>
        <v>1.4563796473581234E-4</v>
      </c>
      <c r="AM61" s="31" t="str">
        <f t="shared" si="63"/>
        <v>1+0.0446461275052217i</v>
      </c>
      <c r="AN61" s="31">
        <f t="shared" si="80"/>
        <v>1.0009961422009639</v>
      </c>
      <c r="AO61" s="31">
        <f t="shared" si="81"/>
        <v>4.4616498903373637E-2</v>
      </c>
      <c r="AP61" s="58" t="str">
        <f t="shared" si="82"/>
        <v>-0.59116059079568+13.2844478957672i</v>
      </c>
      <c r="AQ61" s="49">
        <f t="shared" si="83"/>
        <v>22.475461884906011</v>
      </c>
      <c r="AR61" s="61">
        <f t="shared" si="84"/>
        <v>92.547992643097146</v>
      </c>
      <c r="AS61" s="58" t="str">
        <f t="shared" si="85"/>
        <v>451.276799417878+69.1837180673043i</v>
      </c>
      <c r="AT61" s="64">
        <f t="shared" si="86"/>
        <v>53.189750982977941</v>
      </c>
      <c r="AU61" s="61">
        <f t="shared" si="87"/>
        <v>8.715961216557611</v>
      </c>
    </row>
    <row r="62" spans="1:48" x14ac:dyDescent="0.25">
      <c r="A62" t="s">
        <v>180</v>
      </c>
      <c r="N62" s="10">
        <v>44</v>
      </c>
      <c r="O62" s="50">
        <f t="shared" si="64"/>
        <v>27.542287033381665</v>
      </c>
      <c r="P62" s="48" t="str">
        <f t="shared" si="55"/>
        <v>304.285714285714</v>
      </c>
      <c r="Q62" s="17" t="str">
        <f t="shared" si="56"/>
        <v>1+9.01113219665721i</v>
      </c>
      <c r="R62" s="17">
        <f t="shared" si="65"/>
        <v>9.0664493306714178</v>
      </c>
      <c r="S62" s="17">
        <f t="shared" si="66"/>
        <v>1.4602746984450881</v>
      </c>
      <c r="T62" s="17" t="str">
        <f t="shared" si="57"/>
        <v>1+0.000186897556671408i</v>
      </c>
      <c r="U62" s="17">
        <f t="shared" si="67"/>
        <v>1.0000000174653483</v>
      </c>
      <c r="V62" s="17">
        <f t="shared" si="68"/>
        <v>1.868975544952541E-4</v>
      </c>
      <c r="W62" s="31" t="str">
        <f t="shared" si="58"/>
        <v>1-0.000584054864598152i</v>
      </c>
      <c r="X62" s="17">
        <f t="shared" si="69"/>
        <v>1.0000001705600279</v>
      </c>
      <c r="Y62" s="17">
        <f t="shared" si="70"/>
        <v>-5.8405479818721736E-4</v>
      </c>
      <c r="Z62" s="31" t="str">
        <f t="shared" si="59"/>
        <v>0.999999952369922+0.0051522102792755i</v>
      </c>
      <c r="AA62" s="17">
        <f t="shared" si="71"/>
        <v>1.0000132249178548</v>
      </c>
      <c r="AB62" s="17">
        <f t="shared" si="72"/>
        <v>5.1521649364563021E-3</v>
      </c>
      <c r="AC62" s="66" t="str">
        <f t="shared" si="73"/>
        <v>3.51653960427382-33.376552032241i</v>
      </c>
      <c r="AD62" s="64">
        <f t="shared" si="74"/>
        <v>30.516773256878626</v>
      </c>
      <c r="AE62" s="61">
        <f t="shared" si="75"/>
        <v>-83.98552989072337</v>
      </c>
      <c r="AF62" s="31" t="str">
        <f t="shared" si="60"/>
        <v>-0.000495863624968664</v>
      </c>
      <c r="AG62" s="31" t="str">
        <f t="shared" si="61"/>
        <v>0.0000381963228782529i</v>
      </c>
      <c r="AH62" s="31">
        <f t="shared" si="76"/>
        <v>3.81963228782529E-5</v>
      </c>
      <c r="AI62" s="31">
        <f t="shared" si="77"/>
        <v>1.5707963267948966</v>
      </c>
      <c r="AJ62" s="31" t="str">
        <f t="shared" si="62"/>
        <v>1+0.000149030309777853i</v>
      </c>
      <c r="AK62" s="31">
        <f t="shared" si="78"/>
        <v>1.0000000111050165</v>
      </c>
      <c r="AL62" s="31">
        <f t="shared" si="79"/>
        <v>1.490303086745303E-4</v>
      </c>
      <c r="AM62" s="31" t="str">
        <f t="shared" si="63"/>
        <v>1+0.0456860694085665i</v>
      </c>
      <c r="AN62" s="31">
        <f t="shared" si="80"/>
        <v>1.0010430644772503</v>
      </c>
      <c r="AO62" s="31">
        <f t="shared" si="81"/>
        <v>4.5654323576056643E-2</v>
      </c>
      <c r="AP62" s="58" t="str">
        <f t="shared" si="82"/>
        <v>-0.591160590204745+12.982060908783i</v>
      </c>
      <c r="AQ62" s="49">
        <f t="shared" si="83"/>
        <v>22.2758690271502</v>
      </c>
      <c r="AR62" s="61">
        <f t="shared" si="84"/>
        <v>92.607261249726065</v>
      </c>
      <c r="AS62" s="58" t="str">
        <f t="shared" si="85"/>
        <v>431.217591779777+65.3828335292094i</v>
      </c>
      <c r="AT62" s="64">
        <f t="shared" si="86"/>
        <v>52.792642284028837</v>
      </c>
      <c r="AU62" s="61">
        <f t="shared" si="87"/>
        <v>8.6217313590026983</v>
      </c>
    </row>
    <row r="63" spans="1:48" x14ac:dyDescent="0.25">
      <c r="A63" t="s">
        <v>178</v>
      </c>
      <c r="B63" s="3">
        <f>RFBT</f>
        <v>30000</v>
      </c>
      <c r="C63" s="2" t="s">
        <v>35</v>
      </c>
      <c r="E63" t="s">
        <v>181</v>
      </c>
      <c r="N63" s="10">
        <v>45</v>
      </c>
      <c r="O63" s="50">
        <f t="shared" si="64"/>
        <v>28.183829312644548</v>
      </c>
      <c r="P63" s="48" t="str">
        <f t="shared" si="55"/>
        <v>304.285714285714</v>
      </c>
      <c r="Q63" s="17" t="str">
        <f t="shared" si="56"/>
        <v>1+9.2210284293548i</v>
      </c>
      <c r="R63" s="17">
        <f t="shared" si="65"/>
        <v>9.2750938159659295</v>
      </c>
      <c r="S63" s="17">
        <f t="shared" si="66"/>
        <v>1.4627707269735335</v>
      </c>
      <c r="T63" s="17" t="str">
        <f t="shared" si="57"/>
        <v>1+0.000191250960016247i</v>
      </c>
      <c r="U63" s="17">
        <f t="shared" si="67"/>
        <v>1.0000000182884647</v>
      </c>
      <c r="V63" s="17">
        <f t="shared" si="68"/>
        <v>1.9125095768445608E-4</v>
      </c>
      <c r="W63" s="31" t="str">
        <f t="shared" si="58"/>
        <v>1-0.000597659250050773i</v>
      </c>
      <c r="X63" s="17">
        <f t="shared" si="69"/>
        <v>1.0000001785982737</v>
      </c>
      <c r="Y63" s="17">
        <f t="shared" si="70"/>
        <v>-5.9765917889017508E-4</v>
      </c>
      <c r="Z63" s="31" t="str">
        <f t="shared" si="59"/>
        <v>0.999999950125186+0.00527222067353949i</v>
      </c>
      <c r="AA63" s="17">
        <f t="shared" si="71"/>
        <v>1.0000138481847165</v>
      </c>
      <c r="AB63" s="17">
        <f t="shared" si="72"/>
        <v>5.2721720878697005E-3</v>
      </c>
      <c r="AC63" s="66" t="str">
        <f t="shared" si="73"/>
        <v>3.35176884029288-32.6346337562363i</v>
      </c>
      <c r="AD63" s="64">
        <f t="shared" si="74"/>
        <v>30.319146473200838</v>
      </c>
      <c r="AE63" s="61">
        <f t="shared" si="75"/>
        <v>-84.135947736202809</v>
      </c>
      <c r="AF63" s="31" t="str">
        <f t="shared" si="60"/>
        <v>-0.000495863624968664</v>
      </c>
      <c r="AG63" s="31" t="str">
        <f t="shared" si="61"/>
        <v>0.0000390860295322093i</v>
      </c>
      <c r="AH63" s="31">
        <f t="shared" si="76"/>
        <v>3.9086029532209297E-5</v>
      </c>
      <c r="AI63" s="31">
        <f t="shared" si="77"/>
        <v>1.5707963267948966</v>
      </c>
      <c r="AJ63" s="31" t="str">
        <f t="shared" si="62"/>
        <v>1+0.000152501671633107i</v>
      </c>
      <c r="AK63" s="31">
        <f t="shared" si="78"/>
        <v>1.0000000116283798</v>
      </c>
      <c r="AL63" s="31">
        <f t="shared" si="79"/>
        <v>1.5250167045087544E-4</v>
      </c>
      <c r="AM63" s="31" t="str">
        <f t="shared" si="63"/>
        <v>1+0.0467502346706382i</v>
      </c>
      <c r="AN63" s="31">
        <f t="shared" si="80"/>
        <v>1.0010921957750742</v>
      </c>
      <c r="AO63" s="31">
        <f t="shared" si="81"/>
        <v>4.6716220402294395E-2</v>
      </c>
      <c r="AP63" s="58" t="str">
        <f t="shared" si="82"/>
        <v>-0.591160589585961+12.6865571823304i</v>
      </c>
      <c r="AQ63" s="49">
        <f t="shared" si="83"/>
        <v>22.076295316510812</v>
      </c>
      <c r="AR63" s="61">
        <f t="shared" si="84"/>
        <v>92.667904561768893</v>
      </c>
      <c r="AS63" s="58" t="str">
        <f t="shared" si="85"/>
        <v>412.039713629118+61.8147163865874i</v>
      </c>
      <c r="AT63" s="64">
        <f t="shared" si="86"/>
        <v>52.395441789711647</v>
      </c>
      <c r="AU63" s="61">
        <f t="shared" si="87"/>
        <v>8.5319568255660823</v>
      </c>
    </row>
    <row r="64" spans="1:48" x14ac:dyDescent="0.25">
      <c r="A64" t="s">
        <v>179</v>
      </c>
      <c r="B64" s="3">
        <f>RFBB</f>
        <v>9890</v>
      </c>
      <c r="C64" s="2" t="s">
        <v>35</v>
      </c>
      <c r="E64" t="s">
        <v>182</v>
      </c>
      <c r="N64" s="10">
        <v>46</v>
      </c>
      <c r="O64" s="50">
        <f t="shared" si="64"/>
        <v>28.840315031266066</v>
      </c>
      <c r="P64" s="48" t="str">
        <f t="shared" si="55"/>
        <v>304.285714285714</v>
      </c>
      <c r="Q64" s="17" t="str">
        <f t="shared" si="56"/>
        <v>1+9.43581377338038i</v>
      </c>
      <c r="R64" s="17">
        <f t="shared" si="65"/>
        <v>9.4886554140149322</v>
      </c>
      <c r="S64" s="17">
        <f t="shared" si="66"/>
        <v>1.4652112453857367</v>
      </c>
      <c r="T64" s="17" t="str">
        <f t="shared" si="57"/>
        <v>1+0.000195705767151593i</v>
      </c>
      <c r="U64" s="17">
        <f t="shared" si="67"/>
        <v>1.0000000191503735</v>
      </c>
      <c r="V64" s="17">
        <f t="shared" si="68"/>
        <v>1.9570576465303402E-4</v>
      </c>
      <c r="W64" s="31" t="str">
        <f t="shared" si="58"/>
        <v>1-0.000611580522348727i</v>
      </c>
      <c r="X64" s="17">
        <f t="shared" si="69"/>
        <v>1.0000001870153501</v>
      </c>
      <c r="Y64" s="17">
        <f t="shared" si="70"/>
        <v>-6.1158044609877329E-4</v>
      </c>
      <c r="Z64" s="31" t="str">
        <f t="shared" si="59"/>
        <v>0.999999947774658+0.00539502646899068i</v>
      </c>
      <c r="AA64" s="17">
        <f t="shared" si="71"/>
        <v>1.0000145008248229</v>
      </c>
      <c r="AB64" s="17">
        <f t="shared" si="72"/>
        <v>5.3949744085483179E-3</v>
      </c>
      <c r="AC64" s="66" t="str">
        <f t="shared" si="73"/>
        <v>3.19424538704778-31.9084277593258i</v>
      </c>
      <c r="AD64" s="64">
        <f t="shared" si="74"/>
        <v>30.12141360221985</v>
      </c>
      <c r="AE64" s="61">
        <f t="shared" si="75"/>
        <v>-84.283357583954029</v>
      </c>
      <c r="AF64" s="31" t="str">
        <f t="shared" si="60"/>
        <v>-0.000495863624968664</v>
      </c>
      <c r="AG64" s="31" t="str">
        <f t="shared" si="61"/>
        <v>0.0000399964601163883i</v>
      </c>
      <c r="AH64" s="31">
        <f t="shared" si="76"/>
        <v>3.9996460116388303E-5</v>
      </c>
      <c r="AI64" s="31">
        <f t="shared" si="77"/>
        <v>1.5707963267948966</v>
      </c>
      <c r="AJ64" s="31" t="str">
        <f t="shared" si="62"/>
        <v>1+0.000156053891893259i</v>
      </c>
      <c r="AK64" s="31">
        <f t="shared" si="78"/>
        <v>1.0000000121764085</v>
      </c>
      <c r="AL64" s="31">
        <f t="shared" si="79"/>
        <v>1.5605389062647504E-4</v>
      </c>
      <c r="AM64" s="31" t="str">
        <f t="shared" si="63"/>
        <v>1+0.0478391875259448i</v>
      </c>
      <c r="AN64" s="31">
        <f t="shared" si="80"/>
        <v>1.0011436399753746</v>
      </c>
      <c r="AO64" s="31">
        <f t="shared" si="81"/>
        <v>4.7802742829020708E-2</v>
      </c>
      <c r="AP64" s="58" t="str">
        <f t="shared" si="82"/>
        <v>-0.591160588938016+12.3977800364224i</v>
      </c>
      <c r="AQ64" s="49">
        <f t="shared" si="83"/>
        <v>21.876741651426034</v>
      </c>
      <c r="AR64" s="61">
        <f t="shared" si="84"/>
        <v>92.729954183942667</v>
      </c>
      <c r="AS64" s="58" t="str">
        <f t="shared" si="85"/>
        <v>393.705356683976+58.4645566372645i</v>
      </c>
      <c r="AT64" s="64">
        <f t="shared" si="86"/>
        <v>51.998155253645884</v>
      </c>
      <c r="AU64" s="61">
        <f t="shared" si="87"/>
        <v>8.4465965999886432</v>
      </c>
    </row>
    <row r="65" spans="1:47" x14ac:dyDescent="0.25">
      <c r="A65" t="s">
        <v>168</v>
      </c>
      <c r="B65" s="3">
        <f>RCOMP</f>
        <v>1200</v>
      </c>
      <c r="C65" s="2" t="s">
        <v>35</v>
      </c>
      <c r="E65" s="31" t="s">
        <v>175</v>
      </c>
      <c r="N65" s="10">
        <v>47</v>
      </c>
      <c r="O65" s="50">
        <f t="shared" si="64"/>
        <v>29.512092266663863</v>
      </c>
      <c r="P65" s="48" t="str">
        <f t="shared" si="55"/>
        <v>304.285714285714</v>
      </c>
      <c r="Q65" s="17" t="str">
        <f t="shared" si="56"/>
        <v>1+9.65560211076635i</v>
      </c>
      <c r="R65" s="17">
        <f t="shared" si="65"/>
        <v>9.7072474018866757</v>
      </c>
      <c r="S65" s="17">
        <f t="shared" si="66"/>
        <v>1.4675974313251603</v>
      </c>
      <c r="T65" s="17" t="str">
        <f t="shared" si="57"/>
        <v>1+0.000200264340075153i</v>
      </c>
      <c r="U65" s="17">
        <f t="shared" si="67"/>
        <v>1.0000000200529029</v>
      </c>
      <c r="V65" s="17">
        <f t="shared" si="68"/>
        <v>2.0026433739789881E-4</v>
      </c>
      <c r="W65" s="31" t="str">
        <f t="shared" si="58"/>
        <v>1-0.000625826062734855i</v>
      </c>
      <c r="X65" s="17">
        <f t="shared" si="69"/>
        <v>1.0000001958291111</v>
      </c>
      <c r="Y65" s="17">
        <f t="shared" si="70"/>
        <v>-6.2582598103155839E-4</v>
      </c>
      <c r="Z65" s="31" t="str">
        <f t="shared" si="59"/>
        <v>0.999999945313354+0.00552069277888733i</v>
      </c>
      <c r="AA65" s="17">
        <f t="shared" si="71"/>
        <v>1.0000151842224545</v>
      </c>
      <c r="AB65" s="17">
        <f t="shared" si="72"/>
        <v>5.520636995164043E-3</v>
      </c>
      <c r="AC65" s="66" t="str">
        <f t="shared" si="73"/>
        <v>3.04365765749698-31.1976528577501i</v>
      </c>
      <c r="AD65" s="64">
        <f t="shared" si="74"/>
        <v>29.923579289584925</v>
      </c>
      <c r="AE65" s="61">
        <f t="shared" si="75"/>
        <v>-84.427830925321913</v>
      </c>
      <c r="AF65" s="31" t="str">
        <f t="shared" si="60"/>
        <v>-0.000495863624968664</v>
      </c>
      <c r="AG65" s="31" t="str">
        <f t="shared" si="61"/>
        <v>0.0000409280973531368i</v>
      </c>
      <c r="AH65" s="31">
        <f t="shared" si="76"/>
        <v>4.0928097353136801E-5</v>
      </c>
      <c r="AI65" s="31">
        <f t="shared" si="77"/>
        <v>1.5707963267948966</v>
      </c>
      <c r="AJ65" s="31" t="str">
        <f t="shared" si="62"/>
        <v>1+0.00015968885399251i</v>
      </c>
      <c r="AK65" s="31">
        <f t="shared" si="78"/>
        <v>1.0000000127502651</v>
      </c>
      <c r="AL65" s="31">
        <f t="shared" si="79"/>
        <v>1.5968885263512654E-4</v>
      </c>
      <c r="AM65" s="31" t="str">
        <f t="shared" si="63"/>
        <v>1+0.0489535053517042i</v>
      </c>
      <c r="AN65" s="31">
        <f t="shared" si="80"/>
        <v>1.0011975058329996</v>
      </c>
      <c r="AO65" s="31">
        <f t="shared" si="81"/>
        <v>4.8914456677586399E-2</v>
      </c>
      <c r="AP65" s="58" t="str">
        <f t="shared" si="82"/>
        <v>-0.591160588259531+12.1155763575937i</v>
      </c>
      <c r="AQ65" s="49">
        <f t="shared" si="83"/>
        <v>21.677208972297294</v>
      </c>
      <c r="AR65" s="61">
        <f t="shared" si="84"/>
        <v>92.793442427509916</v>
      </c>
      <c r="AS65" s="58" t="str">
        <f t="shared" si="85"/>
        <v>376.178254924506+55.3184895714836i</v>
      </c>
      <c r="AT65" s="64">
        <f t="shared" si="86"/>
        <v>51.600788261882222</v>
      </c>
      <c r="AU65" s="61">
        <f t="shared" si="87"/>
        <v>8.3656115021880186</v>
      </c>
    </row>
    <row r="66" spans="1:47" x14ac:dyDescent="0.25">
      <c r="A66" t="s">
        <v>173</v>
      </c>
      <c r="B66" s="3">
        <f>CCOMP</f>
        <v>2.2000000000000001E-7</v>
      </c>
      <c r="C66" s="2" t="s">
        <v>151</v>
      </c>
      <c r="E66" s="31" t="s">
        <v>176</v>
      </c>
      <c r="N66" s="10">
        <v>48</v>
      </c>
      <c r="O66" s="50">
        <f t="shared" si="64"/>
        <v>30.199517204020164</v>
      </c>
      <c r="P66" s="48" t="str">
        <f t="shared" si="55"/>
        <v>304.285714285714</v>
      </c>
      <c r="Q66" s="17" t="str">
        <f t="shared" si="56"/>
        <v>1+9.88050997619847i</v>
      </c>
      <c r="R66" s="17">
        <f t="shared" si="65"/>
        <v>9.9309857209522505</v>
      </c>
      <c r="S66" s="17">
        <f t="shared" si="66"/>
        <v>1.4699304412265124</v>
      </c>
      <c r="T66" s="17" t="str">
        <f t="shared" si="57"/>
        <v>1+0.000204929095802634i</v>
      </c>
      <c r="U66" s="17">
        <f t="shared" si="67"/>
        <v>1.0000000209979669</v>
      </c>
      <c r="V66" s="17">
        <f t="shared" si="68"/>
        <v>2.0492909293390446E-4</v>
      </c>
      <c r="W66" s="31" t="str">
        <f t="shared" si="58"/>
        <v>1-0.000640403424383233i</v>
      </c>
      <c r="X66" s="17">
        <f t="shared" si="69"/>
        <v>1.0000002050582519</v>
      </c>
      <c r="Y66" s="17">
        <f t="shared" si="70"/>
        <v>-6.4040333683657437E-4</v>
      </c>
      <c r="Z66" s="31" t="str">
        <f t="shared" si="59"/>
        <v>0.999999942736052+0.00564928623317037i</v>
      </c>
      <c r="AA66" s="17">
        <f t="shared" si="71"/>
        <v>1.0000158998271236</v>
      </c>
      <c r="AB66" s="17">
        <f t="shared" si="72"/>
        <v>5.6492264598852768E-3</v>
      </c>
      <c r="AC66" s="66" t="str">
        <f t="shared" si="73"/>
        <v>2.89970683496804-30.5020293669068i</v>
      </c>
      <c r="AD66" s="64">
        <f t="shared" si="74"/>
        <v>29.725647979933896</v>
      </c>
      <c r="AE66" s="61">
        <f t="shared" si="75"/>
        <v>-84.569438130009388</v>
      </c>
      <c r="AF66" s="31" t="str">
        <f t="shared" si="60"/>
        <v>-0.000495863624968664</v>
      </c>
      <c r="AG66" s="31" t="str">
        <f t="shared" si="61"/>
        <v>0.0000418814352088494i</v>
      </c>
      <c r="AH66" s="31">
        <f t="shared" si="76"/>
        <v>4.1881435208849401E-5</v>
      </c>
      <c r="AI66" s="31">
        <f t="shared" si="77"/>
        <v>1.5707963267948966</v>
      </c>
      <c r="AJ66" s="31" t="str">
        <f t="shared" si="62"/>
        <v>1+0.00016340848523588i</v>
      </c>
      <c r="AK66" s="31">
        <f t="shared" si="78"/>
        <v>1.0000000133511664</v>
      </c>
      <c r="AL66" s="31">
        <f t="shared" si="79"/>
        <v>1.6340848378141741E-4</v>
      </c>
      <c r="AM66" s="31" t="str">
        <f t="shared" si="63"/>
        <v>1+0.0500937789739773i</v>
      </c>
      <c r="AN66" s="31">
        <f t="shared" si="80"/>
        <v>1.0012539072043083</v>
      </c>
      <c r="AO66" s="31">
        <f t="shared" si="81"/>
        <v>5.0051940395336864E-2</v>
      </c>
      <c r="AP66" s="58" t="str">
        <f t="shared" si="82"/>
        <v>-0.591160587549073+11.8397965177184i</v>
      </c>
      <c r="AQ66" s="49">
        <f t="shared" si="83"/>
        <v>21.477698263430952</v>
      </c>
      <c r="AR66" s="61">
        <f t="shared" si="84"/>
        <v>92.858402324635847</v>
      </c>
      <c r="AS66" s="58" t="str">
        <f t="shared" si="85"/>
        <v>359.423628685368+52.3635364890386i</v>
      </c>
      <c r="AT66" s="64">
        <f t="shared" si="86"/>
        <v>51.203346243364855</v>
      </c>
      <c r="AU66" s="61">
        <f t="shared" si="87"/>
        <v>8.2889641946264607</v>
      </c>
    </row>
    <row r="67" spans="1:47" x14ac:dyDescent="0.25">
      <c r="A67" t="s">
        <v>174</v>
      </c>
      <c r="B67" s="3">
        <f>CHF</f>
        <v>7.2E-10</v>
      </c>
      <c r="C67" s="2" t="s">
        <v>151</v>
      </c>
      <c r="E67" s="31" t="s">
        <v>177</v>
      </c>
      <c r="N67" s="10">
        <v>49</v>
      </c>
      <c r="O67" s="50">
        <f t="shared" si="64"/>
        <v>30.902954325135919</v>
      </c>
      <c r="P67" s="48" t="str">
        <f t="shared" si="55"/>
        <v>304.285714285714</v>
      </c>
      <c r="Q67" s="17" t="str">
        <f t="shared" si="56"/>
        <v>1+10.110656618804i</v>
      </c>
      <c r="R67" s="17">
        <f t="shared" si="65"/>
        <v>10.15998903854552</v>
      </c>
      <c r="S67" s="17">
        <f t="shared" si="66"/>
        <v>1.4722114104395549</v>
      </c>
      <c r="T67" s="17" t="str">
        <f t="shared" si="57"/>
        <v>1+0.000209702507649267i</v>
      </c>
      <c r="U67" s="17">
        <f t="shared" si="67"/>
        <v>1.0000000219875707</v>
      </c>
      <c r="V67" s="17">
        <f t="shared" si="68"/>
        <v>2.0970250457536793E-4</v>
      </c>
      <c r="W67" s="31" t="str">
        <f t="shared" si="58"/>
        <v>1-0.00065532033640396i</v>
      </c>
      <c r="X67" s="17">
        <f t="shared" si="69"/>
        <v>1.0000002147223486</v>
      </c>
      <c r="Y67" s="17">
        <f t="shared" si="70"/>
        <v>-6.553202425960262E-4</v>
      </c>
      <c r="Z67" s="31" t="str">
        <f t="shared" si="59"/>
        <v>0.999999940037285+0.00578087501379138i</v>
      </c>
      <c r="AA67" s="17">
        <f t="shared" si="71"/>
        <v>1.0000166491566522</v>
      </c>
      <c r="AB67" s="17">
        <f t="shared" si="72"/>
        <v>5.7808109656200578E-3</v>
      </c>
      <c r="AC67" s="66" t="str">
        <f t="shared" si="73"/>
        <v>2.7621064047864-29.8212793725744i</v>
      </c>
      <c r="AD67" s="64">
        <f t="shared" si="74"/>
        <v>29.527623925100649</v>
      </c>
      <c r="AE67" s="61">
        <f t="shared" si="75"/>
        <v>-84.708248455346421</v>
      </c>
      <c r="AF67" s="31" t="str">
        <f t="shared" si="60"/>
        <v>-0.000495863624968664</v>
      </c>
      <c r="AG67" s="31" t="str">
        <f t="shared" si="61"/>
        <v>0.0000428569791558761i</v>
      </c>
      <c r="AH67" s="31">
        <f t="shared" si="76"/>
        <v>4.2856979155876101E-5</v>
      </c>
      <c r="AI67" s="31">
        <f t="shared" si="77"/>
        <v>1.5707963267948966</v>
      </c>
      <c r="AJ67" s="31" t="str">
        <f t="shared" si="62"/>
        <v>1+0.000167214757821089i</v>
      </c>
      <c r="AK67" s="31">
        <f t="shared" si="78"/>
        <v>1.0000000139803875</v>
      </c>
      <c r="AL67" s="31">
        <f t="shared" si="79"/>
        <v>1.6721475626260427E-4</v>
      </c>
      <c r="AM67" s="31" t="str">
        <f t="shared" si="63"/>
        <v>1+0.0512606129809319i</v>
      </c>
      <c r="AN67" s="31">
        <f t="shared" si="80"/>
        <v>1.0013129632852962</v>
      </c>
      <c r="AO67" s="31">
        <f t="shared" si="81"/>
        <v>5.1215785310466368E-2</v>
      </c>
      <c r="AP67" s="58" t="str">
        <f t="shared" si="82"/>
        <v>-0.591160586805133+11.5702942946751i</v>
      </c>
      <c r="AQ67" s="49">
        <f t="shared" si="83"/>
        <v>21.278210555067581</v>
      </c>
      <c r="AR67" s="61">
        <f t="shared" si="84"/>
        <v>92.924867642931673</v>
      </c>
      <c r="AS67" s="58" t="str">
        <f t="shared" si="85"/>
        <v>343.408130141338+49.5875489897565i</v>
      </c>
      <c r="AT67" s="64">
        <f t="shared" si="86"/>
        <v>50.80583448016823</v>
      </c>
      <c r="AU67" s="61">
        <f t="shared" si="87"/>
        <v>8.2166191875852554</v>
      </c>
    </row>
    <row r="68" spans="1:47" x14ac:dyDescent="0.25">
      <c r="N68" s="10">
        <v>50</v>
      </c>
      <c r="O68" s="50">
        <f t="shared" si="64"/>
        <v>31.622776601683803</v>
      </c>
      <c r="P68" s="48" t="str">
        <f t="shared" si="55"/>
        <v>304.285714285714</v>
      </c>
      <c r="Q68" s="17" t="str">
        <f t="shared" si="56"/>
        <v>1+10.3461640653791i</v>
      </c>
      <c r="R68" s="17">
        <f t="shared" si="65"/>
        <v>10.394378811056567</v>
      </c>
      <c r="S68" s="17">
        <f t="shared" si="66"/>
        <v>1.474441453372497</v>
      </c>
      <c r="T68" s="17" t="str">
        <f t="shared" si="57"/>
        <v>1+0.000214587106541196i</v>
      </c>
      <c r="U68" s="17">
        <f t="shared" si="67"/>
        <v>1.0000000230238129</v>
      </c>
      <c r="V68" s="17">
        <f t="shared" si="68"/>
        <v>2.145871032474538E-4</v>
      </c>
      <c r="W68" s="31" t="str">
        <f t="shared" si="58"/>
        <v>1-0.000670584707941237i</v>
      </c>
      <c r="X68" s="17">
        <f t="shared" si="69"/>
        <v>1.0000002248419</v>
      </c>
      <c r="Y68" s="17">
        <f t="shared" si="70"/>
        <v>-6.7058460742422626E-4</v>
      </c>
      <c r="Z68" s="31" t="str">
        <f t="shared" si="59"/>
        <v>0.999999937211329+0.00591552889086361i</v>
      </c>
      <c r="AA68" s="17">
        <f t="shared" si="71"/>
        <v>1.0000174338003915</v>
      </c>
      <c r="AB68" s="17">
        <f t="shared" si="72"/>
        <v>5.9154602620761923E-3</v>
      </c>
      <c r="AC68" s="66" t="str">
        <f t="shared" si="73"/>
        <v>2.63058169811479-29.1551269778681i</v>
      </c>
      <c r="AD68" s="64">
        <f t="shared" si="74"/>
        <v>29.329511192018252</v>
      </c>
      <c r="AE68" s="61">
        <f t="shared" si="75"/>
        <v>-84.844330056731394</v>
      </c>
      <c r="AF68" s="31" t="str">
        <f t="shared" si="60"/>
        <v>-0.000495863624968664</v>
      </c>
      <c r="AG68" s="31" t="str">
        <f t="shared" si="61"/>
        <v>0.0000438552464405303i</v>
      </c>
      <c r="AH68" s="31">
        <f t="shared" si="76"/>
        <v>4.3855246440530302E-5</v>
      </c>
      <c r="AI68" s="31">
        <f t="shared" si="77"/>
        <v>1.5707963267948966</v>
      </c>
      <c r="AJ68" s="31" t="str">
        <f t="shared" si="62"/>
        <v>1+0.000171109689884244i</v>
      </c>
      <c r="AK68" s="31">
        <f t="shared" si="78"/>
        <v>1.0000000146392629</v>
      </c>
      <c r="AL68" s="31">
        <f t="shared" si="79"/>
        <v>1.7110968821429753E-4</v>
      </c>
      <c r="AM68" s="31" t="str">
        <f t="shared" si="63"/>
        <v>1+0.0524546260434034i</v>
      </c>
      <c r="AN68" s="31">
        <f t="shared" si="80"/>
        <v>1.0013747988607229</v>
      </c>
      <c r="AO68" s="31">
        <f t="shared" si="81"/>
        <v>5.240659589004501E-2</v>
      </c>
      <c r="AP68" s="58" t="str">
        <f t="shared" si="82"/>
        <v>-0.591160586026127+11.3069267948176i</v>
      </c>
      <c r="AQ68" s="49">
        <f t="shared" si="83"/>
        <v>21.078746925502859</v>
      </c>
      <c r="AR68" s="61">
        <f t="shared" si="84"/>
        <v>92.992872900178739</v>
      </c>
      <c r="AS68" s="58" t="str">
        <f t="shared" si="85"/>
        <v>328.099790214119+46.9791566382736i</v>
      </c>
      <c r="AT68" s="64">
        <f t="shared" si="86"/>
        <v>50.408258117521108</v>
      </c>
      <c r="AU68" s="61">
        <f t="shared" si="87"/>
        <v>8.1485428434473732</v>
      </c>
    </row>
    <row r="69" spans="1:47" x14ac:dyDescent="0.25">
      <c r="A69" t="s">
        <v>218</v>
      </c>
      <c r="B69" s="1">
        <f>-(RFBB*gm_ea)/(RFBB+RFBT)</f>
        <v>-4.9586362496866388E-4</v>
      </c>
      <c r="C69" t="s">
        <v>144</v>
      </c>
      <c r="N69" s="10">
        <v>51</v>
      </c>
      <c r="O69" s="50">
        <f t="shared" si="64"/>
        <v>32.359365692962832</v>
      </c>
      <c r="P69" s="48" t="str">
        <f t="shared" si="55"/>
        <v>304.285714285714</v>
      </c>
      <c r="Q69" s="17" t="str">
        <f t="shared" si="56"/>
        <v>1+10.5871571850894i</v>
      </c>
      <c r="R69" s="17">
        <f t="shared" si="65"/>
        <v>10.634279348493253</v>
      </c>
      <c r="S69" s="17">
        <f t="shared" si="66"/>
        <v>1.4766216636531979</v>
      </c>
      <c r="T69" s="17" t="str">
        <f t="shared" si="57"/>
        <v>1+0.000219585482357409i</v>
      </c>
      <c r="U69" s="17">
        <f t="shared" si="67"/>
        <v>1.0000000241088918</v>
      </c>
      <c r="V69" s="17">
        <f t="shared" si="68"/>
        <v>2.1958547882810066E-4</v>
      </c>
      <c r="W69" s="31" t="str">
        <f t="shared" si="58"/>
        <v>1-0.000686204632366904i</v>
      </c>
      <c r="X69" s="17">
        <f t="shared" si="69"/>
        <v>1.000000235438371</v>
      </c>
      <c r="Y69" s="17">
        <f t="shared" si="70"/>
        <v>-6.8620452466098788E-4</v>
      </c>
      <c r="Z69" s="31" t="str">
        <f t="shared" si="59"/>
        <v>0.99999993425219+0.00605331925965507i</v>
      </c>
      <c r="AA69" s="17">
        <f t="shared" si="71"/>
        <v>1.0000182554225916</v>
      </c>
      <c r="AB69" s="17">
        <f t="shared" si="72"/>
        <v>6.0532457226569591E-3</v>
      </c>
      <c r="AC69" s="66" t="str">
        <f t="shared" si="73"/>
        <v>2.50486944817203-28.5032985274457i</v>
      </c>
      <c r="AD69" s="64">
        <f t="shared" si="74"/>
        <v>29.131313670324296</v>
      </c>
      <c r="AE69" s="61">
        <f t="shared" si="75"/>
        <v>-84.977749999144962</v>
      </c>
      <c r="AF69" s="31" t="str">
        <f t="shared" si="60"/>
        <v>-0.000495863624968664</v>
      </c>
      <c r="AG69" s="31" t="str">
        <f t="shared" si="61"/>
        <v>0.0000448767663573402i</v>
      </c>
      <c r="AH69" s="31">
        <f t="shared" si="76"/>
        <v>4.4876766357340199E-5</v>
      </c>
      <c r="AI69" s="31">
        <f t="shared" si="77"/>
        <v>1.5707963267948966</v>
      </c>
      <c r="AJ69" s="31" t="str">
        <f t="shared" si="62"/>
        <v>1+0.00017509534656988i</v>
      </c>
      <c r="AK69" s="31">
        <f t="shared" si="78"/>
        <v>1.0000000153291901</v>
      </c>
      <c r="AL69" s="31">
        <f t="shared" si="79"/>
        <v>1.7509534478050013E-4</v>
      </c>
      <c r="AM69" s="31" t="str">
        <f t="shared" si="63"/>
        <v>1+0.0536764512429222i</v>
      </c>
      <c r="AN69" s="31">
        <f t="shared" si="80"/>
        <v>1.0014395445647399</v>
      </c>
      <c r="AO69" s="31">
        <f t="shared" si="81"/>
        <v>5.362499000109993E-2</v>
      </c>
      <c r="AP69" s="58" t="str">
        <f t="shared" si="82"/>
        <v>-0.591160585210411+11.0495543772117i</v>
      </c>
      <c r="AQ69" s="49">
        <f t="shared" si="83"/>
        <v>20.879308503305253</v>
      </c>
      <c r="AR69" s="61">
        <f t="shared" si="84"/>
        <v>93.062453379225943</v>
      </c>
      <c r="AS69" s="58" t="str">
        <f t="shared" si="85"/>
        <v>313.467966920052+44.527717813305i</v>
      </c>
      <c r="AT69" s="64">
        <f t="shared" si="86"/>
        <v>50.010622173629535</v>
      </c>
      <c r="AU69" s="61">
        <f t="shared" si="87"/>
        <v>8.0847033800810024</v>
      </c>
    </row>
    <row r="70" spans="1:47" x14ac:dyDescent="0.25">
      <c r="A70" t="s">
        <v>217</v>
      </c>
      <c r="B70" s="1">
        <f>1/(RCOMP*CCOMP)</f>
        <v>3787.8787878787875</v>
      </c>
      <c r="E70" t="s">
        <v>230</v>
      </c>
      <c r="N70" s="10">
        <v>52</v>
      </c>
      <c r="O70" s="50">
        <f t="shared" si="64"/>
        <v>33.113112148259127</v>
      </c>
      <c r="P70" s="48" t="str">
        <f t="shared" si="55"/>
        <v>304.285714285714</v>
      </c>
      <c r="Q70" s="17" t="str">
        <f t="shared" si="56"/>
        <v>1+10.8337637556768i</v>
      </c>
      <c r="R70" s="17">
        <f t="shared" si="65"/>
        <v>10.879817880544522</v>
      </c>
      <c r="S70" s="17">
        <f t="shared" si="66"/>
        <v>1.4787531143065065</v>
      </c>
      <c r="T70" s="17" t="str">
        <f t="shared" si="57"/>
        <v>1+0.000224700285302927i</v>
      </c>
      <c r="U70" s="17">
        <f t="shared" si="67"/>
        <v>1.0000000252451089</v>
      </c>
      <c r="V70" s="17">
        <f t="shared" si="68"/>
        <v>2.2470028152120496E-4</v>
      </c>
      <c r="W70" s="31" t="str">
        <f t="shared" si="58"/>
        <v>1-0.000702188391571646i</v>
      </c>
      <c r="X70" s="17">
        <f t="shared" si="69"/>
        <v>1.0000002465342384</v>
      </c>
      <c r="Y70" s="17">
        <f t="shared" si="70"/>
        <v>-7.0218827616267906E-4</v>
      </c>
      <c r="Z70" s="31" t="str">
        <f t="shared" si="59"/>
        <v>0.999999931153591+0.00619431917844318i</v>
      </c>
      <c r="AA70" s="17">
        <f t="shared" si="71"/>
        <v>1.0000191157659293</v>
      </c>
      <c r="AB70" s="17">
        <f t="shared" si="72"/>
        <v>6.194240382211405E-3</v>
      </c>
      <c r="AC70" s="66" t="str">
        <f t="shared" si="73"/>
        <v>2.3847173589387-27.8655228104187i</v>
      </c>
      <c r="AD70" s="64">
        <f t="shared" si="74"/>
        <v>28.933035079678639</v>
      </c>
      <c r="AE70" s="61">
        <f t="shared" si="75"/>
        <v>-85.108574269640755</v>
      </c>
      <c r="AF70" s="31" t="str">
        <f t="shared" si="60"/>
        <v>-0.000495863624968664</v>
      </c>
      <c r="AG70" s="31" t="str">
        <f t="shared" si="61"/>
        <v>0.0000459220805296869i</v>
      </c>
      <c r="AH70" s="31">
        <f t="shared" si="76"/>
        <v>4.5922080529686901E-5</v>
      </c>
      <c r="AI70" s="31">
        <f t="shared" si="77"/>
        <v>1.5707963267948966</v>
      </c>
      <c r="AJ70" s="31" t="str">
        <f t="shared" si="62"/>
        <v>1+0.000179173841125929i</v>
      </c>
      <c r="AK70" s="31">
        <f t="shared" si="78"/>
        <v>1.0000000160516325</v>
      </c>
      <c r="AL70" s="31">
        <f t="shared" si="79"/>
        <v>1.7917383920857392E-4</v>
      </c>
      <c r="AM70" s="31" t="str">
        <f t="shared" si="63"/>
        <v>1+0.054926736407382i</v>
      </c>
      <c r="AN70" s="31">
        <f t="shared" si="80"/>
        <v>1.0015073371535357</v>
      </c>
      <c r="AO70" s="31">
        <f t="shared" si="81"/>
        <v>5.4871599174616474E-2</v>
      </c>
      <c r="AP70" s="58" t="str">
        <f t="shared" si="82"/>
        <v>-0.591160584356256+10.7980405795947i</v>
      </c>
      <c r="AQ70" s="49">
        <f t="shared" si="83"/>
        <v>20.67989646963213</v>
      </c>
      <c r="AR70" s="61">
        <f t="shared" si="84"/>
        <v>93.133645143053243</v>
      </c>
      <c r="AS70" s="58" t="str">
        <f t="shared" si="85"/>
        <v>299.483295171088+42.2232735606837i</v>
      </c>
      <c r="AT70" s="64">
        <f t="shared" si="86"/>
        <v>49.612931549310765</v>
      </c>
      <c r="AU70" s="61">
        <f t="shared" si="87"/>
        <v>8.0250708734125098</v>
      </c>
    </row>
    <row r="71" spans="1:47" x14ac:dyDescent="0.25">
      <c r="A71" t="s">
        <v>222</v>
      </c>
      <c r="B71" s="1">
        <f>(CCOMP+CHF)</f>
        <v>2.2072000000000001E-7</v>
      </c>
      <c r="E71" t="s">
        <v>231</v>
      </c>
      <c r="N71" s="10">
        <v>53</v>
      </c>
      <c r="O71" s="50">
        <f t="shared" si="64"/>
        <v>33.884415613920268</v>
      </c>
      <c r="P71" s="48" t="str">
        <f t="shared" si="55"/>
        <v>304.285714285714</v>
      </c>
      <c r="Q71" s="17" t="str">
        <f t="shared" si="56"/>
        <v>1+11.0861145312093i</v>
      </c>
      <c r="R71" s="17">
        <f t="shared" si="65"/>
        <v>11.13112462418286</v>
      </c>
      <c r="S71" s="17">
        <f t="shared" si="66"/>
        <v>1.4808368579461901</v>
      </c>
      <c r="T71" s="17" t="str">
        <f t="shared" si="57"/>
        <v>1+0.00022993422731397i</v>
      </c>
      <c r="U71" s="17">
        <f t="shared" si="67"/>
        <v>1.0000000264348741</v>
      </c>
      <c r="V71" s="17">
        <f t="shared" si="68"/>
        <v>2.2993422326178184E-4</v>
      </c>
      <c r="W71" s="31" t="str">
        <f t="shared" si="58"/>
        <v>1-0.000718544460356157i</v>
      </c>
      <c r="X71" s="17">
        <f t="shared" si="69"/>
        <v>1.0000002581530374</v>
      </c>
      <c r="Y71" s="17">
        <f t="shared" si="70"/>
        <v>-7.1854433669322267E-4</v>
      </c>
      <c r="Z71" s="31" t="str">
        <f t="shared" si="59"/>
        <v>0.99999992790896+0.00633860340725116i</v>
      </c>
      <c r="AA71" s="17">
        <f t="shared" si="71"/>
        <v>1.0000200166552067</v>
      </c>
      <c r="AB71" s="17">
        <f t="shared" si="72"/>
        <v>6.3385189756589065E-3</v>
      </c>
      <c r="AC71" s="66" t="str">
        <f t="shared" si="73"/>
        <v>2.26988368639784-27.2415312433348i</v>
      </c>
      <c r="AD71" s="64">
        <f t="shared" si="74"/>
        <v>28.734678976799316</v>
      </c>
      <c r="AE71" s="61">
        <f t="shared" si="75"/>
        <v>-85.236867790726379</v>
      </c>
      <c r="AF71" s="31" t="str">
        <f t="shared" si="60"/>
        <v>-0.000495863624968664</v>
      </c>
      <c r="AG71" s="31" t="str">
        <f t="shared" si="61"/>
        <v>0.0000469917431969811i</v>
      </c>
      <c r="AH71" s="31">
        <f t="shared" si="76"/>
        <v>4.69917431969811E-5</v>
      </c>
      <c r="AI71" s="31">
        <f t="shared" si="77"/>
        <v>1.5707963267948966</v>
      </c>
      <c r="AJ71" s="31" t="str">
        <f t="shared" si="62"/>
        <v>1+0.000183347336024187i</v>
      </c>
      <c r="AK71" s="31">
        <f t="shared" si="78"/>
        <v>1.0000000168081227</v>
      </c>
      <c r="AL71" s="31">
        <f t="shared" si="79"/>
        <v>1.8334733396970402E-4</v>
      </c>
      <c r="AM71" s="31" t="str">
        <f t="shared" si="63"/>
        <v>1+0.056206144454526i</v>
      </c>
      <c r="AN71" s="31">
        <f t="shared" si="80"/>
        <v>1.0015783197905408</v>
      </c>
      <c r="AO71" s="31">
        <f t="shared" si="81"/>
        <v>5.6147068872306943E-2</v>
      </c>
      <c r="AP71" s="58" t="str">
        <f t="shared" si="82"/>
        <v>-0.591160583461837+10.5522520460219i</v>
      </c>
      <c r="AQ71" s="49">
        <f t="shared" si="83"/>
        <v>20.480512060651321</v>
      </c>
      <c r="AR71" s="61">
        <f t="shared" si="84"/>
        <v>93.206485049992096</v>
      </c>
      <c r="AS71" s="58" t="str">
        <f t="shared" si="85"/>
        <v>286.117638034808+40.056504278227i</v>
      </c>
      <c r="AT71" s="64">
        <f t="shared" si="86"/>
        <v>49.215191037450651</v>
      </c>
      <c r="AU71" s="61">
        <f t="shared" si="87"/>
        <v>7.9696172592657124</v>
      </c>
    </row>
    <row r="72" spans="1:47" x14ac:dyDescent="0.25">
      <c r="A72" s="31" t="s">
        <v>223</v>
      </c>
      <c r="B72" s="1">
        <f>(CCOMP+CHF)/(RCOMP*CHF*CCOMP)</f>
        <v>1161195.2861952861</v>
      </c>
      <c r="E72" s="31" t="s">
        <v>232</v>
      </c>
      <c r="N72" s="10">
        <v>54</v>
      </c>
      <c r="O72" s="50">
        <f t="shared" si="64"/>
        <v>34.67368504525318</v>
      </c>
      <c r="P72" s="48" t="str">
        <f t="shared" si="55"/>
        <v>304.285714285714</v>
      </c>
      <c r="Q72" s="17" t="str">
        <f t="shared" si="56"/>
        <v>1+11.3443433114083i</v>
      </c>
      <c r="R72" s="17">
        <f t="shared" si="65"/>
        <v>11.388332852840852</v>
      </c>
      <c r="S72" s="17">
        <f t="shared" si="66"/>
        <v>1.4828739269799862</v>
      </c>
      <c r="T72" s="17" t="str">
        <f t="shared" si="57"/>
        <v>1+0.000235290083495876i</v>
      </c>
      <c r="U72" s="17">
        <f t="shared" si="67"/>
        <v>1.0000000276807113</v>
      </c>
      <c r="V72" s="17">
        <f t="shared" si="68"/>
        <v>2.3529007915387815E-4</v>
      </c>
      <c r="W72" s="31" t="str">
        <f t="shared" si="58"/>
        <v>1-0.000735281510924612i</v>
      </c>
      <c r="X72" s="17">
        <f t="shared" si="69"/>
        <v>1.0000002703194135</v>
      </c>
      <c r="Y72" s="17">
        <f t="shared" si="70"/>
        <v>-7.3528137841739254E-4</v>
      </c>
      <c r="Z72" s="31" t="str">
        <f t="shared" si="59"/>
        <v>0.999999924511414+0.00648624844748703i</v>
      </c>
      <c r="AA72" s="17">
        <f t="shared" si="71"/>
        <v>1.0000209600012173</v>
      </c>
      <c r="AB72" s="17">
        <f t="shared" si="72"/>
        <v>6.4861579775083705E-3</v>
      </c>
      <c r="AC72" s="66" t="str">
        <f t="shared" si="73"/>
        <v>2.16013683231166-26.631058034543i</v>
      </c>
      <c r="AD72" s="64">
        <f t="shared" si="74"/>
        <v>28.53624876222705</v>
      </c>
      <c r="AE72" s="61">
        <f t="shared" si="75"/>
        <v>-85.362694434551216</v>
      </c>
      <c r="AF72" s="31" t="str">
        <f t="shared" si="60"/>
        <v>-0.000495863624968664</v>
      </c>
      <c r="AG72" s="31" t="str">
        <f t="shared" si="61"/>
        <v>0.0000480863215085275i</v>
      </c>
      <c r="AH72" s="31">
        <f t="shared" si="76"/>
        <v>4.8086321508527497E-5</v>
      </c>
      <c r="AI72" s="31">
        <f t="shared" si="77"/>
        <v>1.5707963267948966</v>
      </c>
      <c r="AJ72" s="31" t="str">
        <f t="shared" si="62"/>
        <v>1+0.000187618044106895i</v>
      </c>
      <c r="AK72" s="31">
        <f t="shared" si="78"/>
        <v>1.000000017600265</v>
      </c>
      <c r="AL72" s="31">
        <f t="shared" si="79"/>
        <v>1.876180419054768E-4</v>
      </c>
      <c r="AM72" s="31" t="str">
        <f t="shared" si="63"/>
        <v>1+0.0575153537434362i</v>
      </c>
      <c r="AN72" s="31">
        <f t="shared" si="80"/>
        <v>1.0016526423447565</v>
      </c>
      <c r="AO72" s="31">
        <f t="shared" si="81"/>
        <v>5.7452058755979897E-2</v>
      </c>
      <c r="AP72" s="58" t="str">
        <f t="shared" si="82"/>
        <v>-0.591160582525275+10.3120584561595i</v>
      </c>
      <c r="AQ72" s="49">
        <f t="shared" si="83"/>
        <v>20.281156570070817</v>
      </c>
      <c r="AR72" s="61">
        <f t="shared" si="84"/>
        <v>93.281010769093598</v>
      </c>
      <c r="AS72" s="58" t="str">
        <f t="shared" si="85"/>
        <v>273.34403945346+38.0186890690659i</v>
      </c>
      <c r="AT72" s="64">
        <f t="shared" si="86"/>
        <v>48.817405332297874</v>
      </c>
      <c r="AU72" s="61">
        <f t="shared" si="87"/>
        <v>7.9183163345423759</v>
      </c>
    </row>
    <row r="73" spans="1:47" x14ac:dyDescent="0.25">
      <c r="N73" s="10">
        <v>55</v>
      </c>
      <c r="O73" s="50">
        <f t="shared" si="64"/>
        <v>35.481338923357555</v>
      </c>
      <c r="P73" s="48" t="str">
        <f t="shared" si="55"/>
        <v>304.285714285714</v>
      </c>
      <c r="Q73" s="17" t="str">
        <f t="shared" si="56"/>
        <v>1+11.6085870125912i</v>
      </c>
      <c r="R73" s="17">
        <f t="shared" si="65"/>
        <v>11.651578967200155</v>
      </c>
      <c r="S73" s="17">
        <f t="shared" si="66"/>
        <v>1.4848653338264219</v>
      </c>
      <c r="T73" s="17" t="str">
        <f t="shared" si="57"/>
        <v>1+0.000240770693594483i</v>
      </c>
      <c r="U73" s="17">
        <f t="shared" si="67"/>
        <v>1.0000000289852631</v>
      </c>
      <c r="V73" s="17">
        <f t="shared" si="68"/>
        <v>2.4077068894194851E-4</v>
      </c>
      <c r="W73" s="31" t="str">
        <f t="shared" si="58"/>
        <v>1-0.00075240841748276i</v>
      </c>
      <c r="X73" s="17">
        <f t="shared" si="69"/>
        <v>1.0000002830591734</v>
      </c>
      <c r="Y73" s="17">
        <f t="shared" si="70"/>
        <v>-7.5240827549871844E-4</v>
      </c>
      <c r="Z73" s="31" t="str">
        <f t="shared" si="59"/>
        <v>0.999999920953747+0.00663733258250539i</v>
      </c>
      <c r="AA73" s="17">
        <f t="shared" si="71"/>
        <v>1.0000219478048025</v>
      </c>
      <c r="AB73" s="17">
        <f t="shared" si="72"/>
        <v>6.6372356422916166E-3</v>
      </c>
      <c r="AC73" s="66" t="str">
        <f t="shared" si="73"/>
        <v>2.05525495048829-26.0338403311709i</v>
      </c>
      <c r="AD73" s="64">
        <f t="shared" si="74"/>
        <v>28.337747686825111</v>
      </c>
      <c r="AE73" s="61">
        <f t="shared" si="75"/>
        <v>-85.486117037825124</v>
      </c>
      <c r="AF73" s="31" t="str">
        <f t="shared" si="60"/>
        <v>-0.000495863624968664</v>
      </c>
      <c r="AG73" s="31" t="str">
        <f t="shared" si="61"/>
        <v>0.0000492063958242355i</v>
      </c>
      <c r="AH73" s="31">
        <f t="shared" si="76"/>
        <v>4.9206395824235499E-5</v>
      </c>
      <c r="AI73" s="31">
        <f t="shared" si="77"/>
        <v>1.5707963267948966</v>
      </c>
      <c r="AJ73" s="31" t="str">
        <f t="shared" si="62"/>
        <v>1+0.000191988229760007i</v>
      </c>
      <c r="AK73" s="31">
        <f t="shared" si="78"/>
        <v>1.00000001842974</v>
      </c>
      <c r="AL73" s="31">
        <f t="shared" si="79"/>
        <v>1.9198822740114493E-4</v>
      </c>
      <c r="AM73" s="31" t="str">
        <f t="shared" si="63"/>
        <v>1+0.0588550584342069i</v>
      </c>
      <c r="AN73" s="31">
        <f t="shared" si="80"/>
        <v>1.0017304617027945</v>
      </c>
      <c r="AO73" s="31">
        <f t="shared" si="81"/>
        <v>5.8787242959314943E-2</v>
      </c>
      <c r="AP73" s="58" t="str">
        <f t="shared" si="82"/>
        <v>-0.591160581544566+10.0773324561868i</v>
      </c>
      <c r="AQ73" s="49">
        <f t="shared" si="83"/>
        <v>20.081831351781531</v>
      </c>
      <c r="AR73" s="61">
        <f t="shared" si="84"/>
        <v>93.357260795632612</v>
      </c>
      <c r="AS73" s="58" t="str">
        <f t="shared" si="85"/>
        <v>261.13667841674+36.1016676083076i</v>
      </c>
      <c r="AT73" s="64">
        <f t="shared" si="86"/>
        <v>48.419579038606628</v>
      </c>
      <c r="AU73" s="61">
        <f t="shared" si="87"/>
        <v>7.8711437578075047</v>
      </c>
    </row>
    <row r="74" spans="1:47" x14ac:dyDescent="0.25">
      <c r="N74" s="10">
        <v>56</v>
      </c>
      <c r="O74" s="50">
        <f t="shared" si="64"/>
        <v>36.307805477010156</v>
      </c>
      <c r="P74" s="48" t="str">
        <f t="shared" si="55"/>
        <v>304.285714285714</v>
      </c>
      <c r="Q74" s="17" t="str">
        <f t="shared" si="56"/>
        <v>1+11.878985740266i</v>
      </c>
      <c r="R74" s="17">
        <f t="shared" si="65"/>
        <v>11.921002567630081</v>
      </c>
      <c r="S74" s="17">
        <f t="shared" si="66"/>
        <v>1.4868120711421278</v>
      </c>
      <c r="T74" s="17" t="str">
        <f t="shared" si="57"/>
        <v>1+0.000246378963501812i</v>
      </c>
      <c r="U74" s="17">
        <f t="shared" si="67"/>
        <v>1.0000000303512964</v>
      </c>
      <c r="V74" s="17">
        <f t="shared" si="68"/>
        <v>2.4637895851653145E-4</v>
      </c>
      <c r="W74" s="31" t="str">
        <f t="shared" si="58"/>
        <v>1-0.000769934260943163i</v>
      </c>
      <c r="X74" s="17">
        <f t="shared" si="69"/>
        <v>1.0000002963993391</v>
      </c>
      <c r="Y74" s="17">
        <f t="shared" si="70"/>
        <v>-7.6993410880452388E-4</v>
      </c>
      <c r="Z74" s="31" t="str">
        <f t="shared" si="59"/>
        <v>0.999999917228411+0.00679193591911451i</v>
      </c>
      <c r="AA74" s="17">
        <f t="shared" si="71"/>
        <v>1.0000229821610893</v>
      </c>
      <c r="AB74" s="17">
        <f t="shared" si="72"/>
        <v>6.7918320459329313E-3</v>
      </c>
      <c r="AC74" s="66" t="str">
        <f t="shared" si="73"/>
        <v>1.95502556545482-25.4496183498822i</v>
      </c>
      <c r="AD74" s="64">
        <f t="shared" si="74"/>
        <v>28.139178858022266</v>
      </c>
      <c r="AE74" s="61">
        <f t="shared" si="75"/>
        <v>-85.607197417396122</v>
      </c>
      <c r="AF74" s="31" t="str">
        <f t="shared" si="60"/>
        <v>-0.000495863624968664</v>
      </c>
      <c r="AG74" s="31" t="str">
        <f t="shared" si="61"/>
        <v>0.0000503525600223332i</v>
      </c>
      <c r="AH74" s="31">
        <f t="shared" si="76"/>
        <v>5.0352560022333203E-5</v>
      </c>
      <c r="AI74" s="31">
        <f t="shared" si="77"/>
        <v>1.5707963267948966</v>
      </c>
      <c r="AJ74" s="31" t="str">
        <f t="shared" si="62"/>
        <v>1+0.000196460210113804i</v>
      </c>
      <c r="AK74" s="31">
        <f t="shared" si="78"/>
        <v>1.000000019298307</v>
      </c>
      <c r="AL74" s="31">
        <f t="shared" si="79"/>
        <v>1.9646020758623775E-4</v>
      </c>
      <c r="AM74" s="31" t="str">
        <f t="shared" si="63"/>
        <v>1+0.0602259688559984i</v>
      </c>
      <c r="AN74" s="31">
        <f t="shared" si="80"/>
        <v>1.0018119420952436</v>
      </c>
      <c r="AO74" s="31">
        <f t="shared" si="81"/>
        <v>6.0153310361837201E-2</v>
      </c>
      <c r="AP74" s="58" t="str">
        <f t="shared" si="82"/>
        <v>-0.591160580517642+9.84794959127156i</v>
      </c>
      <c r="AQ74" s="49">
        <f t="shared" si="83"/>
        <v>19.882537822618257</v>
      </c>
      <c r="AR74" s="61">
        <f t="shared" si="84"/>
        <v>93.435274466736871</v>
      </c>
      <c r="AS74" s="58" t="str">
        <f t="shared" si="85"/>
        <v>249.470824578538+34.297804375915i</v>
      </c>
      <c r="AT74" s="64">
        <f t="shared" si="86"/>
        <v>48.021716680640509</v>
      </c>
      <c r="AU74" s="61">
        <f t="shared" si="87"/>
        <v>7.8280770493407514</v>
      </c>
    </row>
    <row r="75" spans="1:47" x14ac:dyDescent="0.25">
      <c r="N75" s="10">
        <v>57</v>
      </c>
      <c r="O75" s="50">
        <f t="shared" si="64"/>
        <v>37.15352290971726</v>
      </c>
      <c r="P75" s="48" t="str">
        <f t="shared" si="55"/>
        <v>304.285714285714</v>
      </c>
      <c r="Q75" s="17" t="str">
        <f t="shared" si="56"/>
        <v>1+12.1556828634172i</v>
      </c>
      <c r="R75" s="17">
        <f t="shared" si="65"/>
        <v>12.196746528315433</v>
      </c>
      <c r="S75" s="17">
        <f t="shared" si="66"/>
        <v>1.4887151120584619</v>
      </c>
      <c r="T75" s="17" t="str">
        <f t="shared" si="57"/>
        <v>1+0.0002521178667968i</v>
      </c>
      <c r="U75" s="17">
        <f t="shared" si="67"/>
        <v>1.0000000317817088</v>
      </c>
      <c r="V75" s="17">
        <f t="shared" si="68"/>
        <v>2.5211786145497571E-4</v>
      </c>
      <c r="W75" s="31" t="str">
        <f t="shared" si="58"/>
        <v>1-0.00078786833374i</v>
      </c>
      <c r="X75" s="17">
        <f t="shared" si="69"/>
        <v>1.0000003103682076</v>
      </c>
      <c r="Y75" s="17">
        <f t="shared" si="70"/>
        <v>-7.8786817072051373E-4</v>
      </c>
      <c r="Z75" s="31" t="str">
        <f t="shared" si="59"/>
        <v>0.999999913327507+0.00695014043004982i</v>
      </c>
      <c r="AA75" s="17">
        <f t="shared" si="71"/>
        <v>1.0000240652639412</v>
      </c>
      <c r="AB75" s="17">
        <f t="shared" si="72"/>
        <v>6.9500291280751155E-3</v>
      </c>
      <c r="AC75" s="66" t="str">
        <f t="shared" si="73"/>
        <v>1.85924520341857-24.8781354925245i</v>
      </c>
      <c r="AD75" s="64">
        <f t="shared" si="74"/>
        <v>27.940545245809002</v>
      </c>
      <c r="AE75" s="61">
        <f t="shared" si="75"/>
        <v>-85.725996386420704</v>
      </c>
      <c r="AF75" s="31" t="str">
        <f t="shared" si="60"/>
        <v>-0.000495863624968664</v>
      </c>
      <c r="AG75" s="31" t="str">
        <f t="shared" si="61"/>
        <v>0.0000515254218142496i</v>
      </c>
      <c r="AH75" s="31">
        <f t="shared" si="76"/>
        <v>5.1525421814249598E-5</v>
      </c>
      <c r="AI75" s="31">
        <f t="shared" si="77"/>
        <v>1.5707963267948966</v>
      </c>
      <c r="AJ75" s="31" t="str">
        <f t="shared" si="62"/>
        <v>1+0.00020103635627146i</v>
      </c>
      <c r="AK75" s="31">
        <f t="shared" si="78"/>
        <v>1.0000000202078081</v>
      </c>
      <c r="AL75" s="31">
        <f t="shared" si="79"/>
        <v>2.0103635356312399E-4</v>
      </c>
      <c r="AM75" s="31" t="str">
        <f t="shared" si="63"/>
        <v>1+0.0616288118836621i</v>
      </c>
      <c r="AN75" s="31">
        <f t="shared" si="80"/>
        <v>1.0018972554379975</v>
      </c>
      <c r="AO75" s="31">
        <f t="shared" si="81"/>
        <v>6.15509648648533E-2</v>
      </c>
      <c r="AP75" s="58" t="str">
        <f t="shared" si="82"/>
        <v>-0.591160579442322+9.62378823958266i</v>
      </c>
      <c r="AQ75" s="49">
        <f t="shared" si="83"/>
        <v>19.683277465243762</v>
      </c>
      <c r="AR75" s="61">
        <f t="shared" si="84"/>
        <v>93.515091977126247</v>
      </c>
      <c r="AS75" s="58" t="str">
        <f t="shared" si="85"/>
        <v>238.322795303923+32.5999551163655i</v>
      </c>
      <c r="AT75" s="64">
        <f t="shared" si="86"/>
        <v>47.623822711052753</v>
      </c>
      <c r="AU75" s="61">
        <f t="shared" si="87"/>
        <v>7.7890955907055446</v>
      </c>
    </row>
    <row r="76" spans="1:47" x14ac:dyDescent="0.25">
      <c r="N76" s="10">
        <v>58</v>
      </c>
      <c r="O76" s="50">
        <f t="shared" si="64"/>
        <v>38.018939632056139</v>
      </c>
      <c r="P76" s="48" t="str">
        <f t="shared" si="55"/>
        <v>304.285714285714</v>
      </c>
      <c r="Q76" s="17" t="str">
        <f t="shared" si="56"/>
        <v>1+12.438825090522i</v>
      </c>
      <c r="R76" s="17">
        <f t="shared" si="65"/>
        <v>12.478957073113108</v>
      </c>
      <c r="S76" s="17">
        <f t="shared" si="66"/>
        <v>1.4905754104263444</v>
      </c>
      <c r="T76" s="17" t="str">
        <f t="shared" si="57"/>
        <v>1+0.000257990446321938i</v>
      </c>
      <c r="U76" s="17">
        <f t="shared" si="67"/>
        <v>1.0000000332795347</v>
      </c>
      <c r="V76" s="17">
        <f t="shared" si="68"/>
        <v>2.5799044059807011E-4</v>
      </c>
      <c r="W76" s="31" t="str">
        <f t="shared" si="58"/>
        <v>1-0.000806220144756056i</v>
      </c>
      <c r="X76" s="17">
        <f t="shared" si="69"/>
        <v>1.0000003249954081</v>
      </c>
      <c r="Y76" s="17">
        <f t="shared" si="70"/>
        <v>-8.0621997007753235E-4</v>
      </c>
      <c r="Z76" s="31" t="str">
        <f t="shared" si="59"/>
        <v>0.999999909242758+0.00711202999743713i</v>
      </c>
      <c r="AA76" s="17">
        <f t="shared" si="71"/>
        <v>1.0000251994105993</v>
      </c>
      <c r="AB76" s="17">
        <f t="shared" si="72"/>
        <v>7.1119107353848354E-3</v>
      </c>
      <c r="AC76" s="66" t="str">
        <f t="shared" si="73"/>
        <v>1.76771903536752-24.3191384477028i</v>
      </c>
      <c r="AD76" s="64">
        <f t="shared" si="74"/>
        <v>27.741849688492177</v>
      </c>
      <c r="AE76" s="61">
        <f t="shared" si="75"/>
        <v>-85.842573771064977</v>
      </c>
      <c r="AF76" s="31" t="str">
        <f t="shared" si="60"/>
        <v>-0.000495863624968664</v>
      </c>
      <c r="AG76" s="31" t="str">
        <f t="shared" si="61"/>
        <v>0.0000527256030668315i</v>
      </c>
      <c r="AH76" s="31">
        <f t="shared" si="76"/>
        <v>5.27256030668315E-5</v>
      </c>
      <c r="AI76" s="31">
        <f t="shared" si="77"/>
        <v>1.5707963267948966</v>
      </c>
      <c r="AJ76" s="31" t="str">
        <f t="shared" si="62"/>
        <v>1+0.000205719094566242i</v>
      </c>
      <c r="AK76" s="31">
        <f t="shared" si="78"/>
        <v>1.0000000211601727</v>
      </c>
      <c r="AL76" s="31">
        <f t="shared" si="79"/>
        <v>2.0571909166420768E-4</v>
      </c>
      <c r="AM76" s="31" t="str">
        <f t="shared" si="63"/>
        <v>1+0.0630643313231403i</v>
      </c>
      <c r="AN76" s="31">
        <f t="shared" si="80"/>
        <v>1.0019865816892135</v>
      </c>
      <c r="AO76" s="31">
        <f t="shared" si="81"/>
        <v>6.2980925669093843E-2</v>
      </c>
      <c r="AP76" s="58" t="str">
        <f t="shared" si="82"/>
        <v>-0.59116057831632+9.40472954780423i</v>
      </c>
      <c r="AQ76" s="49">
        <f t="shared" si="83"/>
        <v>19.484051831160368</v>
      </c>
      <c r="AR76" s="61">
        <f t="shared" si="84"/>
        <v>93.59675439494859</v>
      </c>
      <c r="AS76" s="58" t="str">
        <f t="shared" si="85"/>
        <v>227.669914129004+31.0014353930355i</v>
      </c>
      <c r="AT76" s="64">
        <f t="shared" si="86"/>
        <v>47.225901519652552</v>
      </c>
      <c r="AU76" s="61">
        <f t="shared" si="87"/>
        <v>7.7541806238836024</v>
      </c>
    </row>
    <row r="77" spans="1:47" x14ac:dyDescent="0.25">
      <c r="N77" s="10">
        <v>59</v>
      </c>
      <c r="O77" s="50">
        <f t="shared" si="64"/>
        <v>38.904514499428053</v>
      </c>
      <c r="P77" s="48" t="str">
        <f t="shared" si="55"/>
        <v>304.285714285714</v>
      </c>
      <c r="Q77" s="17" t="str">
        <f t="shared" si="56"/>
        <v>1+12.7285625473372i</v>
      </c>
      <c r="R77" s="17">
        <f t="shared" si="65"/>
        <v>12.767783853178095</v>
      </c>
      <c r="S77" s="17">
        <f t="shared" si="66"/>
        <v>1.4923939010682725</v>
      </c>
      <c r="T77" s="17" t="str">
        <f t="shared" si="57"/>
        <v>1+0.000263999815796623i</v>
      </c>
      <c r="U77" s="17">
        <f t="shared" si="67"/>
        <v>1.0000000348479507</v>
      </c>
      <c r="V77" s="17">
        <f t="shared" si="68"/>
        <v>2.639998096633881E-4</v>
      </c>
      <c r="W77" s="31" t="str">
        <f t="shared" si="58"/>
        <v>1-0.000824999424364448i</v>
      </c>
      <c r="X77" s="17">
        <f t="shared" si="69"/>
        <v>1.0000003403119673</v>
      </c>
      <c r="Y77" s="17">
        <f t="shared" si="70"/>
        <v>-8.2499923719304123E-4</v>
      </c>
      <c r="Z77" s="31" t="str">
        <f t="shared" si="59"/>
        <v>0.999999904965501+0.00727769045726792i</v>
      </c>
      <c r="AA77" s="17">
        <f t="shared" si="71"/>
        <v>1.0000263870065642</v>
      </c>
      <c r="AB77" s="17">
        <f t="shared" si="72"/>
        <v>7.2775626658586178E-3</v>
      </c>
      <c r="AC77" s="66" t="str">
        <f t="shared" si="73"/>
        <v>1.68026053213639-23.7723772792685i</v>
      </c>
      <c r="AD77" s="64">
        <f t="shared" si="74"/>
        <v>27.543094898218069</v>
      </c>
      <c r="AE77" s="61">
        <f t="shared" si="75"/>
        <v>-85.956988427678922</v>
      </c>
      <c r="AF77" s="31" t="str">
        <f t="shared" si="60"/>
        <v>-0.000495863624968664</v>
      </c>
      <c r="AG77" s="31" t="str">
        <f t="shared" si="61"/>
        <v>0.0000539537401320653i</v>
      </c>
      <c r="AH77" s="31">
        <f t="shared" si="76"/>
        <v>5.3953740132065299E-5</v>
      </c>
      <c r="AI77" s="31">
        <f t="shared" si="77"/>
        <v>1.5707963267948966</v>
      </c>
      <c r="AJ77" s="31" t="str">
        <f t="shared" si="62"/>
        <v>1+0.000210510907847977i</v>
      </c>
      <c r="AK77" s="31">
        <f t="shared" si="78"/>
        <v>1.0000000221574208</v>
      </c>
      <c r="AL77" s="31">
        <f t="shared" si="79"/>
        <v>2.1051090473839121E-4</v>
      </c>
      <c r="AM77" s="31" t="str">
        <f t="shared" si="63"/>
        <v>1+0.0645332883058411i</v>
      </c>
      <c r="AN77" s="31">
        <f t="shared" si="80"/>
        <v>1.0020801092225935</v>
      </c>
      <c r="AO77" s="31">
        <f t="shared" si="81"/>
        <v>6.4443927553773303E-2</v>
      </c>
      <c r="AP77" s="58" t="str">
        <f t="shared" si="82"/>
        <v>-0.591160577137251+9.19065736811832i</v>
      </c>
      <c r="AQ77" s="49">
        <f t="shared" si="83"/>
        <v>19.284862543855414</v>
      </c>
      <c r="AR77" s="61">
        <f t="shared" si="84"/>
        <v>93.680303677695051</v>
      </c>
      <c r="AS77" s="58" t="str">
        <f t="shared" si="85"/>
        <v>217.490470613479+29.4959911123746i</v>
      </c>
      <c r="AT77" s="64">
        <f t="shared" si="86"/>
        <v>46.827957442073483</v>
      </c>
      <c r="AU77" s="61">
        <f t="shared" si="87"/>
        <v>7.7233152500161459</v>
      </c>
    </row>
    <row r="78" spans="1:47" x14ac:dyDescent="0.25">
      <c r="N78" s="10">
        <v>60</v>
      </c>
      <c r="O78" s="50">
        <f t="shared" si="64"/>
        <v>39.810717055349755</v>
      </c>
      <c r="P78" s="48" t="str">
        <f t="shared" si="55"/>
        <v>304.285714285714</v>
      </c>
      <c r="Q78" s="17" t="str">
        <f t="shared" si="56"/>
        <v>1+13.0250488564974i</v>
      </c>
      <c r="R78" s="17">
        <f t="shared" si="65"/>
        <v>13.063380026399914</v>
      </c>
      <c r="S78" s="17">
        <f t="shared" si="66"/>
        <v>1.494171500036559</v>
      </c>
      <c r="T78" s="17" t="str">
        <f t="shared" si="57"/>
        <v>1+0.000270149161468094i</v>
      </c>
      <c r="U78" s="17">
        <f t="shared" si="67"/>
        <v>1.0000000364902841</v>
      </c>
      <c r="V78" s="17">
        <f t="shared" si="68"/>
        <v>2.7014915489621442E-4</v>
      </c>
      <c r="W78" s="31" t="str">
        <f t="shared" si="58"/>
        <v>1-0.000844216129587793i</v>
      </c>
      <c r="X78" s="17">
        <f t="shared" si="69"/>
        <v>1.0000003563503732</v>
      </c>
      <c r="Y78" s="17">
        <f t="shared" si="70"/>
        <v>-8.4421592903002115E-4</v>
      </c>
      <c r="Z78" s="31" t="str">
        <f t="shared" si="59"/>
        <v>0.999999900486663+0.00744720964491077i</v>
      </c>
      <c r="AA78" s="17">
        <f t="shared" si="71"/>
        <v>1.0000276305706914</v>
      </c>
      <c r="AB78" s="17">
        <f t="shared" si="72"/>
        <v>7.4470727141529936E-3</v>
      </c>
      <c r="AC78" s="66" t="str">
        <f t="shared" si="73"/>
        <v>1.5966911312415-23.23760550265i</v>
      </c>
      <c r="AD78" s="64">
        <f t="shared" si="74"/>
        <v>27.344283466270799</v>
      </c>
      <c r="AE78" s="61">
        <f t="shared" si="75"/>
        <v>-86.069298260390696</v>
      </c>
      <c r="AF78" s="31" t="str">
        <f t="shared" si="60"/>
        <v>-0.000495863624968664</v>
      </c>
      <c r="AG78" s="31" t="str">
        <f t="shared" si="61"/>
        <v>0.0000552104841844793i</v>
      </c>
      <c r="AH78" s="31">
        <f t="shared" si="76"/>
        <v>5.5210484184479302E-5</v>
      </c>
      <c r="AI78" s="31">
        <f t="shared" si="77"/>
        <v>1.5707963267948966</v>
      </c>
      <c r="AJ78" s="31" t="str">
        <f t="shared" si="62"/>
        <v>1+0.000215414336799494i</v>
      </c>
      <c r="AK78" s="31">
        <f t="shared" si="78"/>
        <v>1.0000000232016679</v>
      </c>
      <c r="AL78" s="31">
        <f t="shared" si="79"/>
        <v>2.1541433346751278E-4</v>
      </c>
      <c r="AM78" s="31" t="str">
        <f t="shared" si="63"/>
        <v>1+0.0660364616922006i</v>
      </c>
      <c r="AN78" s="31">
        <f t="shared" si="80"/>
        <v>1.0021780352177079</v>
      </c>
      <c r="AO78" s="31">
        <f t="shared" si="81"/>
        <v>6.5940721156756865E-2</v>
      </c>
      <c r="AP78" s="58" t="str">
        <f t="shared" si="82"/>
        <v>-0.591160575902615+8.98145819662172i</v>
      </c>
      <c r="AQ78" s="49">
        <f t="shared" si="83"/>
        <v>19.085711302085258</v>
      </c>
      <c r="AR78" s="61">
        <f t="shared" si="84"/>
        <v>93.76578268817687</v>
      </c>
      <c r="AS78" s="58" t="str">
        <f t="shared" si="85"/>
        <v>207.763681562955+28.0777708997065i</v>
      </c>
      <c r="AT78" s="64">
        <f t="shared" si="86"/>
        <v>46.429994768356067</v>
      </c>
      <c r="AU78" s="61">
        <f t="shared" si="87"/>
        <v>7.6964844277861451</v>
      </c>
    </row>
    <row r="79" spans="1:47" x14ac:dyDescent="0.25">
      <c r="N79" s="10">
        <v>61</v>
      </c>
      <c r="O79" s="50">
        <f t="shared" si="64"/>
        <v>40.738027780411279</v>
      </c>
      <c r="P79" s="48" t="str">
        <f t="shared" si="55"/>
        <v>304.285714285714</v>
      </c>
      <c r="Q79" s="17" t="str">
        <f t="shared" si="56"/>
        <v>1+13.3284412189682i</v>
      </c>
      <c r="R79" s="17">
        <f t="shared" si="65"/>
        <v>13.365902338693431</v>
      </c>
      <c r="S79" s="17">
        <f t="shared" si="66"/>
        <v>1.4959091048769169</v>
      </c>
      <c r="T79" s="17" t="str">
        <f t="shared" si="57"/>
        <v>1+0.000276441743800822i</v>
      </c>
      <c r="U79" s="17">
        <f t="shared" si="67"/>
        <v>1.000000038210018</v>
      </c>
      <c r="V79" s="17">
        <f t="shared" si="68"/>
        <v>2.7644173675892616E-4</v>
      </c>
      <c r="W79" s="31" t="str">
        <f t="shared" si="58"/>
        <v>1-0.000863880449377571i</v>
      </c>
      <c r="X79" s="17">
        <f t="shared" si="69"/>
        <v>1.0000003731446458</v>
      </c>
      <c r="Y79" s="17">
        <f t="shared" si="70"/>
        <v>-8.6388023447605091E-4</v>
      </c>
      <c r="Z79" s="31" t="str">
        <f t="shared" si="59"/>
        <v>0.999999895796744+0.00762067744168284i</v>
      </c>
      <c r="AA79" s="17">
        <f t="shared" si="71"/>
        <v>1.0000289327405327</v>
      </c>
      <c r="AB79" s="17">
        <f t="shared" si="72"/>
        <v>7.620530717961667E-3</v>
      </c>
      <c r="AC79" s="66" t="str">
        <f t="shared" si="73"/>
        <v>1.51683991526895-22.7145801498966i</v>
      </c>
      <c r="AD79" s="64">
        <f t="shared" si="74"/>
        <v>27.145417868152979</v>
      </c>
      <c r="AE79" s="61">
        <f t="shared" si="75"/>
        <v>-86.179560239071876</v>
      </c>
      <c r="AF79" s="31" t="str">
        <f t="shared" si="60"/>
        <v>-0.000495863624968664</v>
      </c>
      <c r="AG79" s="31" t="str">
        <f t="shared" si="61"/>
        <v>0.0000564965015664051i</v>
      </c>
      <c r="AH79" s="31">
        <f t="shared" si="76"/>
        <v>5.6496501566405097E-5</v>
      </c>
      <c r="AI79" s="31">
        <f t="shared" si="77"/>
        <v>1.5707963267948966</v>
      </c>
      <c r="AJ79" s="31" t="str">
        <f t="shared" si="62"/>
        <v>1+0.000220431981283729i</v>
      </c>
      <c r="AK79" s="31">
        <f t="shared" si="78"/>
        <v>1.000000024295129</v>
      </c>
      <c r="AL79" s="31">
        <f t="shared" si="79"/>
        <v>2.2043197771344679E-4</v>
      </c>
      <c r="AM79" s="31" t="str">
        <f t="shared" si="63"/>
        <v>1+0.0675746484846454i</v>
      </c>
      <c r="AN79" s="31">
        <f t="shared" si="80"/>
        <v>1.0022805660681162</v>
      </c>
      <c r="AO79" s="31">
        <f t="shared" si="81"/>
        <v>6.7472073255489609E-2</v>
      </c>
      <c r="AP79" s="58" t="str">
        <f t="shared" si="82"/>
        <v>-0.591160574609794+8.77702111314464i</v>
      </c>
      <c r="AQ79" s="49">
        <f t="shared" si="83"/>
        <v>18.886599883303685</v>
      </c>
      <c r="AR79" s="61">
        <f t="shared" si="84"/>
        <v>93.853235210544355</v>
      </c>
      <c r="AS79" s="58" t="str">
        <f t="shared" si="85"/>
        <v>198.469653595957+26.7413002150092i</v>
      </c>
      <c r="AT79" s="64">
        <f t="shared" si="86"/>
        <v>46.032017751456664</v>
      </c>
      <c r="AU79" s="61">
        <f t="shared" si="87"/>
        <v>7.6736749714724892</v>
      </c>
    </row>
    <row r="80" spans="1:47" x14ac:dyDescent="0.25">
      <c r="N80" s="10">
        <v>62</v>
      </c>
      <c r="O80" s="50">
        <f t="shared" si="64"/>
        <v>41.686938347033561</v>
      </c>
      <c r="P80" s="48" t="str">
        <f t="shared" si="55"/>
        <v>304.285714285714</v>
      </c>
      <c r="Q80" s="17" t="str">
        <f t="shared" si="56"/>
        <v>1+13.6389004973962i</v>
      </c>
      <c r="R80" s="17">
        <f t="shared" si="65"/>
        <v>13.675511207186164</v>
      </c>
      <c r="S80" s="17">
        <f t="shared" si="66"/>
        <v>1.4976075948965624</v>
      </c>
      <c r="T80" s="17" t="str">
        <f t="shared" si="57"/>
        <v>1+0.000282880899205254i</v>
      </c>
      <c r="U80" s="17">
        <f t="shared" si="67"/>
        <v>1.0000000400108007</v>
      </c>
      <c r="V80" s="17">
        <f t="shared" si="68"/>
        <v>2.8288089165972669E-4</v>
      </c>
      <c r="W80" s="31" t="str">
        <f t="shared" si="58"/>
        <v>1-0.000884002810016418i</v>
      </c>
      <c r="X80" s="17">
        <f t="shared" si="69"/>
        <v>1.0000003907304078</v>
      </c>
      <c r="Y80" s="17">
        <f t="shared" si="70"/>
        <v>-8.8400257974529544E-4</v>
      </c>
      <c r="Z80" s="31" t="str">
        <f t="shared" si="59"/>
        <v>0.999999890885796+0.00779818582250609i</v>
      </c>
      <c r="AA80" s="17">
        <f t="shared" si="71"/>
        <v>1.0000302962779308</v>
      </c>
      <c r="AB80" s="17">
        <f t="shared" si="72"/>
        <v>7.7980286054635563E-3</v>
      </c>
      <c r="AC80" s="66" t="str">
        <f t="shared" si="73"/>
        <v>1.44054330158511-22.2030618242621i</v>
      </c>
      <c r="AD80" s="64">
        <f t="shared" si="74"/>
        <v>26.94650046845743</v>
      </c>
      <c r="AE80" s="61">
        <f t="shared" si="75"/>
        <v>-86.287830417627347</v>
      </c>
      <c r="AF80" s="31" t="str">
        <f t="shared" si="60"/>
        <v>-0.000495863624968664</v>
      </c>
      <c r="AG80" s="31" t="str">
        <f t="shared" si="61"/>
        <v>0.000057812474141281i</v>
      </c>
      <c r="AH80" s="31">
        <f t="shared" si="76"/>
        <v>5.7812474141281001E-5</v>
      </c>
      <c r="AI80" s="31">
        <f t="shared" si="77"/>
        <v>1.5707963267948966</v>
      </c>
      <c r="AJ80" s="31" t="str">
        <f t="shared" si="62"/>
        <v>1+0.000225566501722202i</v>
      </c>
      <c r="AK80" s="31">
        <f t="shared" si="78"/>
        <v>1.0000000254401231</v>
      </c>
      <c r="AL80" s="31">
        <f t="shared" si="79"/>
        <v>2.2556649789657568E-4</v>
      </c>
      <c r="AM80" s="31" t="str">
        <f t="shared" si="63"/>
        <v>1+0.0691486642501731i</v>
      </c>
      <c r="AN80" s="31">
        <f t="shared" si="80"/>
        <v>1.0023879178080626</v>
      </c>
      <c r="AO80" s="31">
        <f t="shared" si="81"/>
        <v>6.9038767048310301E-2</v>
      </c>
      <c r="AP80" s="58" t="str">
        <f t="shared" si="82"/>
        <v>-0.591160573256047+8.57723772243926i</v>
      </c>
      <c r="AQ80" s="49">
        <f t="shared" si="83"/>
        <v>18.687530147240576</v>
      </c>
      <c r="AR80" s="61">
        <f t="shared" si="84"/>
        <v>93.942705966326031</v>
      </c>
      <c r="AS80" s="58" t="str">
        <f t="shared" si="85"/>
        <v>189.589347028747+25.4814571032332i</v>
      </c>
      <c r="AT80" s="64">
        <f t="shared" si="86"/>
        <v>45.634030615698016</v>
      </c>
      <c r="AU80" s="61">
        <f t="shared" si="87"/>
        <v>7.6548755486986702</v>
      </c>
    </row>
    <row r="81" spans="14:47" x14ac:dyDescent="0.25">
      <c r="N81" s="10">
        <v>63</v>
      </c>
      <c r="O81" s="50">
        <f t="shared" si="64"/>
        <v>42.657951880159267</v>
      </c>
      <c r="P81" s="48" t="str">
        <f t="shared" si="55"/>
        <v>304.285714285714</v>
      </c>
      <c r="Q81" s="17" t="str">
        <f t="shared" si="56"/>
        <v>1+13.9565913014i</v>
      </c>
      <c r="R81" s="17">
        <f t="shared" si="65"/>
        <v>13.992370805346539</v>
      </c>
      <c r="S81" s="17">
        <f t="shared" si="66"/>
        <v>1.4992678314360695</v>
      </c>
      <c r="T81" s="17" t="str">
        <f t="shared" si="57"/>
        <v>1+0.000289470041806814i</v>
      </c>
      <c r="U81" s="17">
        <f t="shared" si="67"/>
        <v>1.0000000418964516</v>
      </c>
      <c r="V81" s="17">
        <f t="shared" si="68"/>
        <v>2.8947003372163579E-4</v>
      </c>
      <c r="W81" s="31" t="str">
        <f t="shared" si="58"/>
        <v>1-0.000904593880646295i</v>
      </c>
      <c r="X81" s="17">
        <f t="shared" si="69"/>
        <v>1.0000004091449608</v>
      </c>
      <c r="Y81" s="17">
        <f t="shared" si="70"/>
        <v>-9.045936339063472E-4</v>
      </c>
      <c r="Z81" s="31" t="str">
        <f t="shared" si="59"/>
        <v>0.999999885743402+0.0079798289046736i</v>
      </c>
      <c r="AA81" s="17">
        <f t="shared" si="71"/>
        <v>1.0000317240748742</v>
      </c>
      <c r="AB81" s="17">
        <f t="shared" si="72"/>
        <v>7.9796604438660372E-3</v>
      </c>
      <c r="AC81" s="66" t="str">
        <f t="shared" si="73"/>
        <v>1.36764474312462-21.7028147450992i</v>
      </c>
      <c r="AD81" s="64">
        <f t="shared" si="74"/>
        <v>26.747533525536266</v>
      </c>
      <c r="AE81" s="61">
        <f t="shared" si="75"/>
        <v>-86.39416395256859</v>
      </c>
      <c r="AF81" s="31" t="str">
        <f t="shared" si="60"/>
        <v>-0.000495863624968664</v>
      </c>
      <c r="AG81" s="31" t="str">
        <f t="shared" si="61"/>
        <v>0.0000591590996551851i</v>
      </c>
      <c r="AH81" s="31">
        <f t="shared" si="76"/>
        <v>5.9159099655185099E-5</v>
      </c>
      <c r="AI81" s="31">
        <f t="shared" si="77"/>
        <v>1.5707963267948966</v>
      </c>
      <c r="AJ81" s="31" t="str">
        <f t="shared" si="62"/>
        <v>1+0.000230820620505614i</v>
      </c>
      <c r="AK81" s="31">
        <f t="shared" si="78"/>
        <v>1.0000000266390789</v>
      </c>
      <c r="AL81" s="31">
        <f t="shared" si="79"/>
        <v>2.3082061640638157E-4</v>
      </c>
      <c r="AM81" s="31" t="str">
        <f t="shared" si="63"/>
        <v>1+0.0707593435527768i</v>
      </c>
      <c r="AN81" s="31">
        <f t="shared" si="80"/>
        <v>1.0025003165585635</v>
      </c>
      <c r="AO81" s="31">
        <f t="shared" si="81"/>
        <v>7.0641602435740816E-2</v>
      </c>
      <c r="AP81" s="58" t="str">
        <f t="shared" si="82"/>
        <v>-0.591160571838492+8.38200209670747i</v>
      </c>
      <c r="AQ81" s="49">
        <f t="shared" si="83"/>
        <v>18.488504039637302</v>
      </c>
      <c r="AR81" s="61">
        <f t="shared" si="84"/>
        <v>94.034240630464325</v>
      </c>
      <c r="AS81" s="58" t="str">
        <f t="shared" si="85"/>
        <v>181.104541049458+24.2934494796392i</v>
      </c>
      <c r="AT81" s="64">
        <f t="shared" si="86"/>
        <v>45.236037565173575</v>
      </c>
      <c r="AU81" s="61">
        <f t="shared" si="87"/>
        <v>7.6400766778957347</v>
      </c>
    </row>
    <row r="82" spans="14:47" x14ac:dyDescent="0.25">
      <c r="N82" s="10">
        <v>64</v>
      </c>
      <c r="O82" s="50">
        <f t="shared" si="64"/>
        <v>43.651583224016633</v>
      </c>
      <c r="P82" s="48" t="str">
        <f t="shared" si="55"/>
        <v>304.285714285714</v>
      </c>
      <c r="Q82" s="17" t="str">
        <f t="shared" si="56"/>
        <v>1+14.2816820748491i</v>
      </c>
      <c r="R82" s="17">
        <f t="shared" si="65"/>
        <v>14.316649150100243</v>
      </c>
      <c r="S82" s="17">
        <f t="shared" si="66"/>
        <v>1.5008906581442867</v>
      </c>
      <c r="T82" s="17" t="str">
        <f t="shared" si="57"/>
        <v>1+0.000296212665256129i</v>
      </c>
      <c r="U82" s="17">
        <f t="shared" si="67"/>
        <v>1.0000000438709706</v>
      </c>
      <c r="V82" s="17">
        <f t="shared" si="68"/>
        <v>2.9621265659270454E-4</v>
      </c>
      <c r="W82" s="31" t="str">
        <f t="shared" si="58"/>
        <v>1-0.000925664578925406i</v>
      </c>
      <c r="X82" s="17">
        <f t="shared" si="69"/>
        <v>1.0000004284273645</v>
      </c>
      <c r="Y82" s="17">
        <f t="shared" si="70"/>
        <v>-9.2566431453879462E-4</v>
      </c>
      <c r="Z82" s="31" t="str">
        <f t="shared" si="59"/>
        <v>0.999999880358654+0.00816570299775189i</v>
      </c>
      <c r="AA82" s="17">
        <f t="shared" si="71"/>
        <v>1.0000332191596286</v>
      </c>
      <c r="AB82" s="17">
        <f t="shared" si="72"/>
        <v>8.1655224890682596E-3</v>
      </c>
      <c r="AC82" s="66" t="str">
        <f t="shared" si="73"/>
        <v>1.29799444000068-21.2136067837907i</v>
      </c>
      <c r="AD82" s="64">
        <f t="shared" si="74"/>
        <v>26.548519195974194</v>
      </c>
      <c r="AE82" s="61">
        <f t="shared" si="75"/>
        <v>-86.498615121830667</v>
      </c>
      <c r="AF82" s="31" t="str">
        <f t="shared" si="60"/>
        <v>-0.000495863624968664</v>
      </c>
      <c r="AG82" s="31" t="str">
        <f t="shared" si="61"/>
        <v>0.0000605370921067898i</v>
      </c>
      <c r="AH82" s="31">
        <f t="shared" si="76"/>
        <v>6.0537092106789799E-5</v>
      </c>
      <c r="AI82" s="31">
        <f t="shared" si="77"/>
        <v>1.5707963267948966</v>
      </c>
      <c r="AJ82" s="31" t="str">
        <f t="shared" si="62"/>
        <v>1+0.00023619712343729i</v>
      </c>
      <c r="AK82" s="31">
        <f t="shared" si="78"/>
        <v>1.0000000278945402</v>
      </c>
      <c r="AL82" s="31">
        <f t="shared" si="79"/>
        <v>2.361971190448833E-4</v>
      </c>
      <c r="AM82" s="31" t="str">
        <f t="shared" si="63"/>
        <v>1+0.0724075403959427i</v>
      </c>
      <c r="AN82" s="31">
        <f t="shared" si="80"/>
        <v>1.0026179989937294</v>
      </c>
      <c r="AO82" s="31">
        <f t="shared" si="81"/>
        <v>7.2281396301302578E-2</v>
      </c>
      <c r="AP82" s="58" t="str">
        <f t="shared" si="82"/>
        <v>-0.591160570354134+8.19121071943627i</v>
      </c>
      <c r="AQ82" s="49">
        <f t="shared" si="83"/>
        <v>18.289523596144022</v>
      </c>
      <c r="AR82" s="61">
        <f t="shared" si="84"/>
        <v>94.12788584732273</v>
      </c>
      <c r="AS82" s="58" t="str">
        <f t="shared" si="85"/>
        <v>172.997800151825+23.1727938562763i</v>
      </c>
      <c r="AT82" s="64">
        <f t="shared" si="86"/>
        <v>44.838042792118216</v>
      </c>
      <c r="AU82" s="61">
        <f t="shared" si="87"/>
        <v>7.6292707254920726</v>
      </c>
    </row>
    <row r="83" spans="14:47" x14ac:dyDescent="0.25">
      <c r="N83" s="10">
        <v>65</v>
      </c>
      <c r="O83" s="50">
        <f t="shared" si="64"/>
        <v>44.668359215096324</v>
      </c>
      <c r="P83" s="48" t="str">
        <f t="shared" ref="P83:P146" si="88">COMPLEX(Adc,0)</f>
        <v>304.285714285714</v>
      </c>
      <c r="Q83" s="17" t="str">
        <f t="shared" ref="Q83:Q146" si="89">IMSUM(COMPLEX(1,0),IMDIV(COMPLEX(0,2*PI()*O83),COMPLEX(wp_lf,0)))</f>
        <v>1+14.6143451851748i</v>
      </c>
      <c r="R83" s="17">
        <f t="shared" si="65"/>
        <v>14.648518190978972</v>
      </c>
      <c r="S83" s="17">
        <f t="shared" si="66"/>
        <v>1.5024769012556471</v>
      </c>
      <c r="T83" s="17" t="str">
        <f t="shared" ref="T83:T146" si="90">IMSUM(COMPLEX(1,0),IMDIV(COMPLEX(0,2*PI()*O83),COMPLEX(wz_esr,0)))</f>
        <v>1+0.000303112344581402i</v>
      </c>
      <c r="U83" s="17">
        <f t="shared" si="67"/>
        <v>1.0000000459385456</v>
      </c>
      <c r="V83" s="17">
        <f t="shared" si="68"/>
        <v>3.0311233529837546E-4</v>
      </c>
      <c r="W83" s="31" t="str">
        <f t="shared" ref="W83:W146" si="91">IMSUB(COMPLEX(1,0),IMDIV(COMPLEX(0,2*PI()*O83),COMPLEX(wz_rhp,0)))</f>
        <v>1-0.000947226076816882i</v>
      </c>
      <c r="X83" s="17">
        <f t="shared" si="69"/>
        <v>1.0000004486185197</v>
      </c>
      <c r="Y83" s="17">
        <f t="shared" si="70"/>
        <v>-9.4722579352153071E-4</v>
      </c>
      <c r="Z83" s="31" t="str">
        <f t="shared" ref="Z83:Z146" si="92">IMSUM(COMPLEX(1,0),IMDIV(COMPLEX(0,2*PI()*O83),COMPLEX(Q*(wsl/2),0)),IMDIV(IMPOWER(COMPLEX(0,2*PI()*O83),2),IMPOWER(COMPLEX(wsl/2,0),2)))</f>
        <v>0.999999874720131+0.00835590665464546i</v>
      </c>
      <c r="AA83" s="17">
        <f t="shared" si="71"/>
        <v>1.0000347847031616</v>
      </c>
      <c r="AB83" s="17">
        <f t="shared" si="72"/>
        <v>8.3557132364695443E-3</v>
      </c>
      <c r="AC83" s="66" t="str">
        <f t="shared" si="73"/>
        <v>1.23144906167389-20.735209491403i</v>
      </c>
      <c r="AD83" s="64">
        <f t="shared" si="74"/>
        <v>26.349459538873955</v>
      </c>
      <c r="AE83" s="61">
        <f t="shared" si="75"/>
        <v>-86.601237343797777</v>
      </c>
      <c r="AF83" s="31" t="str">
        <f t="shared" ref="AF83:AF146" si="93">COMPLEX(Adc_ea,0)</f>
        <v>-0.000495863624968664</v>
      </c>
      <c r="AG83" s="31" t="str">
        <f t="shared" ref="AG83:AG146" si="94">COMPLEX(0,2*PI()*O83*wp0_ea)</f>
        <v>0.0000619471821259325i</v>
      </c>
      <c r="AH83" s="31">
        <f t="shared" si="76"/>
        <v>6.1947182125932494E-5</v>
      </c>
      <c r="AI83" s="31">
        <f t="shared" si="77"/>
        <v>1.5707963267948966</v>
      </c>
      <c r="AJ83" s="31" t="str">
        <f t="shared" ref="AJ83:AJ146" si="95">IMSUM(COMPLEX(1,0),IMDIV(COMPLEX(0,2*PI()*O83),COMPLEX(wp1_ea,0)))</f>
        <v>1+0.000241698861210251i</v>
      </c>
      <c r="AK83" s="31">
        <f t="shared" si="78"/>
        <v>1.0000000292091693</v>
      </c>
      <c r="AL83" s="31">
        <f t="shared" si="79"/>
        <v>2.4169885650370245E-4</v>
      </c>
      <c r="AM83" s="31" t="str">
        <f t="shared" ref="AM83:AM146" si="96">IMSUM(COMPLEX(1,0),IMDIV(COMPLEX(0,2*PI()*O83),COMPLEX(wz_ea,0)))</f>
        <v>1+0.0740941286754538i</v>
      </c>
      <c r="AN83" s="31">
        <f t="shared" si="80"/>
        <v>1.0027412128282027</v>
      </c>
      <c r="AO83" s="31">
        <f t="shared" si="81"/>
        <v>7.3958982791370531E-2</v>
      </c>
      <c r="AP83" s="58" t="str">
        <f t="shared" si="82"/>
        <v>-0.591160568799819+8.00476243051193i</v>
      </c>
      <c r="AQ83" s="49">
        <f t="shared" si="83"/>
        <v>18.090590946386126</v>
      </c>
      <c r="AR83" s="61">
        <f t="shared" si="84"/>
        <v>94.223689246635416</v>
      </c>
      <c r="AS83" s="58" t="str">
        <f t="shared" si="85"/>
        <v>165.25244179783+22.1152954210975i</v>
      </c>
      <c r="AT83" s="64">
        <f t="shared" si="86"/>
        <v>44.44005048526008</v>
      </c>
      <c r="AU83" s="61">
        <f t="shared" si="87"/>
        <v>7.6224519028376241</v>
      </c>
    </row>
    <row r="84" spans="14:47" x14ac:dyDescent="0.25">
      <c r="N84" s="10">
        <v>66</v>
      </c>
      <c r="O84" s="50">
        <f t="shared" ref="O84:O118" si="97">10^(1+(N84/100))</f>
        <v>45.70881896148753</v>
      </c>
      <c r="P84" s="48" t="str">
        <f t="shared" si="88"/>
        <v>304.285714285714</v>
      </c>
      <c r="Q84" s="17" t="str">
        <f t="shared" si="89"/>
        <v>1+14.9547570147613i</v>
      </c>
      <c r="R84" s="17">
        <f t="shared" ref="R84:R147" si="98">IMABS(Q84)</f>
        <v>14.988153901349971</v>
      </c>
      <c r="S84" s="17">
        <f t="shared" ref="S84:S147" si="99">IMARGUMENT(Q84)</f>
        <v>1.5040273698692792</v>
      </c>
      <c r="T84" s="17" t="str">
        <f t="shared" si="90"/>
        <v>1+0.000310172738083938i</v>
      </c>
      <c r="U84" s="17">
        <f t="shared" ref="U84:U147" si="100">IMABS(T84)</f>
        <v>1.0000000481035625</v>
      </c>
      <c r="V84" s="17">
        <f t="shared" ref="V84:V147" si="101">IMARGUMENT(T84)</f>
        <v>3.1017272813699585E-4</v>
      </c>
      <c r="W84" s="31" t="str">
        <f t="shared" si="91"/>
        <v>1-0.000969289806512307i</v>
      </c>
      <c r="X84" s="17">
        <f t="shared" ref="X84:X147" si="102">IMABS(W84)</f>
        <v>1.0000004697612541</v>
      </c>
      <c r="Y84" s="17">
        <f t="shared" ref="Y84:Y147" si="103">IMARGUMENT(W84)</f>
        <v>-9.6928950295587673E-4</v>
      </c>
      <c r="Z84" s="31" t="str">
        <f t="shared" si="92"/>
        <v>0.999999868815873+0.00855054072385082i</v>
      </c>
      <c r="AA84" s="17">
        <f t="shared" ref="AA84:AA147" si="104">IMABS(Z84)</f>
        <v>1.0000364240258619</v>
      </c>
      <c r="AB84" s="17">
        <f t="shared" ref="AB84:AB147" si="105">IMARGUMENT(Z84)</f>
        <v>8.5503334729490291E-3</v>
      </c>
      <c r="AC84" s="66" t="str">
        <f t="shared" ref="AC84:AC147" si="106">(IMDIV(IMPRODUCT(P84,T84,W84),IMPRODUCT(Q84,Z84)))</f>
        <v>1.16787147940914-20.2673981187004i</v>
      </c>
      <c r="AD84" s="64">
        <f t="shared" ref="AD84:AD147" si="107">20*LOG(IMABS(AC84))</f>
        <v>26.150356519959971</v>
      </c>
      <c r="AE84" s="61">
        <f t="shared" ref="AE84:AE147" si="108">(180/PI())*IMARGUMENT(AC84)</f>
        <v>-86.702083196504148</v>
      </c>
      <c r="AF84" s="31" t="str">
        <f t="shared" si="93"/>
        <v>-0.000495863624968664</v>
      </c>
      <c r="AG84" s="31" t="str">
        <f t="shared" si="94"/>
        <v>0.0000633901173610063i</v>
      </c>
      <c r="AH84" s="31">
        <f t="shared" ref="AH84:AH147" si="109">IMABS(AG84)</f>
        <v>6.3390117361006304E-5</v>
      </c>
      <c r="AI84" s="31">
        <f t="shared" ref="AI84:AI147" si="110">IMARGUMENT(AG84)</f>
        <v>1.5707963267948966</v>
      </c>
      <c r="AJ84" s="31" t="str">
        <f t="shared" si="95"/>
        <v>1+0.000247328750918688i</v>
      </c>
      <c r="AK84" s="31">
        <f t="shared" ref="AK84:AK147" si="111">IMABS(AJ84)</f>
        <v>1.000000030585755</v>
      </c>
      <c r="AL84" s="31">
        <f t="shared" ref="AL84:AL147" si="112">IMARGUMENT(AJ84)</f>
        <v>2.4732874587553039E-4</v>
      </c>
      <c r="AM84" s="31" t="str">
        <f t="shared" si="96"/>
        <v>1+0.0758200026427404i</v>
      </c>
      <c r="AN84" s="31">
        <f t="shared" ref="AN84:AN147" si="113">IMABS(AM84)</f>
        <v>1.0028702173266215</v>
      </c>
      <c r="AO84" s="31">
        <f t="shared" ref="AO84:AO147" si="114">IMARGUMENT(AM84)</f>
        <v>7.567521359353481E-2</v>
      </c>
      <c r="AP84" s="58" t="str">
        <f t="shared" ref="AP84:AP147" si="115">IMPRODUCT(AF84,IMDIV(AM84,IMPRODUCT(AG84,AJ84)))</f>
        <v>-0.591160567172256+7.82255837258379i</v>
      </c>
      <c r="AQ84" s="49">
        <f t="shared" ref="AQ84:AQ147" si="116">20*LOG(IMABS(AP84))</f>
        <v>17.891708318206369</v>
      </c>
      <c r="AR84" s="61">
        <f t="shared" ref="AR84:AR147" si="117">(180/PI())*IMARGUMENT(AP84)</f>
        <v>94.321699459369668</v>
      </c>
      <c r="AS84" s="58" t="str">
        <f t="shared" ref="AS84:AS147" si="118">IMPRODUCT(AC84,AP84)</f>
        <v>157.852505277777+21.1170293863106i</v>
      </c>
      <c r="AT84" s="64">
        <f t="shared" ref="AT84:AT147" si="119">20*LOG(IMABS(AS84))</f>
        <v>44.04206483816634</v>
      </c>
      <c r="AU84" s="61">
        <f t="shared" ref="AU84:AU147" si="120">(180/PI())*IMARGUMENT(AS84)</f>
        <v>7.6196162628654989</v>
      </c>
    </row>
    <row r="85" spans="14:47" x14ac:dyDescent="0.25">
      <c r="N85" s="10">
        <v>67</v>
      </c>
      <c r="O85" s="50">
        <f t="shared" si="97"/>
        <v>46.773514128719818</v>
      </c>
      <c r="P85" s="48" t="str">
        <f t="shared" si="88"/>
        <v>304.285714285714</v>
      </c>
      <c r="Q85" s="17" t="str">
        <f t="shared" si="89"/>
        <v>1+15.3030980544667i</v>
      </c>
      <c r="R85" s="17">
        <f t="shared" si="98"/>
        <v>15.335736371776299</v>
      </c>
      <c r="S85" s="17">
        <f t="shared" si="99"/>
        <v>1.5055428562293651</v>
      </c>
      <c r="T85" s="17" t="str">
        <f t="shared" si="90"/>
        <v>1+0.000317397589277827i</v>
      </c>
      <c r="U85" s="17">
        <f t="shared" si="100"/>
        <v>1.0000000503706135</v>
      </c>
      <c r="V85" s="17">
        <f t="shared" si="101"/>
        <v>3.173975786194865E-4</v>
      </c>
      <c r="W85" s="31" t="str">
        <f t="shared" si="91"/>
        <v>1-0.000991867466493211i</v>
      </c>
      <c r="X85" s="17">
        <f t="shared" si="102"/>
        <v>1.0000004919004146</v>
      </c>
      <c r="Y85" s="17">
        <f t="shared" si="103"/>
        <v>-9.9186714122664432E-4</v>
      </c>
      <c r="Z85" s="31" t="str">
        <f t="shared" si="92"/>
        <v>0.999999862633355+0.00874970840292774i</v>
      </c>
      <c r="AA85" s="17">
        <f t="shared" si="104"/>
        <v>1.00003814060458</v>
      </c>
      <c r="AB85" s="17">
        <f t="shared" si="105"/>
        <v>8.7494863300428827E-3</v>
      </c>
      <c r="AC85" s="66" t="str">
        <f t="shared" si="106"/>
        <v>1.10713050874535-19.8099516291202i</v>
      </c>
      <c r="AD85" s="64">
        <f t="shared" si="107"/>
        <v>25.951212015506471</v>
      </c>
      <c r="AE85" s="61">
        <f t="shared" si="108"/>
        <v>-86.8012044369802</v>
      </c>
      <c r="AF85" s="31" t="str">
        <f t="shared" si="93"/>
        <v>-0.000495863624968664</v>
      </c>
      <c r="AG85" s="31" t="str">
        <f t="shared" si="94"/>
        <v>0.0000648666628753723i</v>
      </c>
      <c r="AH85" s="31">
        <f t="shared" si="109"/>
        <v>6.4866662875372294E-5</v>
      </c>
      <c r="AI85" s="31">
        <f t="shared" si="110"/>
        <v>1.5707963267948966</v>
      </c>
      <c r="AJ85" s="31" t="str">
        <f t="shared" si="95"/>
        <v>1+0.000253089777604646i</v>
      </c>
      <c r="AK85" s="31">
        <f t="shared" si="111"/>
        <v>1.0000000320272173</v>
      </c>
      <c r="AL85" s="31">
        <f t="shared" si="112"/>
        <v>2.5308977220080527E-4</v>
      </c>
      <c r="AM85" s="31" t="str">
        <f t="shared" si="96"/>
        <v>1+0.0775860773790244i</v>
      </c>
      <c r="AN85" s="31">
        <f t="shared" si="113"/>
        <v>1.0030052838360644</v>
      </c>
      <c r="AO85" s="31">
        <f t="shared" si="114"/>
        <v>7.7430958212895487E-2</v>
      </c>
      <c r="AP85" s="58" t="str">
        <f t="shared" si="115"/>
        <v>-0.591160565467983+7.64450193864856i</v>
      </c>
      <c r="AQ85" s="49">
        <f t="shared" si="116"/>
        <v>17.692878042088786</v>
      </c>
      <c r="AR85" s="61">
        <f t="shared" si="117"/>
        <v>94.42196613346772</v>
      </c>
      <c r="AS85" s="58" t="str">
        <f t="shared" si="118"/>
        <v>150.782721735747+20.1743235274049i</v>
      </c>
      <c r="AT85" s="64">
        <f t="shared" si="119"/>
        <v>43.644090057595264</v>
      </c>
      <c r="AU85" s="61">
        <f t="shared" si="120"/>
        <v>7.6207616964875298</v>
      </c>
    </row>
    <row r="86" spans="14:47" x14ac:dyDescent="0.25">
      <c r="N86" s="10">
        <v>68</v>
      </c>
      <c r="O86" s="50">
        <f t="shared" si="97"/>
        <v>47.863009232263877</v>
      </c>
      <c r="P86" s="48" t="str">
        <f t="shared" si="88"/>
        <v>304.285714285714</v>
      </c>
      <c r="Q86" s="17" t="str">
        <f t="shared" si="89"/>
        <v>1+15.659552999321i</v>
      </c>
      <c r="R86" s="17">
        <f t="shared" si="98"/>
        <v>15.691449905555043</v>
      </c>
      <c r="S86" s="17">
        <f t="shared" si="99"/>
        <v>1.5070241360062282</v>
      </c>
      <c r="T86" s="17" t="str">
        <f t="shared" si="90"/>
        <v>1+0.000324790728874806i</v>
      </c>
      <c r="U86" s="17">
        <f t="shared" si="100"/>
        <v>1.0000000527445074</v>
      </c>
      <c r="V86" s="17">
        <f t="shared" si="101"/>
        <v>3.2479071745418838E-4</v>
      </c>
      <c r="W86" s="31" t="str">
        <f t="shared" si="91"/>
        <v>1-0.00101497102773377i</v>
      </c>
      <c r="X86" s="17">
        <f t="shared" si="102"/>
        <v>1.000000515082961</v>
      </c>
      <c r="Y86" s="17">
        <f t="shared" si="103"/>
        <v>-1.0149706792043742E-3</v>
      </c>
      <c r="Z86" s="31" t="str">
        <f t="shared" si="92"/>
        <v>0.999999856159465+0.00895351529321599i</v>
      </c>
      <c r="AA86" s="17">
        <f t="shared" si="104"/>
        <v>1.0000399380800031</v>
      </c>
      <c r="AB86" s="17">
        <f t="shared" si="105"/>
        <v>8.9532773383459406E-3</v>
      </c>
      <c r="AC86" s="66" t="str">
        <f t="shared" si="106"/>
        <v>1.04910066169968-19.3626527052735i</v>
      </c>
      <c r="AD86" s="64">
        <f t="shared" si="107"/>
        <v>25.752027816097272</v>
      </c>
      <c r="AE86" s="61">
        <f t="shared" si="108"/>
        <v>-86.898652020716369</v>
      </c>
      <c r="AF86" s="31" t="str">
        <f t="shared" si="93"/>
        <v>-0.000495863624968664</v>
      </c>
      <c r="AG86" s="31" t="str">
        <f t="shared" si="94"/>
        <v>0.0000663776015530067i</v>
      </c>
      <c r="AH86" s="31">
        <f t="shared" si="109"/>
        <v>6.6377601553006699E-5</v>
      </c>
      <c r="AI86" s="31">
        <f t="shared" si="110"/>
        <v>1.5707963267948966</v>
      </c>
      <c r="AJ86" s="31" t="str">
        <f t="shared" si="95"/>
        <v>1+0.000258984995840729i</v>
      </c>
      <c r="AK86" s="31">
        <f t="shared" si="111"/>
        <v>1.0000000335366135</v>
      </c>
      <c r="AL86" s="31">
        <f t="shared" si="112"/>
        <v>2.5898499005040936E-4</v>
      </c>
      <c r="AM86" s="31" t="str">
        <f t="shared" si="96"/>
        <v>1+0.0793932892805081i</v>
      </c>
      <c r="AN86" s="31">
        <f t="shared" si="113"/>
        <v>1.0031466963424536</v>
      </c>
      <c r="AO86" s="31">
        <f t="shared" si="114"/>
        <v>7.9227104245665855E-2</v>
      </c>
      <c r="AP86" s="58" t="str">
        <f t="shared" si="115"/>
        <v>-0.591160563683389+7.47049872082809i</v>
      </c>
      <c r="AQ86" s="49">
        <f t="shared" si="116"/>
        <v>17.494102555772013</v>
      </c>
      <c r="AR86" s="61">
        <f t="shared" si="117"/>
        <v>94.524539949432508</v>
      </c>
      <c r="AS86" s="58" t="str">
        <f t="shared" si="118"/>
        <v>144.028485328053+19.2837418389025i</v>
      </c>
      <c r="AT86" s="64">
        <f t="shared" si="119"/>
        <v>43.24613037186927</v>
      </c>
      <c r="AU86" s="61">
        <f t="shared" si="120"/>
        <v>7.6258879287161516</v>
      </c>
    </row>
    <row r="87" spans="14:47" x14ac:dyDescent="0.25">
      <c r="N87" s="10">
        <v>69</v>
      </c>
      <c r="O87" s="50">
        <f t="shared" si="97"/>
        <v>48.977881936844632</v>
      </c>
      <c r="P87" s="48" t="str">
        <f t="shared" si="88"/>
        <v>304.285714285714</v>
      </c>
      <c r="Q87" s="17" t="str">
        <f t="shared" si="89"/>
        <v>1+16.0243108464543i</v>
      </c>
      <c r="R87" s="17">
        <f t="shared" si="98"/>
        <v>16.055483116486808</v>
      </c>
      <c r="S87" s="17">
        <f t="shared" si="99"/>
        <v>1.5084719685776902</v>
      </c>
      <c r="T87" s="17" t="str">
        <f t="shared" si="90"/>
        <v>1+0.000332356076815348i</v>
      </c>
      <c r="U87" s="17">
        <f t="shared" si="100"/>
        <v>1.0000000552302795</v>
      </c>
      <c r="V87" s="17">
        <f t="shared" si="101"/>
        <v>3.3235606457793579E-4</v>
      </c>
      <c r="W87" s="31" t="str">
        <f t="shared" si="91"/>
        <v>1-0.00103861274004796i</v>
      </c>
      <c r="X87" s="17">
        <f t="shared" si="102"/>
        <v>1.0000005393580664</v>
      </c>
      <c r="Y87" s="17">
        <f t="shared" si="103"/>
        <v>-1.0386123665919948E-3</v>
      </c>
      <c r="Z87" s="31" t="str">
        <f t="shared" si="92"/>
        <v>0.999999849380469+0.0091620694558265i</v>
      </c>
      <c r="AA87" s="17">
        <f t="shared" si="104"/>
        <v>1.0000418202643697</v>
      </c>
      <c r="AB87" s="17">
        <f t="shared" si="105"/>
        <v>9.1618144831653384E-3</v>
      </c>
      <c r="AC87" s="66" t="str">
        <f t="shared" si="106"/>
        <v>0.99366190842585-18.9252877494967i</v>
      </c>
      <c r="AD87" s="64">
        <f t="shared" si="107"/>
        <v>25.552805630222664</v>
      </c>
      <c r="AE87" s="61">
        <f t="shared" si="108"/>
        <v>-86.994476121219705</v>
      </c>
      <c r="AF87" s="31" t="str">
        <f t="shared" si="93"/>
        <v>-0.000495863624968664</v>
      </c>
      <c r="AG87" s="31" t="str">
        <f t="shared" si="94"/>
        <v>0.0000679237345135958i</v>
      </c>
      <c r="AH87" s="31">
        <f t="shared" si="109"/>
        <v>6.79237345135958E-5</v>
      </c>
      <c r="AI87" s="31">
        <f t="shared" si="110"/>
        <v>1.5707963267948966</v>
      </c>
      <c r="AJ87" s="31" t="str">
        <f t="shared" si="95"/>
        <v>1+0.000265017531349678i</v>
      </c>
      <c r="AK87" s="31">
        <f t="shared" si="111"/>
        <v>1.0000000351171454</v>
      </c>
      <c r="AL87" s="31">
        <f t="shared" si="112"/>
        <v>2.650175251452387E-4</v>
      </c>
      <c r="AM87" s="31" t="str">
        <f t="shared" si="96"/>
        <v>1+0.0812425965548627i</v>
      </c>
      <c r="AN87" s="31">
        <f t="shared" si="113"/>
        <v>1.0032947520519462</v>
      </c>
      <c r="AO87" s="31">
        <f t="shared" si="114"/>
        <v>8.1064557649406621E-2</v>
      </c>
      <c r="AP87" s="58" t="str">
        <f t="shared" si="115"/>
        <v>-0.591160561814698+7.30045646031313i</v>
      </c>
      <c r="AQ87" s="49">
        <f t="shared" si="116"/>
        <v>17.295384409058869</v>
      </c>
      <c r="AR87" s="61">
        <f t="shared" si="117"/>
        <v>94.629472635718145</v>
      </c>
      <c r="AS87" s="58" t="str">
        <f t="shared" si="118"/>
        <v>137.575825482059+18.4420692372319i</v>
      </c>
      <c r="AT87" s="64">
        <f t="shared" si="119"/>
        <v>42.848190039281519</v>
      </c>
      <c r="AU87" s="61">
        <f t="shared" si="120"/>
        <v>7.6349965144984733</v>
      </c>
    </row>
    <row r="88" spans="14:47" x14ac:dyDescent="0.25">
      <c r="N88" s="10">
        <v>70</v>
      </c>
      <c r="O88" s="50">
        <f t="shared" si="97"/>
        <v>50.118723362727238</v>
      </c>
      <c r="P88" s="48" t="str">
        <f t="shared" si="88"/>
        <v>304.285714285714</v>
      </c>
      <c r="Q88" s="17" t="str">
        <f t="shared" si="89"/>
        <v>1+16.3975649953051i</v>
      </c>
      <c r="R88" s="17">
        <f t="shared" si="98"/>
        <v>16.428029028926602</v>
      </c>
      <c r="S88" s="17">
        <f t="shared" si="99"/>
        <v>1.5098870973102543</v>
      </c>
      <c r="T88" s="17" t="str">
        <f t="shared" si="90"/>
        <v>1+0.000340097644347069i</v>
      </c>
      <c r="U88" s="17">
        <f t="shared" si="100"/>
        <v>1.0000000578332022</v>
      </c>
      <c r="V88" s="17">
        <f t="shared" si="101"/>
        <v>3.4009763123444566E-4</v>
      </c>
      <c r="W88" s="31" t="str">
        <f t="shared" si="91"/>
        <v>1-0.00106280513858459i</v>
      </c>
      <c r="X88" s="17">
        <f t="shared" si="102"/>
        <v>1.0000005647772219</v>
      </c>
      <c r="Y88" s="17">
        <f t="shared" si="103"/>
        <v>-1.0628047384193258E-3</v>
      </c>
      <c r="Z88" s="31" t="str">
        <f t="shared" si="92"/>
        <v>0.999999842281989+0.00937548146893678i</v>
      </c>
      <c r="AA88" s="17">
        <f t="shared" si="104"/>
        <v>1.0000437911495563</v>
      </c>
      <c r="AB88" s="17">
        <f t="shared" si="105"/>
        <v>9.375208261454172E-3</v>
      </c>
      <c r="AC88" s="66" t="str">
        <f t="shared" si="106"/>
        <v>0.940699448045905-18.497646878948i</v>
      </c>
      <c r="AD88" s="64">
        <f t="shared" si="107"/>
        <v>25.353547087719832</v>
      </c>
      <c r="AE88" s="61">
        <f t="shared" si="108"/>
        <v>-87.088726149639513</v>
      </c>
      <c r="AF88" s="31" t="str">
        <f t="shared" si="93"/>
        <v>-0.000495863624968664</v>
      </c>
      <c r="AG88" s="31" t="str">
        <f t="shared" si="94"/>
        <v>0.000069505881537301i</v>
      </c>
      <c r="AH88" s="31">
        <f t="shared" si="109"/>
        <v>6.9505881537300994E-5</v>
      </c>
      <c r="AI88" s="31">
        <f t="shared" si="110"/>
        <v>1.5707963267948966</v>
      </c>
      <c r="AJ88" s="31" t="str">
        <f t="shared" si="95"/>
        <v>1+0.000271190582661671i</v>
      </c>
      <c r="AK88" s="31">
        <f t="shared" si="111"/>
        <v>1.0000000367721653</v>
      </c>
      <c r="AL88" s="31">
        <f t="shared" si="112"/>
        <v>2.7119057601349454E-4</v>
      </c>
      <c r="AM88" s="31" t="str">
        <f t="shared" si="96"/>
        <v>1+0.0831349797292835i</v>
      </c>
      <c r="AN88" s="31">
        <f t="shared" si="113"/>
        <v>1.0034497619983715</v>
      </c>
      <c r="AO88" s="31">
        <f t="shared" si="114"/>
        <v>8.2944243009164212E-2</v>
      </c>
      <c r="AP88" s="58" t="str">
        <f t="shared" si="115"/>
        <v>-0.591160559857931+7.13428499844634i</v>
      </c>
      <c r="AQ88" s="49">
        <f t="shared" si="116"/>
        <v>17.096726268829176</v>
      </c>
      <c r="AR88" s="61">
        <f t="shared" si="117"/>
        <v>94.736816983883287</v>
      </c>
      <c r="AS88" s="58" t="str">
        <f t="shared" si="118"/>
        <v>131.411380222672+17.6462972452539i</v>
      </c>
      <c r="AT88" s="64">
        <f t="shared" si="119"/>
        <v>42.450273356549033</v>
      </c>
      <c r="AU88" s="61">
        <f t="shared" si="120"/>
        <v>7.6480908342437779</v>
      </c>
    </row>
    <row r="89" spans="14:47" x14ac:dyDescent="0.25">
      <c r="N89" s="10">
        <v>71</v>
      </c>
      <c r="O89" s="50">
        <f t="shared" si="97"/>
        <v>51.28613839913649</v>
      </c>
      <c r="P89" s="48" t="str">
        <f t="shared" si="88"/>
        <v>304.285714285714</v>
      </c>
      <c r="Q89" s="17" t="str">
        <f t="shared" si="89"/>
        <v>1+16.7795133501639i</v>
      </c>
      <c r="R89" s="17">
        <f t="shared" si="98"/>
        <v>16.809285180171361</v>
      </c>
      <c r="S89" s="17">
        <f t="shared" si="99"/>
        <v>1.5112702498397361</v>
      </c>
      <c r="T89" s="17" t="str">
        <f t="shared" si="90"/>
        <v>1+0.000348019536151548i</v>
      </c>
      <c r="U89" s="17">
        <f t="shared" si="100"/>
        <v>1.0000000605587969</v>
      </c>
      <c r="V89" s="17">
        <f t="shared" si="101"/>
        <v>3.4801952210111899E-4</v>
      </c>
      <c r="W89" s="31" t="str">
        <f t="shared" si="91"/>
        <v>1-0.00108756105047359i</v>
      </c>
      <c r="X89" s="17">
        <f t="shared" si="102"/>
        <v>1.0000005913943444</v>
      </c>
      <c r="Y89" s="17">
        <f t="shared" si="103"/>
        <v>-1.0875606216887979E-3</v>
      </c>
      <c r="Z89" s="31" t="str">
        <f t="shared" si="92"/>
        <v>0.999999834848969+0.00959386448642108i</v>
      </c>
      <c r="AA89" s="17">
        <f t="shared" si="104"/>
        <v>1.000045854915538</v>
      </c>
      <c r="AB89" s="17">
        <f t="shared" si="105"/>
        <v>9.5935717400540913E-3</v>
      </c>
      <c r="AC89" s="66" t="str">
        <f t="shared" si="106"/>
        <v>0.89010348837485-18.0795239157091i</v>
      </c>
      <c r="AD89" s="64">
        <f t="shared" si="107"/>
        <v>25.154253743062213</v>
      </c>
      <c r="AE89" s="61">
        <f t="shared" si="108"/>
        <v>-87.181450774442268</v>
      </c>
      <c r="AF89" s="31" t="str">
        <f t="shared" si="93"/>
        <v>-0.000495863624968664</v>
      </c>
      <c r="AG89" s="31" t="str">
        <f t="shared" si="94"/>
        <v>0.0000711248814994163i</v>
      </c>
      <c r="AH89" s="31">
        <f t="shared" si="109"/>
        <v>7.1124881499416299E-5</v>
      </c>
      <c r="AI89" s="31">
        <f t="shared" si="110"/>
        <v>1.5707963267948966</v>
      </c>
      <c r="AJ89" s="31" t="str">
        <f t="shared" si="95"/>
        <v>1+0.000277507422810222i</v>
      </c>
      <c r="AK89" s="31">
        <f t="shared" si="111"/>
        <v>1.0000000385051842</v>
      </c>
      <c r="AL89" s="31">
        <f t="shared" si="112"/>
        <v>2.7750741568657259E-4</v>
      </c>
      <c r="AM89" s="31" t="str">
        <f t="shared" si="96"/>
        <v>1+0.0850714421703783i</v>
      </c>
      <c r="AN89" s="31">
        <f t="shared" si="113"/>
        <v>1.0036120516778124</v>
      </c>
      <c r="AO89" s="31">
        <f t="shared" si="114"/>
        <v>8.4867103798721838E-2</v>
      </c>
      <c r="AP89" s="58" t="str">
        <f t="shared" si="115"/>
        <v>-0.591160557808948+6.9718962289191i</v>
      </c>
      <c r="AQ89" s="49">
        <f t="shared" si="116"/>
        <v>16.898130924263842</v>
      </c>
      <c r="AR89" s="61">
        <f t="shared" si="117"/>
        <v>94.846626863463015</v>
      </c>
      <c r="AS89" s="58" t="str">
        <f t="shared" si="118"/>
        <v>125.52237053389+16.8936105968792i</v>
      </c>
      <c r="AT89" s="64">
        <f t="shared" si="119"/>
        <v>42.052384667326088</v>
      </c>
      <c r="AU89" s="61">
        <f t="shared" si="120"/>
        <v>7.6651760890207452</v>
      </c>
    </row>
    <row r="90" spans="14:47" x14ac:dyDescent="0.25">
      <c r="N90" s="10">
        <v>72</v>
      </c>
      <c r="O90" s="50">
        <f t="shared" si="97"/>
        <v>52.480746024977286</v>
      </c>
      <c r="P90" s="48" t="str">
        <f t="shared" si="88"/>
        <v>304.285714285714</v>
      </c>
      <c r="Q90" s="17" t="str">
        <f t="shared" si="89"/>
        <v>1+17.1703584251042i</v>
      </c>
      <c r="R90" s="17">
        <f t="shared" si="98"/>
        <v>17.199453725236356</v>
      </c>
      <c r="S90" s="17">
        <f t="shared" si="99"/>
        <v>1.5126221383509622</v>
      </c>
      <c r="T90" s="17" t="str">
        <f t="shared" si="90"/>
        <v>1+0.000356125952520678i</v>
      </c>
      <c r="U90" s="17">
        <f t="shared" si="100"/>
        <v>1.000000063412845</v>
      </c>
      <c r="V90" s="17">
        <f t="shared" si="101"/>
        <v>3.5612593746537209E-4</v>
      </c>
      <c r="W90" s="31" t="str">
        <f t="shared" si="91"/>
        <v>1-0.00111289360162712i</v>
      </c>
      <c r="X90" s="17">
        <f t="shared" si="102"/>
        <v>1.0000006192658926</v>
      </c>
      <c r="Y90" s="17">
        <f t="shared" si="103"/>
        <v>-1.1128931421759529E-3</v>
      </c>
      <c r="Z90" s="31" t="str">
        <f t="shared" si="92"/>
        <v>0.99999982706564+0.0098173342978459i</v>
      </c>
      <c r="AA90" s="17">
        <f t="shared" si="104"/>
        <v>1.0000480159392475</v>
      </c>
      <c r="AB90" s="17">
        <f t="shared" si="105"/>
        <v>9.8170206152755658E-3</v>
      </c>
      <c r="AC90" s="66" t="str">
        <f t="shared" si="106"/>
        <v>0.84176903425963-17.6707163723241i</v>
      </c>
      <c r="AD90" s="64">
        <f t="shared" si="107"/>
        <v>24.954927078503829</v>
      </c>
      <c r="AE90" s="61">
        <f t="shared" si="108"/>
        <v>-87.272697941115865</v>
      </c>
      <c r="AF90" s="31" t="str">
        <f t="shared" si="93"/>
        <v>-0.000495863624968664</v>
      </c>
      <c r="AG90" s="31" t="str">
        <f t="shared" si="94"/>
        <v>0.0000727815928151518i</v>
      </c>
      <c r="AH90" s="31">
        <f t="shared" si="109"/>
        <v>7.2781592815151806E-5</v>
      </c>
      <c r="AI90" s="31">
        <f t="shared" si="110"/>
        <v>1.5707963267948966</v>
      </c>
      <c r="AJ90" s="31" t="str">
        <f t="shared" si="95"/>
        <v>1+0.000283971401067593i</v>
      </c>
      <c r="AK90" s="31">
        <f t="shared" si="111"/>
        <v>1.0000000403198774</v>
      </c>
      <c r="AL90" s="31">
        <f t="shared" si="112"/>
        <v>2.8397139343446512E-4</v>
      </c>
      <c r="AM90" s="31" t="str">
        <f t="shared" si="96"/>
        <v>1+0.0870530106161657i</v>
      </c>
      <c r="AN90" s="31">
        <f t="shared" si="113"/>
        <v>1.0037819617114756</v>
      </c>
      <c r="AO90" s="31">
        <f t="shared" si="114"/>
        <v>8.683410263611345E-2</v>
      </c>
      <c r="AP90" s="58" t="str">
        <f t="shared" si="115"/>
        <v>-0.591160555663395+6.81320405105631i</v>
      </c>
      <c r="AQ90" s="49">
        <f t="shared" si="116"/>
        <v>16.69960129228722</v>
      </c>
      <c r="AR90" s="61">
        <f t="shared" si="117"/>
        <v>94.958957236508851</v>
      </c>
      <c r="AS90" s="58" t="str">
        <f t="shared" si="118"/>
        <v>119.896575722952+16.1813747039048i</v>
      </c>
      <c r="AT90" s="64">
        <f t="shared" si="119"/>
        <v>41.654528370791013</v>
      </c>
      <c r="AU90" s="61">
        <f t="shared" si="120"/>
        <v>7.6862592953930013</v>
      </c>
    </row>
    <row r="91" spans="14:47" x14ac:dyDescent="0.25">
      <c r="N91" s="10">
        <v>73</v>
      </c>
      <c r="O91" s="50">
        <f t="shared" si="97"/>
        <v>53.703179637025293</v>
      </c>
      <c r="P91" s="48" t="str">
        <f t="shared" si="88"/>
        <v>304.285714285714</v>
      </c>
      <c r="Q91" s="17" t="str">
        <f t="shared" si="89"/>
        <v>1+17.5703074513579i</v>
      </c>
      <c r="R91" s="17">
        <f t="shared" si="98"/>
        <v>17.598741544077601</v>
      </c>
      <c r="S91" s="17">
        <f t="shared" si="99"/>
        <v>1.5139434598562207</v>
      </c>
      <c r="T91" s="17" t="str">
        <f t="shared" si="90"/>
        <v>1+0.000364421191583718i</v>
      </c>
      <c r="U91" s="17">
        <f t="shared" si="100"/>
        <v>1.0000000664014004</v>
      </c>
      <c r="V91" s="17">
        <f t="shared" si="101"/>
        <v>3.6442117545166716E-4</v>
      </c>
      <c r="W91" s="31" t="str">
        <f t="shared" si="91"/>
        <v>1-0.00113881622369912i</v>
      </c>
      <c r="X91" s="17">
        <f t="shared" si="102"/>
        <v>1.0000006484509854</v>
      </c>
      <c r="Y91" s="17">
        <f t="shared" si="103"/>
        <v>-1.1388157313883417E-3</v>
      </c>
      <c r="Z91" s="31" t="str">
        <f t="shared" si="92"/>
        <v>0.999999818915495+0.0100460093898632i</v>
      </c>
      <c r="AA91" s="17">
        <f t="shared" si="104"/>
        <v>1.0000502788038628</v>
      </c>
      <c r="AB91" s="17">
        <f t="shared" si="105"/>
        <v>1.0045673273846038E-2</v>
      </c>
      <c r="AC91" s="66" t="str">
        <f t="shared" si="106"/>
        <v>0.795595684255759-17.2710254331772i</v>
      </c>
      <c r="AD91" s="64">
        <f t="shared" si="107"/>
        <v>24.75556850708368</v>
      </c>
      <c r="AE91" s="61">
        <f t="shared" si="108"/>
        <v>-87.362514891886846</v>
      </c>
      <c r="AF91" s="31" t="str">
        <f t="shared" si="93"/>
        <v>-0.000495863624968664</v>
      </c>
      <c r="AG91" s="31" t="str">
        <f t="shared" si="94"/>
        <v>0.0000744768938947761i</v>
      </c>
      <c r="AH91" s="31">
        <f t="shared" si="109"/>
        <v>7.4476893894776094E-5</v>
      </c>
      <c r="AI91" s="31">
        <f t="shared" si="110"/>
        <v>1.5707963267948966</v>
      </c>
      <c r="AJ91" s="31" t="str">
        <f t="shared" si="95"/>
        <v>1+0.000290585944720615i</v>
      </c>
      <c r="AK91" s="31">
        <f t="shared" si="111"/>
        <v>1.0000000422200948</v>
      </c>
      <c r="AL91" s="31">
        <f t="shared" si="112"/>
        <v>2.9058593654157118E-4</v>
      </c>
      <c r="AM91" s="31" t="str">
        <f t="shared" si="96"/>
        <v>1+0.0890807357204643i</v>
      </c>
      <c r="AN91" s="31">
        <f t="shared" si="113"/>
        <v>1.0039598485380274</v>
      </c>
      <c r="AO91" s="31">
        <f t="shared" si="114"/>
        <v>8.8846221532482811E-2</v>
      </c>
      <c r="AP91" s="58" t="str">
        <f t="shared" si="115"/>
        <v>-0.591160553416731+6.6581243241647i</v>
      </c>
      <c r="AQ91" s="49">
        <f t="shared" si="116"/>
        <v>16.501140423235828</v>
      </c>
      <c r="AR91" s="61">
        <f t="shared" si="117"/>
        <v>95.073864171745967</v>
      </c>
      <c r="AS91" s="58" t="str">
        <f t="shared" si="118"/>
        <v>114.522309754904+15.5071239306952i</v>
      </c>
      <c r="AT91" s="64">
        <f t="shared" si="119"/>
        <v>41.256708930319526</v>
      </c>
      <c r="AU91" s="61">
        <f t="shared" si="120"/>
        <v>7.7113492798591157</v>
      </c>
    </row>
    <row r="92" spans="14:47" x14ac:dyDescent="0.25">
      <c r="N92" s="10">
        <v>74</v>
      </c>
      <c r="O92" s="50">
        <f t="shared" si="97"/>
        <v>54.95408738576247</v>
      </c>
      <c r="P92" s="48" t="str">
        <f t="shared" si="88"/>
        <v>304.285714285714</v>
      </c>
      <c r="Q92" s="17" t="str">
        <f t="shared" si="89"/>
        <v>1+17.9795724871928i</v>
      </c>
      <c r="R92" s="17">
        <f t="shared" si="98"/>
        <v>18.00736035131802</v>
      </c>
      <c r="S92" s="17">
        <f t="shared" si="99"/>
        <v>1.5152348964721616</v>
      </c>
      <c r="T92" s="17" t="str">
        <f t="shared" si="90"/>
        <v>1+0.000372909651586221i</v>
      </c>
      <c r="U92" s="17">
        <f t="shared" si="100"/>
        <v>1.0000000695308018</v>
      </c>
      <c r="V92" s="17">
        <f t="shared" si="101"/>
        <v>3.7290963430041714E-4</v>
      </c>
      <c r="W92" s="31" t="str">
        <f t="shared" si="91"/>
        <v>1-0.00116534266120694i</v>
      </c>
      <c r="X92" s="17">
        <f t="shared" si="102"/>
        <v>1.0000006790115286</v>
      </c>
      <c r="Y92" s="17">
        <f t="shared" si="103"/>
        <v>-1.1653421336864564E-3</v>
      </c>
      <c r="Z92" s="31" t="str">
        <f t="shared" si="92"/>
        <v>0.999999810381245+0.0102800110090337i</v>
      </c>
      <c r="AA92" s="17">
        <f t="shared" si="104"/>
        <v>1.0000526483085137</v>
      </c>
      <c r="AB92" s="17">
        <f t="shared" si="105"/>
        <v>1.027965085525654E-2</v>
      </c>
      <c r="AC92" s="66" t="str">
        <f t="shared" si="106"/>
        <v>0.751487435368146-16.8802559320843i</v>
      </c>
      <c r="AD92" s="64">
        <f t="shared" si="107"/>
        <v>24.556179375495141</v>
      </c>
      <c r="AE92" s="61">
        <f t="shared" si="108"/>
        <v>-87.450948185435152</v>
      </c>
      <c r="AF92" s="31" t="str">
        <f t="shared" si="93"/>
        <v>-0.000495863624968664</v>
      </c>
      <c r="AG92" s="31" t="str">
        <f t="shared" si="94"/>
        <v>0.0000762116836093617i</v>
      </c>
      <c r="AH92" s="31">
        <f t="shared" si="109"/>
        <v>7.6211683609361697E-5</v>
      </c>
      <c r="AI92" s="31">
        <f t="shared" si="110"/>
        <v>1.5707963267948966</v>
      </c>
      <c r="AJ92" s="31" t="str">
        <f t="shared" si="95"/>
        <v>1+0.000297354560887888i</v>
      </c>
      <c r="AK92" s="31">
        <f t="shared" si="111"/>
        <v>1.0000000442098664</v>
      </c>
      <c r="AL92" s="31">
        <f t="shared" si="112"/>
        <v>2.9735455212388464E-4</v>
      </c>
      <c r="AM92" s="31" t="str">
        <f t="shared" si="96"/>
        <v>1+0.0911556926099651i</v>
      </c>
      <c r="AN92" s="31">
        <f t="shared" si="113"/>
        <v>1.0041460851366211</v>
      </c>
      <c r="AO92" s="31">
        <f t="shared" si="114"/>
        <v>9.0904462133304817E-2</v>
      </c>
      <c r="AP92" s="58" t="str">
        <f t="shared" si="115"/>
        <v>-0.591160551064181+6.50657482292053i</v>
      </c>
      <c r="AQ92" s="49">
        <f t="shared" si="116"/>
        <v>16.302751506761421</v>
      </c>
      <c r="AR92" s="61">
        <f t="shared" si="117"/>
        <v>95.191404858289474</v>
      </c>
      <c r="AS92" s="58" t="str">
        <f t="shared" si="118"/>
        <v>109.388398525745+14.8685506256229i</v>
      </c>
      <c r="AT92" s="64">
        <f t="shared" si="119"/>
        <v>40.858930882256601</v>
      </c>
      <c r="AU92" s="61">
        <f t="shared" si="120"/>
        <v>7.7404566728543154</v>
      </c>
    </row>
    <row r="93" spans="14:47" x14ac:dyDescent="0.25">
      <c r="N93" s="10">
        <v>75</v>
      </c>
      <c r="O93" s="50">
        <f t="shared" si="97"/>
        <v>56.234132519034915</v>
      </c>
      <c r="P93" s="48" t="str">
        <f t="shared" si="88"/>
        <v>304.285714285714</v>
      </c>
      <c r="Q93" s="17" t="str">
        <f t="shared" si="89"/>
        <v>1+18.3983705303483i</v>
      </c>
      <c r="R93" s="17">
        <f t="shared" si="98"/>
        <v>18.425526808533554</v>
      </c>
      <c r="S93" s="17">
        <f t="shared" si="99"/>
        <v>1.5164971156948654</v>
      </c>
      <c r="T93" s="17" t="str">
        <f t="shared" si="90"/>
        <v>1+0.000381595833222037i</v>
      </c>
      <c r="U93" s="17">
        <f t="shared" si="100"/>
        <v>1.0000000728076874</v>
      </c>
      <c r="V93" s="17">
        <f t="shared" si="101"/>
        <v>3.8159581469996454E-4</v>
      </c>
      <c r="W93" s="31" t="str">
        <f t="shared" si="91"/>
        <v>1-0.00119248697881887i</v>
      </c>
      <c r="X93" s="17">
        <f t="shared" si="102"/>
        <v>1.0000007110123446</v>
      </c>
      <c r="Y93" s="17">
        <f t="shared" si="103"/>
        <v>-1.1924864135705094E-3</v>
      </c>
      <c r="Z93" s="31" t="str">
        <f t="shared" si="92"/>
        <v>0.999999801444789+0.0105194632261132i</v>
      </c>
      <c r="AA93" s="17">
        <f t="shared" si="104"/>
        <v>1.0000551294784616</v>
      </c>
      <c r="AB93" s="17">
        <f t="shared" si="105"/>
        <v>1.0519077315537083E-2</v>
      </c>
      <c r="AC93" s="66" t="str">
        <f t="shared" si="106"/>
        <v>0.709352495586628-16.4982163264514i</v>
      </c>
      <c r="AD93" s="64">
        <f t="shared" si="107"/>
        <v>24.356760966826705</v>
      </c>
      <c r="AE93" s="61">
        <f t="shared" si="108"/>
        <v>-87.538043716592497</v>
      </c>
      <c r="AF93" s="31" t="str">
        <f t="shared" si="93"/>
        <v>-0.000495863624968664</v>
      </c>
      <c r="AG93" s="31" t="str">
        <f t="shared" si="94"/>
        <v>0.0000779868817673778i</v>
      </c>
      <c r="AH93" s="31">
        <f t="shared" si="109"/>
        <v>7.7986881767377805E-5</v>
      </c>
      <c r="AI93" s="31">
        <f t="shared" si="110"/>
        <v>1.5707963267948966</v>
      </c>
      <c r="AJ93" s="31" t="str">
        <f t="shared" si="95"/>
        <v>1+0.000304280838379296i</v>
      </c>
      <c r="AK93" s="31">
        <f t="shared" si="111"/>
        <v>1.0000000462934133</v>
      </c>
      <c r="AL93" s="31">
        <f t="shared" si="112"/>
        <v>3.0428082898849724E-4</v>
      </c>
      <c r="AM93" s="31" t="str">
        <f t="shared" si="96"/>
        <v>1+0.0932789814542757i</v>
      </c>
      <c r="AN93" s="31">
        <f t="shared" si="113"/>
        <v>1.0043410617818767</v>
      </c>
      <c r="AO93" s="31">
        <f t="shared" si="114"/>
        <v>9.3009845950901199E-2</v>
      </c>
      <c r="AP93" s="58" t="str">
        <f t="shared" si="115"/>
        <v>-0.59116054860076+6.35847519377204i</v>
      </c>
      <c r="AQ93" s="49">
        <f t="shared" si="116"/>
        <v>16.104437877975052</v>
      </c>
      <c r="AR93" s="61">
        <f t="shared" si="117"/>
        <v>95.3116376188608</v>
      </c>
      <c r="AS93" s="58" t="str">
        <f t="shared" si="118"/>
        <v>104.484158042784+14.2634948613069i</v>
      </c>
      <c r="AT93" s="64">
        <f t="shared" si="119"/>
        <v>40.461198844801778</v>
      </c>
      <c r="AU93" s="61">
        <f t="shared" si="120"/>
        <v>7.7735939022683009</v>
      </c>
    </row>
    <row r="94" spans="14:47" x14ac:dyDescent="0.25">
      <c r="N94" s="10">
        <v>76</v>
      </c>
      <c r="O94" s="50">
        <f t="shared" si="97"/>
        <v>57.543993733715695</v>
      </c>
      <c r="P94" s="48" t="str">
        <f t="shared" si="88"/>
        <v>304.285714285714</v>
      </c>
      <c r="Q94" s="17" t="str">
        <f t="shared" si="89"/>
        <v>1+18.8269236330901i</v>
      </c>
      <c r="R94" s="17">
        <f t="shared" si="98"/>
        <v>18.853462639160121</v>
      </c>
      <c r="S94" s="17">
        <f t="shared" si="99"/>
        <v>1.517730770672842</v>
      </c>
      <c r="T94" s="17" t="str">
        <f t="shared" si="90"/>
        <v>1+0.000390484342019646i</v>
      </c>
      <c r="U94" s="17">
        <f t="shared" si="100"/>
        <v>1.0000000762390078</v>
      </c>
      <c r="V94" s="17">
        <f t="shared" si="101"/>
        <v>3.9048432217288784E-4</v>
      </c>
      <c r="W94" s="31" t="str">
        <f t="shared" si="91"/>
        <v>1-0.0012202635688114i</v>
      </c>
      <c r="X94" s="17">
        <f t="shared" si="102"/>
        <v>1.0000007445213115</v>
      </c>
      <c r="Y94" s="17">
        <f t="shared" si="103"/>
        <v>-1.2202629631368938E-3</v>
      </c>
      <c r="Z94" s="31" t="str">
        <f t="shared" si="92"/>
        <v>0.99999979208717+0.0107644930018367i</v>
      </c>
      <c r="AA94" s="17">
        <f t="shared" si="104"/>
        <v>1.0000577275757483</v>
      </c>
      <c r="AB94" s="17">
        <f t="shared" si="105"/>
        <v>1.076407949249345E-2</v>
      </c>
      <c r="AC94" s="66" t="str">
        <f t="shared" si="106"/>
        <v>0.669103103950504-16.1247186683222i</v>
      </c>
      <c r="AD94" s="64">
        <f t="shared" si="107"/>
        <v>24.157314503176828</v>
      </c>
      <c r="AE94" s="61">
        <f t="shared" si="108"/>
        <v>-87.623846736012212</v>
      </c>
      <c r="AF94" s="31" t="str">
        <f t="shared" si="93"/>
        <v>-0.000495863624968664</v>
      </c>
      <c r="AG94" s="31" t="str">
        <f t="shared" si="94"/>
        <v>0.0000798034296023854i</v>
      </c>
      <c r="AH94" s="31">
        <f t="shared" si="109"/>
        <v>7.9803429602385399E-5</v>
      </c>
      <c r="AI94" s="31">
        <f t="shared" si="110"/>
        <v>1.5707963267948966</v>
      </c>
      <c r="AJ94" s="31" t="str">
        <f t="shared" si="95"/>
        <v>1+0.000311368449598847i</v>
      </c>
      <c r="AK94" s="31">
        <f t="shared" si="111"/>
        <v>1.0000000484751546</v>
      </c>
      <c r="AL94" s="31">
        <f t="shared" si="112"/>
        <v>3.1136843953642485E-4</v>
      </c>
      <c r="AM94" s="31" t="str">
        <f t="shared" si="96"/>
        <v>1+0.0954517280492468i</v>
      </c>
      <c r="AN94" s="31">
        <f t="shared" si="113"/>
        <v>1.0045451868321242</v>
      </c>
      <c r="AO94" s="31">
        <f t="shared" si="114"/>
        <v>9.5163414587119355E-2</v>
      </c>
      <c r="AP94" s="58" t="str">
        <f t="shared" si="115"/>
        <v>-0.591160546021243+6.21374691233559i</v>
      </c>
      <c r="AQ94" s="49">
        <f t="shared" si="116"/>
        <v>15.906203023842911</v>
      </c>
      <c r="AR94" s="61">
        <f t="shared" si="117"/>
        <v>95.434621922436619</v>
      </c>
      <c r="AS94" s="58" t="str">
        <f t="shared" si="118"/>
        <v>99.7993734812912+13.6899348386109i</v>
      </c>
      <c r="AT94" s="64">
        <f t="shared" si="119"/>
        <v>40.063517527019734</v>
      </c>
      <c r="AU94" s="61">
        <f t="shared" si="120"/>
        <v>7.8107751864244364</v>
      </c>
    </row>
    <row r="95" spans="14:47" x14ac:dyDescent="0.25">
      <c r="N95" s="10">
        <v>77</v>
      </c>
      <c r="O95" s="50">
        <f t="shared" si="97"/>
        <v>58.884365535558949</v>
      </c>
      <c r="P95" s="48" t="str">
        <f t="shared" si="88"/>
        <v>304.285714285714</v>
      </c>
      <c r="Q95" s="17" t="str">
        <f t="shared" si="89"/>
        <v>1+19.2654590199461i</v>
      </c>
      <c r="R95" s="17">
        <f t="shared" si="98"/>
        <v>19.291394746083615</v>
      </c>
      <c r="S95" s="17">
        <f t="shared" si="99"/>
        <v>1.5189365004777349</v>
      </c>
      <c r="T95" s="17" t="str">
        <f t="shared" si="90"/>
        <v>1+0.000399579890784065i</v>
      </c>
      <c r="U95" s="17">
        <f t="shared" si="100"/>
        <v>1.0000000798320414</v>
      </c>
      <c r="V95" s="17">
        <f t="shared" si="101"/>
        <v>3.9957986951788061E-4</v>
      </c>
      <c r="W95" s="31" t="str">
        <f t="shared" si="91"/>
        <v>1-0.00124868715870021i</v>
      </c>
      <c r="X95" s="17">
        <f t="shared" si="102"/>
        <v>1.0000007796095063</v>
      </c>
      <c r="Y95" s="17">
        <f t="shared" si="103"/>
        <v>-1.2486865097083113E-3</v>
      </c>
      <c r="Z95" s="31" t="str">
        <f t="shared" si="92"/>
        <v>0.99999978228854+0.0110152302542347i</v>
      </c>
      <c r="AA95" s="17">
        <f t="shared" si="104"/>
        <v>1.0000604481103537</v>
      </c>
      <c r="AB95" s="17">
        <f t="shared" si="105"/>
        <v>1.1014787172436959E-2</v>
      </c>
      <c r="AC95" s="66" t="str">
        <f t="shared" si="106"/>
        <v>0.630655357881349-15.7595785726226i</v>
      </c>
      <c r="AD95" s="64">
        <f t="shared" si="107"/>
        <v>23.95784114814948</v>
      </c>
      <c r="AE95" s="61">
        <f t="shared" si="108"/>
        <v>-87.708401869800085</v>
      </c>
      <c r="AF95" s="31" t="str">
        <f t="shared" si="93"/>
        <v>-0.000495863624968664</v>
      </c>
      <c r="AG95" s="31" t="str">
        <f t="shared" si="94"/>
        <v>0.0000816622902720916i</v>
      </c>
      <c r="AH95" s="31">
        <f t="shared" si="109"/>
        <v>8.1662290272091606E-5</v>
      </c>
      <c r="AI95" s="31">
        <f t="shared" si="110"/>
        <v>1.5707963267948966</v>
      </c>
      <c r="AJ95" s="31" t="str">
        <f t="shared" si="95"/>
        <v>1+0.000318621152491823i</v>
      </c>
      <c r="AK95" s="31">
        <f t="shared" si="111"/>
        <v>1.0000000507597182</v>
      </c>
      <c r="AL95" s="31">
        <f t="shared" si="112"/>
        <v>3.1862114170974344E-4</v>
      </c>
      <c r="AM95" s="31" t="str">
        <f t="shared" si="96"/>
        <v>1+0.0976750844138826i</v>
      </c>
      <c r="AN95" s="31">
        <f t="shared" si="113"/>
        <v>1.0047588875522619</v>
      </c>
      <c r="AO95" s="31">
        <f t="shared" si="114"/>
        <v>9.7366229944943677E-2</v>
      </c>
      <c r="AP95" s="58" t="str">
        <f t="shared" si="115"/>
        <v>-0.591160543320155+6.07231324176062i</v>
      </c>
      <c r="AQ95" s="49">
        <f t="shared" si="116"/>
        <v>15.708050589839059</v>
      </c>
      <c r="AR95" s="61">
        <f t="shared" si="117"/>
        <v>95.56041839626198</v>
      </c>
      <c r="AS95" s="58" t="str">
        <f t="shared" si="118"/>
        <v>95.3242790870902+13.1459779121384i</v>
      </c>
      <c r="AT95" s="64">
        <f t="shared" si="119"/>
        <v>39.665891737988538</v>
      </c>
      <c r="AU95" s="61">
        <f t="shared" si="120"/>
        <v>7.852016526461882</v>
      </c>
    </row>
    <row r="96" spans="14:47" x14ac:dyDescent="0.25">
      <c r="N96" s="10">
        <v>78</v>
      </c>
      <c r="O96" s="50">
        <f t="shared" si="97"/>
        <v>60.255958607435822</v>
      </c>
      <c r="P96" s="48" t="str">
        <f t="shared" si="88"/>
        <v>304.285714285714</v>
      </c>
      <c r="Q96" s="17" t="str">
        <f t="shared" si="89"/>
        <v>1+19.7142092081828i</v>
      </c>
      <c r="R96" s="17">
        <f t="shared" si="98"/>
        <v>19.739555331972387</v>
      </c>
      <c r="S96" s="17">
        <f t="shared" si="99"/>
        <v>1.5201149303725217</v>
      </c>
      <c r="T96" s="17" t="str">
        <f t="shared" si="90"/>
        <v>1+0.000408887302095643i</v>
      </c>
      <c r="U96" s="17">
        <f t="shared" si="100"/>
        <v>1.0000000835944094</v>
      </c>
      <c r="V96" s="17">
        <f t="shared" si="101"/>
        <v>4.0888727930851602E-4</v>
      </c>
      <c r="W96" s="31" t="str">
        <f t="shared" si="91"/>
        <v>1-0.00127777281904889i</v>
      </c>
      <c r="X96" s="17">
        <f t="shared" si="102"/>
        <v>1.0000008163513554</v>
      </c>
      <c r="Y96" s="17">
        <f t="shared" si="103"/>
        <v>-1.2777721236415724E-3</v>
      </c>
      <c r="Z96" s="31" t="str">
        <f t="shared" si="92"/>
        <v>0.999999772028115+0.0112718079275173i</v>
      </c>
      <c r="AA96" s="17">
        <f t="shared" si="104"/>
        <v>1.0000632968518728</v>
      </c>
      <c r="AB96" s="17">
        <f t="shared" si="105"/>
        <v>1.1271333158440148E-2</v>
      </c>
      <c r="AC96" s="66" t="str">
        <f t="shared" si="106"/>
        <v>0.593929047528594-15.402615182883i</v>
      </c>
      <c r="AD96" s="64">
        <f t="shared" si="107"/>
        <v>23.758342009233754</v>
      </c>
      <c r="AE96" s="61">
        <f t="shared" si="108"/>
        <v>-87.791753139096144</v>
      </c>
      <c r="AF96" s="31" t="str">
        <f t="shared" si="93"/>
        <v>-0.000495863624968664</v>
      </c>
      <c r="AG96" s="31" t="str">
        <f t="shared" si="94"/>
        <v>0.0000835644493690281i</v>
      </c>
      <c r="AH96" s="31">
        <f t="shared" si="109"/>
        <v>8.3564449369028101E-5</v>
      </c>
      <c r="AI96" s="31">
        <f t="shared" si="110"/>
        <v>1.5707963267948966</v>
      </c>
      <c r="AJ96" s="31" t="str">
        <f t="shared" si="95"/>
        <v>1+0.0003260427925373i</v>
      </c>
      <c r="AK96" s="31">
        <f t="shared" si="111"/>
        <v>1.00000005315195</v>
      </c>
      <c r="AL96" s="31">
        <f t="shared" si="112"/>
        <v>3.2604278098409366E-4</v>
      </c>
      <c r="AM96" s="31" t="str">
        <f t="shared" si="96"/>
        <v>1+0.0999502294011571i</v>
      </c>
      <c r="AN96" s="31">
        <f t="shared" si="113"/>
        <v>1.0049826109726196</v>
      </c>
      <c r="AO96" s="31">
        <f t="shared" si="114"/>
        <v>9.9619374427733817E-2</v>
      </c>
      <c r="AP96" s="58" t="str">
        <f t="shared" si="115"/>
        <v>-0.591160540491768+5.93409919204295i</v>
      </c>
      <c r="AQ96" s="49">
        <f t="shared" si="116"/>
        <v>15.509984386865472</v>
      </c>
      <c r="AR96" s="61">
        <f t="shared" si="117"/>
        <v>95.689088837151544</v>
      </c>
      <c r="AS96" s="58" t="str">
        <f t="shared" si="118"/>
        <v>91.0495388953437+12.6298521975701i</v>
      </c>
      <c r="AT96" s="64">
        <f t="shared" si="119"/>
        <v>39.268326396099219</v>
      </c>
      <c r="AU96" s="61">
        <f t="shared" si="120"/>
        <v>7.8973356980554028</v>
      </c>
    </row>
    <row r="97" spans="14:47" x14ac:dyDescent="0.25">
      <c r="N97" s="10">
        <v>79</v>
      </c>
      <c r="O97" s="50">
        <f t="shared" si="97"/>
        <v>61.659500186148257</v>
      </c>
      <c r="P97" s="48" t="str">
        <f t="shared" si="88"/>
        <v>304.285714285714</v>
      </c>
      <c r="Q97" s="17" t="str">
        <f t="shared" si="89"/>
        <v>1+20.1734121310902i</v>
      </c>
      <c r="R97" s="17">
        <f t="shared" si="98"/>
        <v>20.19818202242017</v>
      </c>
      <c r="S97" s="17">
        <f t="shared" si="99"/>
        <v>1.5212666720770451</v>
      </c>
      <c r="T97" s="17" t="str">
        <f t="shared" si="90"/>
        <v>1+0.000418411510867056i</v>
      </c>
      <c r="U97" s="17">
        <f t="shared" si="100"/>
        <v>1.0000000875340924</v>
      </c>
      <c r="V97" s="17">
        <f t="shared" si="101"/>
        <v>4.1841148645020958E-4</v>
      </c>
      <c r="W97" s="31" t="str">
        <f t="shared" si="91"/>
        <v>1-0.00130753597145955i</v>
      </c>
      <c r="X97" s="17">
        <f t="shared" si="102"/>
        <v>1.000000854824793</v>
      </c>
      <c r="Y97" s="17">
        <f t="shared" si="103"/>
        <v>-1.3075352263172185E-3</v>
      </c>
      <c r="Z97" s="31" t="str">
        <f t="shared" si="92"/>
        <v>0.999999761284131+0.0115343620625631i</v>
      </c>
      <c r="AA97" s="17">
        <f t="shared" si="104"/>
        <v>1.0000662798417459</v>
      </c>
      <c r="AB97" s="17">
        <f t="shared" si="105"/>
        <v>1.1533853340152337E-2</v>
      </c>
      <c r="AC97" s="66" t="str">
        <f t="shared" si="106"/>
        <v>0.558847496877446-15.0536511347026i</v>
      </c>
      <c r="AD97" s="64">
        <f t="shared" si="107"/>
        <v>23.55881814007234</v>
      </c>
      <c r="AE97" s="61">
        <f t="shared" si="108"/>
        <v>-87.873943979599758</v>
      </c>
      <c r="AF97" s="31" t="str">
        <f t="shared" si="93"/>
        <v>-0.000495863624968664</v>
      </c>
      <c r="AG97" s="31" t="str">
        <f t="shared" si="94"/>
        <v>0.0000855109154431263i</v>
      </c>
      <c r="AH97" s="31">
        <f t="shared" si="109"/>
        <v>8.5510915443126305E-5</v>
      </c>
      <c r="AI97" s="31">
        <f t="shared" si="110"/>
        <v>1.5707963267948966</v>
      </c>
      <c r="AJ97" s="31" t="str">
        <f t="shared" si="95"/>
        <v>1+0.000333637304787067i</v>
      </c>
      <c r="AK97" s="31">
        <f t="shared" si="111"/>
        <v>1.0000000556569242</v>
      </c>
      <c r="AL97" s="31">
        <f t="shared" si="112"/>
        <v>3.3363729240758341E-4</v>
      </c>
      <c r="AM97" s="31" t="str">
        <f t="shared" si="96"/>
        <v>1+0.102278369323058i</v>
      </c>
      <c r="AN97" s="31">
        <f t="shared" si="113"/>
        <v>1.0052168247852717</v>
      </c>
      <c r="AO97" s="31">
        <f t="shared" si="114"/>
        <v>0.1019239511246835</v>
      </c>
      <c r="AP97" s="58" t="str">
        <f t="shared" si="115"/>
        <v>-0.591160537530084+5.7990314802639i</v>
      </c>
      <c r="AQ97" s="49">
        <f t="shared" si="116"/>
        <v>15.312008398446162</v>
      </c>
      <c r="AR97" s="61">
        <f t="shared" si="117"/>
        <v>95.820696221998915</v>
      </c>
      <c r="AS97" s="58" t="str">
        <f t="shared" si="118"/>
        <v>86.9662282363993+12.1398987236401i</v>
      </c>
      <c r="AT97" s="64">
        <f t="shared" si="119"/>
        <v>38.8708265385185</v>
      </c>
      <c r="AU97" s="61">
        <f t="shared" si="120"/>
        <v>7.9467522423991275</v>
      </c>
    </row>
    <row r="98" spans="14:47" x14ac:dyDescent="0.25">
      <c r="N98" s="10">
        <v>80</v>
      </c>
      <c r="O98" s="50">
        <f t="shared" si="97"/>
        <v>63.095734448019364</v>
      </c>
      <c r="P98" s="48" t="str">
        <f t="shared" si="88"/>
        <v>304.285714285714</v>
      </c>
      <c r="Q98" s="17" t="str">
        <f t="shared" si="89"/>
        <v>1+20.6433112641362i</v>
      </c>
      <c r="R98" s="17">
        <f t="shared" si="98"/>
        <v>20.667517991960537</v>
      </c>
      <c r="S98" s="17">
        <f t="shared" si="99"/>
        <v>1.5223923240306956</v>
      </c>
      <c r="T98" s="17" t="str">
        <f t="shared" si="90"/>
        <v>1+0.00042815756695986i</v>
      </c>
      <c r="U98" s="17">
        <f t="shared" si="100"/>
        <v>1.0000000916594469</v>
      </c>
      <c r="V98" s="17">
        <f t="shared" si="101"/>
        <v>4.2815754079673782E-4</v>
      </c>
      <c r="W98" s="31" t="str">
        <f t="shared" si="91"/>
        <v>1-0.00133799239674956i</v>
      </c>
      <c r="X98" s="17">
        <f t="shared" si="102"/>
        <v>1.0000008951114263</v>
      </c>
      <c r="Y98" s="17">
        <f t="shared" si="103"/>
        <v>-1.3379915983152051E-3</v>
      </c>
      <c r="Z98" s="31" t="str">
        <f t="shared" si="92"/>
        <v>0.999999750033799+0.0118030318690498i</v>
      </c>
      <c r="AA98" s="17">
        <f t="shared" si="104"/>
        <v>1.0000694034060646</v>
      </c>
      <c r="AB98" s="17">
        <f t="shared" si="105"/>
        <v>1.1802486765208762E-2</v>
      </c>
      <c r="AC98" s="66" t="str">
        <f t="shared" si="106"/>
        <v>0.525337411374765-14.7125125171998i</v>
      </c>
      <c r="AD98" s="64">
        <f t="shared" si="107"/>
        <v>23.359270542622845</v>
      </c>
      <c r="AE98" s="61">
        <f t="shared" si="108"/>
        <v>-87.955017261030264</v>
      </c>
      <c r="AF98" s="31" t="str">
        <f t="shared" si="93"/>
        <v>-0.000495863624968664</v>
      </c>
      <c r="AG98" s="31" t="str">
        <f t="shared" si="94"/>
        <v>0.0000875027205364633i</v>
      </c>
      <c r="AH98" s="31">
        <f t="shared" si="109"/>
        <v>8.7502720536463302E-5</v>
      </c>
      <c r="AI98" s="31">
        <f t="shared" si="110"/>
        <v>1.5707963267948966</v>
      </c>
      <c r="AJ98" s="31" t="str">
        <f t="shared" si="95"/>
        <v>1+0.000341408715952044i</v>
      </c>
      <c r="AK98" s="31">
        <f t="shared" si="111"/>
        <v>1.000000058279954</v>
      </c>
      <c r="AL98" s="31">
        <f t="shared" si="112"/>
        <v>3.4140870268718835E-4</v>
      </c>
      <c r="AM98" s="31" t="str">
        <f t="shared" si="96"/>
        <v>1+0.104660738590188i</v>
      </c>
      <c r="AN98" s="31">
        <f t="shared" si="113"/>
        <v>1.0054620182792802</v>
      </c>
      <c r="AO98" s="31">
        <f t="shared" si="114"/>
        <v>0.1042810839809955</v>
      </c>
      <c r="AP98" s="58" t="str">
        <f t="shared" si="115"/>
        <v>-0.591160534428819+5.66703849173483i</v>
      </c>
      <c r="AQ98" s="49">
        <f t="shared" si="116"/>
        <v>15.114126788204743</v>
      </c>
      <c r="AR98" s="61">
        <f t="shared" si="117"/>
        <v>95.955304717407316</v>
      </c>
      <c r="AS98" s="58" t="str">
        <f t="shared" si="118"/>
        <v>83.065816000238+11.6745640938676i</v>
      </c>
      <c r="AT98" s="64">
        <f t="shared" si="119"/>
        <v>38.473397330827581</v>
      </c>
      <c r="AU98" s="61">
        <f t="shared" si="120"/>
        <v>8.000287456377027</v>
      </c>
    </row>
    <row r="99" spans="14:47" x14ac:dyDescent="0.25">
      <c r="N99" s="10">
        <v>81</v>
      </c>
      <c r="O99" s="50">
        <f t="shared" si="97"/>
        <v>64.565422903465588</v>
      </c>
      <c r="P99" s="48" t="str">
        <f t="shared" si="88"/>
        <v>304.285714285714</v>
      </c>
      <c r="Q99" s="17" t="str">
        <f t="shared" si="89"/>
        <v>1+21.1241557540609i</v>
      </c>
      <c r="R99" s="17">
        <f t="shared" si="98"/>
        <v>21.147812093023344</v>
      </c>
      <c r="S99" s="17">
        <f t="shared" si="99"/>
        <v>1.5234924716521159</v>
      </c>
      <c r="T99" s="17" t="str">
        <f t="shared" si="90"/>
        <v>1+0.000438130637862002i</v>
      </c>
      <c r="U99" s="17">
        <f t="shared" si="100"/>
        <v>1.0000000959792232</v>
      </c>
      <c r="V99" s="17">
        <f t="shared" si="101"/>
        <v>4.3813060982771167E-4</v>
      </c>
      <c r="W99" s="31" t="str">
        <f t="shared" si="91"/>
        <v>1-0.00136915824331876i</v>
      </c>
      <c r="X99" s="17">
        <f t="shared" si="102"/>
        <v>1.0000009372967085</v>
      </c>
      <c r="Y99" s="17">
        <f t="shared" si="103"/>
        <v>-1.3691573877809781E-3</v>
      </c>
      <c r="Z99" s="31" t="str">
        <f t="shared" si="92"/>
        <v>0.999999738253255+0.0120779597992651i</v>
      </c>
      <c r="AA99" s="17">
        <f t="shared" si="104"/>
        <v>1.0000726741689783</v>
      </c>
      <c r="AB99" s="17">
        <f t="shared" si="105"/>
        <v>1.2077375712268449E-2</v>
      </c>
      <c r="AC99" s="66" t="str">
        <f t="shared" si="106"/>
        <v>0.493328731834156-14.3790288326763i</v>
      </c>
      <c r="AD99" s="64">
        <f t="shared" si="107"/>
        <v>23.159700169215974</v>
      </c>
      <c r="AE99" s="61">
        <f t="shared" si="108"/>
        <v>-88.035015306517636</v>
      </c>
      <c r="AF99" s="31" t="str">
        <f t="shared" si="93"/>
        <v>-0.000495863624968664</v>
      </c>
      <c r="AG99" s="31" t="str">
        <f t="shared" si="94"/>
        <v>0.0000895409207304641i</v>
      </c>
      <c r="AH99" s="31">
        <f t="shared" si="109"/>
        <v>8.9540920730464093E-5</v>
      </c>
      <c r="AI99" s="31">
        <f t="shared" si="110"/>
        <v>1.5707963267948966</v>
      </c>
      <c r="AJ99" s="31" t="str">
        <f t="shared" si="95"/>
        <v>1+0.000349361146537297i</v>
      </c>
      <c r="AK99" s="31">
        <f t="shared" si="111"/>
        <v>1.0000000610266035</v>
      </c>
      <c r="AL99" s="31">
        <f t="shared" si="112"/>
        <v>3.4936113232374817E-4</v>
      </c>
      <c r="AM99" s="31" t="str">
        <f t="shared" si="96"/>
        <v>1+0.107098600366267i</v>
      </c>
      <c r="AN99" s="31">
        <f t="shared" si="113"/>
        <v>1.0057187033163961</v>
      </c>
      <c r="AO99" s="31">
        <f t="shared" si="114"/>
        <v>0.1066919179511714</v>
      </c>
      <c r="AP99" s="58" t="str">
        <f t="shared" si="115"/>
        <v>-0.591160531181398+5.5380502420261i</v>
      </c>
      <c r="AQ99" s="49">
        <f t="shared" si="116"/>
        <v>14.91634390763296</v>
      </c>
      <c r="AR99" s="61">
        <f t="shared" si="117"/>
        <v>96.092979688350155</v>
      </c>
      <c r="AS99" s="58" t="str">
        <f t="shared" si="118"/>
        <v>79.3401476317451+11.2323936253301i</v>
      </c>
      <c r="AT99" s="64">
        <f t="shared" si="119"/>
        <v>38.076044076848937</v>
      </c>
      <c r="AU99" s="61">
        <f t="shared" si="120"/>
        <v>8.0579643818324964</v>
      </c>
    </row>
    <row r="100" spans="14:47" x14ac:dyDescent="0.25">
      <c r="N100" s="10">
        <v>82</v>
      </c>
      <c r="O100" s="50">
        <f t="shared" si="97"/>
        <v>66.069344800759623</v>
      </c>
      <c r="P100" s="48" t="str">
        <f t="shared" si="88"/>
        <v>304.285714285714</v>
      </c>
      <c r="Q100" s="17" t="str">
        <f t="shared" si="89"/>
        <v>1+21.6162005509777i</v>
      </c>
      <c r="R100" s="17">
        <f t="shared" si="98"/>
        <v>21.639318987899983</v>
      </c>
      <c r="S100" s="17">
        <f t="shared" si="99"/>
        <v>1.5245676875957945</v>
      </c>
      <c r="T100" s="17" t="str">
        <f t="shared" si="90"/>
        <v>1+0.000448336011427684i</v>
      </c>
      <c r="U100" s="17">
        <f t="shared" si="100"/>
        <v>1.0000001005025845</v>
      </c>
      <c r="V100" s="17">
        <f t="shared" si="101"/>
        <v>4.4833598138840089E-4</v>
      </c>
      <c r="W100" s="31" t="str">
        <f t="shared" si="91"/>
        <v>1-0.00140105003571151i</v>
      </c>
      <c r="X100" s="17">
        <f t="shared" si="102"/>
        <v>1.0000009814701196</v>
      </c>
      <c r="Y100" s="17">
        <f t="shared" si="103"/>
        <v>-1.401049118986309E-3</v>
      </c>
      <c r="Z100" s="31" t="str">
        <f t="shared" si="92"/>
        <v>0.999999725917511+0.0123592916236366i</v>
      </c>
      <c r="AA100" s="17">
        <f t="shared" si="104"/>
        <v>1.0000760990667337</v>
      </c>
      <c r="AB100" s="17">
        <f t="shared" si="105"/>
        <v>1.2358665765715822E-2</v>
      </c>
      <c r="AC100" s="66" t="str">
        <f t="shared" si="106"/>
        <v>0.462754494387743-14.0530329547045i</v>
      </c>
      <c r="AD100" s="64">
        <f t="shared" si="107"/>
        <v>22.960107924513935</v>
      </c>
      <c r="AE100" s="61">
        <f t="shared" si="108"/>
        <v>-88.113979911917767</v>
      </c>
      <c r="AF100" s="31" t="str">
        <f t="shared" si="93"/>
        <v>-0.000495863624968664</v>
      </c>
      <c r="AG100" s="31" t="str">
        <f t="shared" si="94"/>
        <v>0.0000916265967058504i</v>
      </c>
      <c r="AH100" s="31">
        <f t="shared" si="109"/>
        <v>9.1626596705850401E-5</v>
      </c>
      <c r="AI100" s="31">
        <f t="shared" si="110"/>
        <v>1.5707963267948966</v>
      </c>
      <c r="AJ100" s="31" t="str">
        <f t="shared" si="95"/>
        <v>1+0.000357498813026786i</v>
      </c>
      <c r="AK100" s="31">
        <f t="shared" si="111"/>
        <v>1.0000000639026987</v>
      </c>
      <c r="AL100" s="31">
        <f t="shared" si="112"/>
        <v>3.5749879779669409E-4</v>
      </c>
      <c r="AM100" s="31" t="str">
        <f t="shared" si="96"/>
        <v>1+0.109593247237878i</v>
      </c>
      <c r="AN100" s="31">
        <f t="shared" si="113"/>
        <v>1.0059874153487918</v>
      </c>
      <c r="AO100" s="31">
        <f t="shared" si="114"/>
        <v>0.10915761913369554</v>
      </c>
      <c r="AP100" s="58" t="str">
        <f t="shared" si="115"/>
        <v>-0.591160527780929+5.41199833986039i</v>
      </c>
      <c r="AQ100" s="49">
        <f t="shared" si="116"/>
        <v>14.718664304158505</v>
      </c>
      <c r="AR100" s="61">
        <f t="shared" si="117"/>
        <v>96.233787705762452</v>
      </c>
      <c r="AS100" s="58" t="str">
        <f t="shared" si="118"/>
        <v>75.7814288297289+10.8120249338153i</v>
      </c>
      <c r="AT100" s="64">
        <f t="shared" si="119"/>
        <v>37.678772228672443</v>
      </c>
      <c r="AU100" s="61">
        <f t="shared" si="120"/>
        <v>8.119807793844684</v>
      </c>
    </row>
    <row r="101" spans="14:47" x14ac:dyDescent="0.25">
      <c r="N101" s="10">
        <v>83</v>
      </c>
      <c r="O101" s="50">
        <f t="shared" si="97"/>
        <v>67.60829753919819</v>
      </c>
      <c r="P101" s="48" t="str">
        <f t="shared" si="88"/>
        <v>304.285714285714</v>
      </c>
      <c r="Q101" s="17" t="str">
        <f t="shared" si="89"/>
        <v>1+22.1197065435508i</v>
      </c>
      <c r="R101" s="17">
        <f t="shared" si="98"/>
        <v>22.142299283787221</v>
      </c>
      <c r="S101" s="17">
        <f t="shared" si="99"/>
        <v>1.5256185320054361</v>
      </c>
      <c r="T101" s="17" t="str">
        <f t="shared" si="90"/>
        <v>1+0.000458779098681053i</v>
      </c>
      <c r="U101" s="17">
        <f t="shared" si="100"/>
        <v>1.0000001052391252</v>
      </c>
      <c r="V101" s="17">
        <f t="shared" si="101"/>
        <v>4.5877906649338136E-4</v>
      </c>
      <c r="W101" s="31" t="str">
        <f t="shared" si="91"/>
        <v>1-0.00143368468337829i</v>
      </c>
      <c r="X101" s="17">
        <f t="shared" si="102"/>
        <v>1.0000010277253577</v>
      </c>
      <c r="Y101" s="17">
        <f t="shared" si="103"/>
        <v>-1.433683701089594E-3</v>
      </c>
      <c r="Z101" s="31" t="str">
        <f t="shared" si="92"/>
        <v>0.999999713000401+0.0126471765080216i</v>
      </c>
      <c r="AA101" s="17">
        <f t="shared" si="104"/>
        <v>1.0000796853623761</v>
      </c>
      <c r="AB101" s="17">
        <f t="shared" si="105"/>
        <v>1.2646505892063035E-2</v>
      </c>
      <c r="AC101" s="66" t="str">
        <f t="shared" si="106"/>
        <v>0.433550696258269-13.7343610848363i</v>
      </c>
      <c r="AD101" s="64">
        <f t="shared" si="107"/>
        <v>22.760494667373923</v>
      </c>
      <c r="AE101" s="61">
        <f t="shared" si="108"/>
        <v>-88.191952365048422</v>
      </c>
      <c r="AF101" s="31" t="str">
        <f t="shared" si="93"/>
        <v>-0.000495863624968664</v>
      </c>
      <c r="AG101" s="31" t="str">
        <f t="shared" si="94"/>
        <v>0.0000937608543156315i</v>
      </c>
      <c r="AH101" s="31">
        <f t="shared" si="109"/>
        <v>9.3760854315631499E-5</v>
      </c>
      <c r="AI101" s="31">
        <f t="shared" si="110"/>
        <v>1.5707963267948966</v>
      </c>
      <c r="AJ101" s="31" t="str">
        <f t="shared" si="95"/>
        <v>1+0.000365826030118997i</v>
      </c>
      <c r="AK101" s="31">
        <f t="shared" si="111"/>
        <v>1.0000000669143398</v>
      </c>
      <c r="AL101" s="31">
        <f t="shared" si="112"/>
        <v>3.6582601379965958E-4</v>
      </c>
      <c r="AM101" s="31" t="str">
        <f t="shared" si="96"/>
        <v>1+0.112146001899813i</v>
      </c>
      <c r="AN101" s="31">
        <f t="shared" si="113"/>
        <v>1.0062687144804379</v>
      </c>
      <c r="AO101" s="31">
        <f t="shared" si="114"/>
        <v>0.11167937488528468</v>
      </c>
      <c r="AP101" s="58" t="str">
        <f t="shared" si="115"/>
        <v>-0.591160524220207+5.28881595085057i</v>
      </c>
      <c r="AQ101" s="49">
        <f t="shared" si="116"/>
        <v>14.5210927295198</v>
      </c>
      <c r="AR101" s="61">
        <f t="shared" si="117"/>
        <v>96.377796552959353</v>
      </c>
      <c r="AS101" s="58" t="str">
        <f t="shared" si="118"/>
        <v>72.3822099233475+10.4121819366145i</v>
      </c>
      <c r="AT101" s="64">
        <f t="shared" si="119"/>
        <v>37.281587396893727</v>
      </c>
      <c r="AU101" s="61">
        <f t="shared" si="120"/>
        <v>8.1858441879108987</v>
      </c>
    </row>
    <row r="102" spans="14:47" x14ac:dyDescent="0.25">
      <c r="N102" s="10">
        <v>84</v>
      </c>
      <c r="O102" s="50">
        <f t="shared" si="97"/>
        <v>69.183097091893657</v>
      </c>
      <c r="P102" s="48" t="str">
        <f t="shared" si="88"/>
        <v>304.285714285714</v>
      </c>
      <c r="Q102" s="17" t="str">
        <f t="shared" si="89"/>
        <v>1+22.6349406973223i</v>
      </c>
      <c r="R102" s="17">
        <f t="shared" si="98"/>
        <v>22.657019670982709</v>
      </c>
      <c r="S102" s="17">
        <f t="shared" si="99"/>
        <v>1.526645552764013</v>
      </c>
      <c r="T102" s="17" t="str">
        <f t="shared" si="90"/>
        <v>1+0.000469465436685202i</v>
      </c>
      <c r="U102" s="17">
        <f t="shared" si="100"/>
        <v>1.000000110198892</v>
      </c>
      <c r="V102" s="17">
        <f t="shared" si="101"/>
        <v>4.6946540219549069E-4</v>
      </c>
      <c r="W102" s="31" t="str">
        <f t="shared" si="91"/>
        <v>1-0.00146707948964126i</v>
      </c>
      <c r="X102" s="17">
        <f t="shared" si="102"/>
        <v>1.0000010761605354</v>
      </c>
      <c r="Y102" s="17">
        <f t="shared" si="103"/>
        <v>-1.4670784371000204E-3</v>
      </c>
      <c r="Z102" s="31" t="str">
        <f t="shared" si="92"/>
        <v>0.999999699474526+0.0129417670927963i</v>
      </c>
      <c r="AA102" s="17">
        <f t="shared" si="104"/>
        <v>1.0000834406611412</v>
      </c>
      <c r="AB102" s="17">
        <f t="shared" si="105"/>
        <v>1.2941048518088282E-2</v>
      </c>
      <c r="AC102" s="66" t="str">
        <f t="shared" si="106"/>
        <v>0.405656167131343-13.4228527081112i</v>
      </c>
      <c r="AD102" s="64">
        <f t="shared" si="107"/>
        <v>22.56086121261864</v>
      </c>
      <c r="AE102" s="61">
        <f t="shared" si="108"/>
        <v>-88.268973464842333</v>
      </c>
      <c r="AF102" s="31" t="str">
        <f t="shared" si="93"/>
        <v>-0.000495863624968664</v>
      </c>
      <c r="AG102" s="31" t="str">
        <f t="shared" si="94"/>
        <v>0.0000959448251714424i</v>
      </c>
      <c r="AH102" s="31">
        <f t="shared" si="109"/>
        <v>9.5944825171442394E-5</v>
      </c>
      <c r="AI102" s="31">
        <f t="shared" si="110"/>
        <v>1.5707963267948966</v>
      </c>
      <c r="AJ102" s="31" t="str">
        <f t="shared" si="95"/>
        <v>1+0.000374347213014658i</v>
      </c>
      <c r="AK102" s="31">
        <f t="shared" si="111"/>
        <v>1.0000000700679155</v>
      </c>
      <c r="AL102" s="31">
        <f t="shared" si="112"/>
        <v>3.7434719552817294E-4</v>
      </c>
      <c r="AM102" s="31" t="str">
        <f t="shared" si="96"/>
        <v>1+0.114758217856383i</v>
      </c>
      <c r="AN102" s="31">
        <f t="shared" si="113"/>
        <v>1.0065631865737854</v>
      </c>
      <c r="AO102" s="31">
        <f t="shared" si="114"/>
        <v>0.11425839391275225</v>
      </c>
      <c r="AP102" s="58" t="str">
        <f t="shared" si="115"/>
        <v>-0.591160520491669+5.16843776206357i</v>
      </c>
      <c r="AQ102" s="49">
        <f t="shared" si="116"/>
        <v>14.323634148456874</v>
      </c>
      <c r="AR102" s="61">
        <f t="shared" si="117"/>
        <v>96.525075230767627</v>
      </c>
      <c r="AS102" s="58" t="str">
        <f t="shared" si="118"/>
        <v>69.1353709003172+10.0316692460256i</v>
      </c>
      <c r="AT102" s="64">
        <f t="shared" si="119"/>
        <v>36.884495361075516</v>
      </c>
      <c r="AU102" s="61">
        <f t="shared" si="120"/>
        <v>8.2561017659252833</v>
      </c>
    </row>
    <row r="103" spans="14:47" x14ac:dyDescent="0.25">
      <c r="N103" s="10">
        <v>85</v>
      </c>
      <c r="O103" s="50">
        <f t="shared" si="97"/>
        <v>70.794578438413865</v>
      </c>
      <c r="P103" s="48" t="str">
        <f t="shared" si="88"/>
        <v>304.285714285714</v>
      </c>
      <c r="Q103" s="17" t="str">
        <f t="shared" si="89"/>
        <v>1+23.1621761962604i</v>
      </c>
      <c r="R103" s="17">
        <f t="shared" si="98"/>
        <v>23.183753064303719</v>
      </c>
      <c r="S103" s="17">
        <f t="shared" si="99"/>
        <v>1.5276492857404138</v>
      </c>
      <c r="T103" s="17" t="str">
        <f t="shared" si="90"/>
        <v>1+0.000480400691477992i</v>
      </c>
      <c r="U103" s="17">
        <f t="shared" si="100"/>
        <v>1.0000001153924056</v>
      </c>
      <c r="V103" s="17">
        <f t="shared" si="101"/>
        <v>4.8040065452160073E-4</v>
      </c>
      <c r="W103" s="31" t="str">
        <f t="shared" si="91"/>
        <v>1-0.00150125216086873i</v>
      </c>
      <c r="X103" s="17">
        <f t="shared" si="102"/>
        <v>1.0000011268783904</v>
      </c>
      <c r="Y103" s="17">
        <f t="shared" si="103"/>
        <v>-1.5012510330505407E-3</v>
      </c>
      <c r="Z103" s="31" t="str">
        <f t="shared" si="92"/>
        <v>0.999999685311197+0.0132432195737881i</v>
      </c>
      <c r="AA103" s="17">
        <f t="shared" si="104"/>
        <v>1.000087372926572</v>
      </c>
      <c r="AB103" s="17">
        <f t="shared" si="105"/>
        <v>1.3242449610749231E-2</v>
      </c>
      <c r="AC103" s="66" t="str">
        <f t="shared" si="106"/>
        <v>0.379012445914115-13.1183505475334i</v>
      </c>
      <c r="AD103" s="64">
        <f t="shared" si="107"/>
        <v>22.361208332718068</v>
      </c>
      <c r="AE103" s="61">
        <f t="shared" si="108"/>
        <v>-88.345083540415075</v>
      </c>
      <c r="AF103" s="31" t="str">
        <f t="shared" si="93"/>
        <v>-0.000495863624968664</v>
      </c>
      <c r="AG103" s="31" t="str">
        <f t="shared" si="94"/>
        <v>0.0000981796672435392i</v>
      </c>
      <c r="AH103" s="31">
        <f t="shared" si="109"/>
        <v>9.8179667243539199E-5</v>
      </c>
      <c r="AI103" s="31">
        <f t="shared" si="110"/>
        <v>1.5707963267948966</v>
      </c>
      <c r="AJ103" s="31" t="str">
        <f t="shared" si="95"/>
        <v>1+0.000383066879757731i</v>
      </c>
      <c r="AK103" s="31">
        <f t="shared" si="111"/>
        <v>1.0000000733701144</v>
      </c>
      <c r="AL103" s="31">
        <f t="shared" si="112"/>
        <v>3.8306686102062475E-4</v>
      </c>
      <c r="AM103" s="31" t="str">
        <f t="shared" si="96"/>
        <v>1+0.117431280139065i</v>
      </c>
      <c r="AN103" s="31">
        <f t="shared" si="113"/>
        <v>1.0068714444034548</v>
      </c>
      <c r="AO103" s="31">
        <f t="shared" si="114"/>
        <v>0.11689590634041049</v>
      </c>
      <c r="AP103" s="58" t="str">
        <f t="shared" si="115"/>
        <v>-0.591160516587408+5.05079994739022i</v>
      </c>
      <c r="AQ103" s="49">
        <f t="shared" si="116"/>
        <v>14.126293747723812</v>
      </c>
      <c r="AR103" s="61">
        <f t="shared" si="117"/>
        <v>96.675693961254254</v>
      </c>
      <c r="AS103" s="58" t="str">
        <f t="shared" si="118"/>
        <v>66.0341070620085+9.6693669283378i</v>
      </c>
      <c r="AT103" s="64">
        <f t="shared" si="119"/>
        <v>36.487502080441878</v>
      </c>
      <c r="AU103" s="61">
        <f t="shared" si="120"/>
        <v>8.3306104208391698</v>
      </c>
    </row>
    <row r="104" spans="14:47" x14ac:dyDescent="0.25">
      <c r="N104" s="10">
        <v>86</v>
      </c>
      <c r="O104" s="50">
        <f t="shared" si="97"/>
        <v>72.443596007499011</v>
      </c>
      <c r="P104" s="48" t="str">
        <f t="shared" si="88"/>
        <v>304.285714285714</v>
      </c>
      <c r="Q104" s="17" t="str">
        <f t="shared" si="89"/>
        <v>1+23.7016925876053i</v>
      </c>
      <c r="R104" s="17">
        <f t="shared" si="98"/>
        <v>23.722778747805744</v>
      </c>
      <c r="S104" s="17">
        <f t="shared" si="99"/>
        <v>1.5286302550326154</v>
      </c>
      <c r="T104" s="17" t="str">
        <f t="shared" si="90"/>
        <v>1+0.000491590661076257i</v>
      </c>
      <c r="U104" s="17">
        <f t="shared" si="100"/>
        <v>1.0000001208306817</v>
      </c>
      <c r="V104" s="17">
        <f t="shared" si="101"/>
        <v>4.9159062147677052E-4</v>
      </c>
      <c r="W104" s="31" t="str">
        <f t="shared" si="91"/>
        <v>1-0.0015362208158633i</v>
      </c>
      <c r="X104" s="17">
        <f t="shared" si="102"/>
        <v>1.0000011799865014</v>
      </c>
      <c r="Y104" s="17">
        <f t="shared" si="103"/>
        <v>-1.5362196073844142E-3</v>
      </c>
      <c r="Z104" s="31" t="str">
        <f t="shared" si="92"/>
        <v>0.999999670480371+0.0135516937850927i</v>
      </c>
      <c r="AA104" s="17">
        <f t="shared" si="104"/>
        <v>1.0000914904973921</v>
      </c>
      <c r="AB104" s="17">
        <f t="shared" si="105"/>
        <v>1.3550868758908511E-2</v>
      </c>
      <c r="AC104" s="66" t="str">
        <f t="shared" si="106"/>
        <v>0.353563662672856-12.8207005176733i</v>
      </c>
      <c r="AD104" s="64">
        <f t="shared" si="107"/>
        <v>22.161536759386216</v>
      </c>
      <c r="AE104" s="61">
        <f t="shared" si="108"/>
        <v>-88.420322470046202</v>
      </c>
      <c r="AF104" s="31" t="str">
        <f t="shared" si="93"/>
        <v>-0.000495863624968664</v>
      </c>
      <c r="AG104" s="31" t="str">
        <f t="shared" si="94"/>
        <v>0.00010046656547477i</v>
      </c>
      <c r="AH104" s="31">
        <f t="shared" si="109"/>
        <v>1.0046656547477001E-4</v>
      </c>
      <c r="AI104" s="31">
        <f t="shared" si="110"/>
        <v>1.5707963267948966</v>
      </c>
      <c r="AJ104" s="31" t="str">
        <f t="shared" si="95"/>
        <v>1+0.000391989653630939i</v>
      </c>
      <c r="AK104" s="31">
        <f t="shared" si="111"/>
        <v>1.0000000768279413</v>
      </c>
      <c r="AL104" s="31">
        <f t="shared" si="112"/>
        <v>3.9198963355376802E-4</v>
      </c>
      <c r="AM104" s="31" t="str">
        <f t="shared" si="96"/>
        <v>1+0.120166606040863i</v>
      </c>
      <c r="AN104" s="31">
        <f t="shared" si="113"/>
        <v>1.0071941288586723</v>
      </c>
      <c r="AO104" s="31">
        <f t="shared" si="114"/>
        <v>0.11959316375079625</v>
      </c>
      <c r="AP104" s="58" t="str">
        <f t="shared" si="115"/>
        <v>-0.591160512499146+4.93584013370407i</v>
      </c>
      <c r="AQ104" s="49">
        <f t="shared" si="116"/>
        <v>13.929076945432556</v>
      </c>
      <c r="AR104" s="61">
        <f t="shared" si="117"/>
        <v>96.829724189922047</v>
      </c>
      <c r="AS104" s="58" t="str">
        <f t="shared" si="118"/>
        <v>63.0719152813057+9.32422560466591i</v>
      </c>
      <c r="AT104" s="64">
        <f t="shared" si="119"/>
        <v>36.090613704818779</v>
      </c>
      <c r="AU104" s="61">
        <f t="shared" si="120"/>
        <v>8.4094017198758575</v>
      </c>
    </row>
    <row r="105" spans="14:47" x14ac:dyDescent="0.25">
      <c r="N105" s="10">
        <v>87</v>
      </c>
      <c r="O105" s="50">
        <f t="shared" si="97"/>
        <v>74.131024130091816</v>
      </c>
      <c r="P105" s="48" t="str">
        <f t="shared" si="88"/>
        <v>304.285714285714</v>
      </c>
      <c r="Q105" s="17" t="str">
        <f t="shared" si="89"/>
        <v>1+24.2537759300892i</v>
      </c>
      <c r="R105" s="17">
        <f t="shared" si="98"/>
        <v>24.274382522877367</v>
      </c>
      <c r="S105" s="17">
        <f t="shared" si="99"/>
        <v>1.5295889732073189</v>
      </c>
      <c r="T105" s="17" t="str">
        <f t="shared" si="90"/>
        <v>1+0.000503041278549997i</v>
      </c>
      <c r="U105" s="17">
        <f t="shared" si="100"/>
        <v>1.0000001265252558</v>
      </c>
      <c r="V105" s="17">
        <f t="shared" si="101"/>
        <v>5.0304123611838306E-4</v>
      </c>
      <c r="W105" s="31" t="str">
        <f t="shared" si="91"/>
        <v>1-0.00157200399546874i</v>
      </c>
      <c r="X105" s="17">
        <f t="shared" si="102"/>
        <v>1.0000012355975176</v>
      </c>
      <c r="Y105" s="17">
        <f t="shared" si="103"/>
        <v>-1.5720027005603704E-3</v>
      </c>
      <c r="Z105" s="31" t="str">
        <f t="shared" si="92"/>
        <v>0.999999654950589+0.01386735328382i</v>
      </c>
      <c r="AA105" s="17">
        <f t="shared" si="104"/>
        <v>1.000095802105176</v>
      </c>
      <c r="AB105" s="17">
        <f t="shared" si="105"/>
        <v>1.3866469256909928E-2</v>
      </c>
      <c r="AC105" s="66" t="str">
        <f t="shared" si="106"/>
        <v>0.329256425548326-12.5297516775338i</v>
      </c>
      <c r="AD105" s="64">
        <f t="shared" si="107"/>
        <v>21.961847185093845</v>
      </c>
      <c r="AE105" s="61">
        <f t="shared" si="108"/>
        <v>-88.494729700072014</v>
      </c>
      <c r="AF105" s="31" t="str">
        <f t="shared" si="93"/>
        <v>-0.000495863624968664</v>
      </c>
      <c r="AG105" s="31" t="str">
        <f t="shared" si="94"/>
        <v>0.000102806732408848i</v>
      </c>
      <c r="AH105" s="31">
        <f t="shared" si="109"/>
        <v>1.02806732408848E-4</v>
      </c>
      <c r="AI105" s="31">
        <f t="shared" si="110"/>
        <v>1.5707963267948966</v>
      </c>
      <c r="AJ105" s="31" t="str">
        <f t="shared" si="95"/>
        <v>1+0.000401120265607101i</v>
      </c>
      <c r="AK105" s="31">
        <f t="shared" si="111"/>
        <v>1.0000000804487306</v>
      </c>
      <c r="AL105" s="31">
        <f t="shared" si="112"/>
        <v>4.0112024409402481E-4</v>
      </c>
      <c r="AM105" s="31" t="str">
        <f t="shared" si="96"/>
        <v>1+0.122965645867777i</v>
      </c>
      <c r="AN105" s="31">
        <f t="shared" si="113"/>
        <v>1.0075319101962377</v>
      </c>
      <c r="AO105" s="31">
        <f t="shared" si="114"/>
        <v>0.12235143919637521</v>
      </c>
      <c r="AP105" s="58" t="str">
        <f t="shared" si="115"/>
        <v>-0.591160508218207+4.82349736779022i</v>
      </c>
      <c r="AQ105" s="49">
        <f t="shared" si="116"/>
        <v>13.731989400733314</v>
      </c>
      <c r="AR105" s="61">
        <f t="shared" si="117"/>
        <v>96.98723858623994</v>
      </c>
      <c r="AS105" s="58" t="str">
        <f t="shared" si="118"/>
        <v>60.2425808397881+8.99526187149918i</v>
      </c>
      <c r="AT105" s="64">
        <f t="shared" si="119"/>
        <v>35.69383658582715</v>
      </c>
      <c r="AU105" s="61">
        <f t="shared" si="120"/>
        <v>8.4925088861679363</v>
      </c>
    </row>
    <row r="106" spans="14:47" x14ac:dyDescent="0.25">
      <c r="N106" s="10">
        <v>88</v>
      </c>
      <c r="O106" s="50">
        <f t="shared" si="97"/>
        <v>75.857757502918361</v>
      </c>
      <c r="P106" s="48" t="str">
        <f t="shared" si="88"/>
        <v>304.285714285714</v>
      </c>
      <c r="Q106" s="17" t="str">
        <f t="shared" si="89"/>
        <v>1+24.8187189456079i</v>
      </c>
      <c r="R106" s="17">
        <f t="shared" si="98"/>
        <v>24.838856859788788</v>
      </c>
      <c r="S106" s="17">
        <f t="shared" si="99"/>
        <v>1.5305259415359993</v>
      </c>
      <c r="T106" s="17" t="str">
        <f t="shared" si="90"/>
        <v>1+0.000514758615168163i</v>
      </c>
      <c r="U106" s="17">
        <f t="shared" si="100"/>
        <v>1.0000001324882071</v>
      </c>
      <c r="V106" s="17">
        <f t="shared" si="101"/>
        <v>5.1475856970186981E-4</v>
      </c>
      <c r="W106" s="31" t="str">
        <f t="shared" si="91"/>
        <v>1-0.00160862067240051i</v>
      </c>
      <c r="X106" s="17">
        <f t="shared" si="102"/>
        <v>1.0000012938293967</v>
      </c>
      <c r="Y106" s="17">
        <f t="shared" si="103"/>
        <v>-1.6086192848812904E-3</v>
      </c>
      <c r="Z106" s="31" t="str">
        <f t="shared" si="92"/>
        <v>0.999999638688911+0.0141903654368145i</v>
      </c>
      <c r="AA106" s="17">
        <f t="shared" si="104"/>
        <v>1.0001003168928517</v>
      </c>
      <c r="AB106" s="17">
        <f t="shared" si="105"/>
        <v>1.4189418190045619E-2</v>
      </c>
      <c r="AC106" s="66" t="str">
        <f t="shared" si="106"/>
        <v>0.306039712454195-12.2453561828176i</v>
      </c>
      <c r="AD106" s="64">
        <f t="shared" si="107"/>
        <v>21.76214026450274</v>
      </c>
      <c r="AE106" s="61">
        <f t="shared" si="108"/>
        <v>-88.568344263690065</v>
      </c>
      <c r="AF106" s="31" t="str">
        <f t="shared" si="93"/>
        <v>-0.000495863624968664</v>
      </c>
      <c r="AG106" s="31" t="str">
        <f t="shared" si="94"/>
        <v>0.000105201408833256i</v>
      </c>
      <c r="AH106" s="31">
        <f t="shared" si="109"/>
        <v>1.05201408833256E-4</v>
      </c>
      <c r="AI106" s="31">
        <f t="shared" si="110"/>
        <v>1.5707963267948966</v>
      </c>
      <c r="AJ106" s="31" t="str">
        <f t="shared" si="95"/>
        <v>1+0.000410463556857541i</v>
      </c>
      <c r="AK106" s="31">
        <f t="shared" si="111"/>
        <v>1.0000000842401622</v>
      </c>
      <c r="AL106" s="31">
        <f t="shared" si="112"/>
        <v>4.104635338058646E-4</v>
      </c>
      <c r="AM106" s="31" t="str">
        <f t="shared" si="96"/>
        <v>1+0.125829883707773i</v>
      </c>
      <c r="AN106" s="31">
        <f t="shared" si="113"/>
        <v>1.0078854893458442</v>
      </c>
      <c r="AO106" s="31">
        <f t="shared" si="114"/>
        <v>0.1251720271797247</v>
      </c>
      <c r="AP106" s="58" t="str">
        <f t="shared" si="115"/>
        <v>-0.591160503735525+4.7137120840272i</v>
      </c>
      <c r="AQ106" s="49">
        <f t="shared" si="116"/>
        <v>13.535037023839338</v>
      </c>
      <c r="AR106" s="61">
        <f t="shared" si="117"/>
        <v>97.148311042363957</v>
      </c>
      <c r="AS106" s="58" t="str">
        <f t="shared" si="118"/>
        <v>57.540164821587+8.68155402024293i</v>
      </c>
      <c r="AT106" s="64">
        <f t="shared" si="119"/>
        <v>35.297177288342077</v>
      </c>
      <c r="AU106" s="61">
        <f t="shared" si="120"/>
        <v>8.5799667786739189</v>
      </c>
    </row>
    <row r="107" spans="14:47" x14ac:dyDescent="0.25">
      <c r="N107" s="10">
        <v>89</v>
      </c>
      <c r="O107" s="50">
        <f t="shared" si="97"/>
        <v>77.624711662869217</v>
      </c>
      <c r="P107" s="48" t="str">
        <f t="shared" si="88"/>
        <v>304.285714285714</v>
      </c>
      <c r="Q107" s="17" t="str">
        <f t="shared" si="89"/>
        <v>1+25.3968211744262i</v>
      </c>
      <c r="R107" s="17">
        <f t="shared" si="98"/>
        <v>25.416501052776383</v>
      </c>
      <c r="S107" s="17">
        <f t="shared" si="99"/>
        <v>1.5314416502273267</v>
      </c>
      <c r="T107" s="17" t="str">
        <f t="shared" si="90"/>
        <v>1+0.000526748883617727i</v>
      </c>
      <c r="U107" s="17">
        <f t="shared" si="100"/>
        <v>1.0000001387321835</v>
      </c>
      <c r="V107" s="17">
        <f t="shared" si="101"/>
        <v>5.2674883489971648E-4</v>
      </c>
      <c r="W107" s="31" t="str">
        <f t="shared" si="91"/>
        <v>1-0.0016460902613054i</v>
      </c>
      <c r="X107" s="17">
        <f t="shared" si="102"/>
        <v>1.0000013548056563</v>
      </c>
      <c r="Y107" s="17">
        <f t="shared" si="103"/>
        <v>-1.6460887745518788E-3</v>
      </c>
      <c r="Z107" s="31" t="str">
        <f t="shared" si="92"/>
        <v>0.999999621660844+0.0145209015093953i</v>
      </c>
      <c r="AA107" s="17">
        <f t="shared" si="104"/>
        <v>1.0001050444340716</v>
      </c>
      <c r="AB107" s="17">
        <f t="shared" si="105"/>
        <v>1.4519886521953304E-2</v>
      </c>
      <c r="AC107" s="66" t="str">
        <f t="shared" si="106"/>
        <v>0.283864767369822-11.9673692377139i</v>
      </c>
      <c r="AD107" s="64">
        <f t="shared" si="107"/>
        <v>21.562416615821959</v>
      </c>
      <c r="AE107" s="61">
        <f t="shared" si="108"/>
        <v>-88.641204799675165</v>
      </c>
      <c r="AF107" s="31" t="str">
        <f t="shared" si="93"/>
        <v>-0.000495863624968664</v>
      </c>
      <c r="AG107" s="31" t="str">
        <f t="shared" si="94"/>
        <v>0.000107651864437134i</v>
      </c>
      <c r="AH107" s="31">
        <f t="shared" si="109"/>
        <v>1.0765186443713401E-4</v>
      </c>
      <c r="AI107" s="31">
        <f t="shared" si="110"/>
        <v>1.5707963267948966</v>
      </c>
      <c r="AJ107" s="31" t="str">
        <f t="shared" si="95"/>
        <v>1+0.000420024481318955i</v>
      </c>
      <c r="AK107" s="31">
        <f t="shared" si="111"/>
        <v>1.0000000882102784</v>
      </c>
      <c r="AL107" s="31">
        <f t="shared" si="112"/>
        <v>4.2002445661863886E-4</v>
      </c>
      <c r="AM107" s="31" t="str">
        <f t="shared" si="96"/>
        <v>1+0.128760838217667i</v>
      </c>
      <c r="AN107" s="31">
        <f t="shared" si="113"/>
        <v>1.0082555992696078</v>
      </c>
      <c r="AO107" s="31">
        <f t="shared" si="114"/>
        <v>0.12805624359955403</v>
      </c>
      <c r="AP107" s="58" t="str">
        <f t="shared" si="115"/>
        <v>-0.591160499041571+4.60642607280425i</v>
      </c>
      <c r="AQ107" s="49">
        <f t="shared" si="116"/>
        <v>13.338225986401218</v>
      </c>
      <c r="AR107" s="61">
        <f t="shared" si="117"/>
        <v>97.313016669897067</v>
      </c>
      <c r="AS107" s="58" t="str">
        <f t="shared" si="118"/>
        <v>54.9589920419422+8.38223803634455i</v>
      </c>
      <c r="AT107" s="64">
        <f t="shared" si="119"/>
        <v>34.900642602223179</v>
      </c>
      <c r="AU107" s="61">
        <f t="shared" si="120"/>
        <v>8.6718118702218945</v>
      </c>
    </row>
    <row r="108" spans="14:47" x14ac:dyDescent="0.25">
      <c r="N108" s="10">
        <v>90</v>
      </c>
      <c r="O108" s="50">
        <f t="shared" si="97"/>
        <v>79.432823472428197</v>
      </c>
      <c r="P108" s="48" t="str">
        <f t="shared" si="88"/>
        <v>304.285714285714</v>
      </c>
      <c r="Q108" s="17" t="str">
        <f t="shared" si="89"/>
        <v>1+25.9883891339978i</v>
      </c>
      <c r="R108" s="17">
        <f t="shared" si="98"/>
        <v>26.007621378743863</v>
      </c>
      <c r="S108" s="17">
        <f t="shared" si="99"/>
        <v>1.5323365786559289</v>
      </c>
      <c r="T108" s="17" t="str">
        <f t="shared" si="90"/>
        <v>1+0.000539018441297731i</v>
      </c>
      <c r="U108" s="17">
        <f t="shared" si="100"/>
        <v>1.0000001452704295</v>
      </c>
      <c r="V108" s="17">
        <f t="shared" si="101"/>
        <v>5.3901838909544276E-4</v>
      </c>
      <c r="W108" s="31" t="str">
        <f t="shared" si="91"/>
        <v>1-0.00168443262905541i</v>
      </c>
      <c r="X108" s="17">
        <f t="shared" si="102"/>
        <v>1.0000014186556347</v>
      </c>
      <c r="Y108" s="17">
        <f t="shared" si="103"/>
        <v>-1.6844310359704318E-3</v>
      </c>
      <c r="Z108" s="31" t="str">
        <f t="shared" si="92"/>
        <v>0.999999603830269+0.0148591367561633i</v>
      </c>
      <c r="AA108" s="17">
        <f t="shared" si="104"/>
        <v>1.0001099947534939</v>
      </c>
      <c r="AB108" s="17">
        <f t="shared" si="105"/>
        <v>1.4858049183984765E-2</v>
      </c>
      <c r="AC108" s="66" t="str">
        <f t="shared" si="106"/>
        <v>0.262685001045121-11.6956490463191i</v>
      </c>
      <c r="AD108" s="64">
        <f t="shared" si="107"/>
        <v>21.362676822090187</v>
      </c>
      <c r="AE108" s="61">
        <f t="shared" si="108"/>
        <v>-88.71334957100801</v>
      </c>
      <c r="AF108" s="31" t="str">
        <f t="shared" si="93"/>
        <v>-0.000495863624968664</v>
      </c>
      <c r="AG108" s="31" t="str">
        <f t="shared" si="94"/>
        <v>0.000110159398484477i</v>
      </c>
      <c r="AH108" s="31">
        <f t="shared" si="109"/>
        <v>1.10159398484477E-4</v>
      </c>
      <c r="AI108" s="31">
        <f t="shared" si="110"/>
        <v>1.5707963267948966</v>
      </c>
      <c r="AJ108" s="31" t="str">
        <f t="shared" si="95"/>
        <v>1+0.000429808108320045i</v>
      </c>
      <c r="AK108" s="31">
        <f t="shared" si="111"/>
        <v>1.0000000923675008</v>
      </c>
      <c r="AL108" s="31">
        <f t="shared" si="112"/>
        <v>4.2980808185317951E-4</v>
      </c>
      <c r="AM108" s="31" t="str">
        <f t="shared" si="96"/>
        <v>1+0.131760063428334i</v>
      </c>
      <c r="AN108" s="31">
        <f t="shared" si="113"/>
        <v>1.0086430063776968</v>
      </c>
      <c r="AO108" s="31">
        <f t="shared" si="114"/>
        <v>0.13100542565975334</v>
      </c>
      <c r="AP108" s="58" t="str">
        <f t="shared" si="115"/>
        <v>-0.591160494126397+4.5015824496582i</v>
      </c>
      <c r="AQ108" s="49">
        <f t="shared" si="116"/>
        <v>13.141562732238183</v>
      </c>
      <c r="AR108" s="61">
        <f t="shared" si="117"/>
        <v>97.481431794527893</v>
      </c>
      <c r="AS108" s="58" t="str">
        <f t="shared" si="118"/>
        <v>52.4936394892543+8.09650385984409i</v>
      </c>
      <c r="AT108" s="64">
        <f t="shared" si="119"/>
        <v>34.504239554328365</v>
      </c>
      <c r="AU108" s="61">
        <f t="shared" si="120"/>
        <v>8.768082223519901</v>
      </c>
    </row>
    <row r="109" spans="14:47" x14ac:dyDescent="0.25">
      <c r="N109" s="10">
        <v>91</v>
      </c>
      <c r="O109" s="50">
        <f t="shared" si="97"/>
        <v>81.283051616409963</v>
      </c>
      <c r="P109" s="48" t="str">
        <f t="shared" si="88"/>
        <v>304.285714285714</v>
      </c>
      <c r="Q109" s="17" t="str">
        <f t="shared" si="89"/>
        <v>1+26.5937364814852i</v>
      </c>
      <c r="R109" s="17">
        <f t="shared" si="98"/>
        <v>26.61253125966557</v>
      </c>
      <c r="S109" s="17">
        <f t="shared" si="99"/>
        <v>1.5332111955874701</v>
      </c>
      <c r="T109" s="17" t="str">
        <f t="shared" si="90"/>
        <v>1+0.000551573793690063i</v>
      </c>
      <c r="U109" s="17">
        <f t="shared" si="100"/>
        <v>1.0000001521168134</v>
      </c>
      <c r="V109" s="17">
        <f t="shared" si="101"/>
        <v>5.5157373775430369E-4</v>
      </c>
      <c r="W109" s="31" t="str">
        <f t="shared" si="91"/>
        <v>1-0.00172366810528145i</v>
      </c>
      <c r="X109" s="17">
        <f t="shared" si="102"/>
        <v>1.0000014855147652</v>
      </c>
      <c r="Y109" s="17">
        <f t="shared" si="103"/>
        <v>-1.7236663982602781E-3</v>
      </c>
      <c r="Z109" s="31" t="str">
        <f t="shared" si="92"/>
        <v>0.999999585159365+0.0152052505139232i</v>
      </c>
      <c r="AA109" s="17">
        <f t="shared" si="104"/>
        <v>1.0001151783480207</v>
      </c>
      <c r="AB109" s="17">
        <f t="shared" si="105"/>
        <v>1.5204085166586341E-2</v>
      </c>
      <c r="AC109" s="66" t="str">
        <f t="shared" si="106"/>
        <v>0.24245589594117-11.4300567637936i</v>
      </c>
      <c r="AD109" s="64">
        <f t="shared" si="107"/>
        <v>21.162921432385907</v>
      </c>
      <c r="AE109" s="61">
        <f t="shared" si="108"/>
        <v>-88.784816483417131</v>
      </c>
      <c r="AF109" s="31" t="str">
        <f t="shared" si="93"/>
        <v>-0.000495863624968664</v>
      </c>
      <c r="AG109" s="31" t="str">
        <f t="shared" si="94"/>
        <v>0.000112725340503028i</v>
      </c>
      <c r="AH109" s="31">
        <f t="shared" si="109"/>
        <v>1.12725340503028E-4</v>
      </c>
      <c r="AI109" s="31">
        <f t="shared" si="110"/>
        <v>1.5707963267948966</v>
      </c>
      <c r="AJ109" s="31" t="str">
        <f t="shared" si="95"/>
        <v>1+0.000439819625269349i</v>
      </c>
      <c r="AK109" s="31">
        <f t="shared" si="111"/>
        <v>1.0000000967206466</v>
      </c>
      <c r="AL109" s="31">
        <f t="shared" si="112"/>
        <v>4.3981959690959183E-4</v>
      </c>
      <c r="AM109" s="31" t="str">
        <f t="shared" si="96"/>
        <v>1+0.134829149568682i</v>
      </c>
      <c r="AN109" s="31">
        <f t="shared" si="113"/>
        <v>1.0090485120019821</v>
      </c>
      <c r="AO109" s="31">
        <f t="shared" si="114"/>
        <v>0.1340209317385169</v>
      </c>
      <c r="AP109" s="58" t="str">
        <f t="shared" si="115"/>
        <v>-0.591160488979586+4.39912562511226i</v>
      </c>
      <c r="AQ109" s="49">
        <f t="shared" si="116"/>
        <v>12.945053988428848</v>
      </c>
      <c r="AR109" s="61">
        <f t="shared" si="117"/>
        <v>97.653633948377845</v>
      </c>
      <c r="AS109" s="58" t="str">
        <f t="shared" si="118"/>
        <v>50.1389252600916+7.823591890343i</v>
      </c>
      <c r="AT109" s="64">
        <f t="shared" si="119"/>
        <v>34.107975420814761</v>
      </c>
      <c r="AU109" s="61">
        <f t="shared" si="120"/>
        <v>8.8688174649607152</v>
      </c>
    </row>
    <row r="110" spans="14:47" x14ac:dyDescent="0.25">
      <c r="N110" s="10">
        <v>92</v>
      </c>
      <c r="O110" s="50">
        <f t="shared" si="97"/>
        <v>83.176377110267126</v>
      </c>
      <c r="P110" s="48" t="str">
        <f t="shared" si="88"/>
        <v>304.285714285714</v>
      </c>
      <c r="Q110" s="17" t="str">
        <f t="shared" si="89"/>
        <v>1+27.2131841800649i</v>
      </c>
      <c r="R110" s="17">
        <f t="shared" si="98"/>
        <v>27.231551428777145</v>
      </c>
      <c r="S110" s="17">
        <f t="shared" si="99"/>
        <v>1.5340659594000308</v>
      </c>
      <c r="T110" s="17" t="str">
        <f t="shared" si="90"/>
        <v>1+0.000564421597808752i</v>
      </c>
      <c r="U110" s="17">
        <f t="shared" si="100"/>
        <v>1.0000001592858574</v>
      </c>
      <c r="V110" s="17">
        <f t="shared" si="101"/>
        <v>5.6442153787250658E-4</v>
      </c>
      <c r="W110" s="31" t="str">
        <f t="shared" si="91"/>
        <v>1-0.00176381749315235i</v>
      </c>
      <c r="X110" s="17">
        <f t="shared" si="102"/>
        <v>1.0000015555248647</v>
      </c>
      <c r="Y110" s="17">
        <f t="shared" si="103"/>
        <v>-1.7638156640463634E-3</v>
      </c>
      <c r="Z110" s="31" t="str">
        <f t="shared" si="92"/>
        <v>0.999999565608528+0.015559426296771i</v>
      </c>
      <c r="AA110" s="17">
        <f t="shared" si="104"/>
        <v>1.000120606209036</v>
      </c>
      <c r="AB110" s="17">
        <f t="shared" si="105"/>
        <v>1.5558177612734845E-2</v>
      </c>
      <c r="AC110" s="66" t="str">
        <f t="shared" si="106"/>
        <v>0.223134915236336-11.1704564473498i</v>
      </c>
      <c r="AD110" s="64">
        <f t="shared" si="107"/>
        <v>20.963150962967813</v>
      </c>
      <c r="AE110" s="61">
        <f t="shared" si="108"/>
        <v>-88.855643103836428</v>
      </c>
      <c r="AF110" s="31" t="str">
        <f t="shared" si="93"/>
        <v>-0.000495863624968664</v>
      </c>
      <c r="AG110" s="31" t="str">
        <f t="shared" si="94"/>
        <v>0.000115351050989211i</v>
      </c>
      <c r="AH110" s="31">
        <f t="shared" si="109"/>
        <v>1.15351050989211E-4</v>
      </c>
      <c r="AI110" s="31">
        <f t="shared" si="110"/>
        <v>1.5707963267948966</v>
      </c>
      <c r="AJ110" s="31" t="str">
        <f t="shared" si="95"/>
        <v>1+0.000450064340405672i</v>
      </c>
      <c r="AK110" s="31">
        <f t="shared" si="111"/>
        <v>1.0000001012789501</v>
      </c>
      <c r="AL110" s="31">
        <f t="shared" si="112"/>
        <v>4.5006431001764488E-4</v>
      </c>
      <c r="AM110" s="31" t="str">
        <f t="shared" si="96"/>
        <v>1+0.137969723908806i</v>
      </c>
      <c r="AN110" s="31">
        <f t="shared" si="113"/>
        <v>1.0094729539296594</v>
      </c>
      <c r="AO110" s="31">
        <f t="shared" si="114"/>
        <v>0.13710414121438336</v>
      </c>
      <c r="AP110" s="58" t="str">
        <f t="shared" si="115"/>
        <v>-0.591160483590207+4.29900127520182i</v>
      </c>
      <c r="AQ110" s="49">
        <f t="shared" si="116"/>
        <v>12.748706776767758</v>
      </c>
      <c r="AR110" s="61">
        <f t="shared" si="117"/>
        <v>97.829701859876323</v>
      </c>
      <c r="AS110" s="58" t="str">
        <f t="shared" si="118"/>
        <v>47.8898979673462+7.56278972048171i</v>
      </c>
      <c r="AT110" s="64">
        <f t="shared" si="119"/>
        <v>33.711857739735571</v>
      </c>
      <c r="AU110" s="61">
        <f t="shared" si="120"/>
        <v>8.974058756039911</v>
      </c>
    </row>
    <row r="111" spans="14:47" x14ac:dyDescent="0.25">
      <c r="N111" s="10">
        <v>93</v>
      </c>
      <c r="O111" s="50">
        <f t="shared" si="97"/>
        <v>85.113803820237734</v>
      </c>
      <c r="P111" s="48" t="str">
        <f t="shared" si="88"/>
        <v>304.285714285714</v>
      </c>
      <c r="Q111" s="17" t="str">
        <f t="shared" si="89"/>
        <v>1+27.8470606691059i</v>
      </c>
      <c r="R111" s="17">
        <f t="shared" si="98"/>
        <v>27.865010100641715</v>
      </c>
      <c r="S111" s="17">
        <f t="shared" si="99"/>
        <v>1.5349013183017777</v>
      </c>
      <c r="T111" s="17" t="str">
        <f t="shared" si="90"/>
        <v>1+0.000577568665729603i</v>
      </c>
      <c r="U111" s="17">
        <f t="shared" si="100"/>
        <v>1.0000001667927678</v>
      </c>
      <c r="V111" s="17">
        <f t="shared" si="101"/>
        <v>5.7756860150675964E-4</v>
      </c>
      <c r="W111" s="31" t="str">
        <f t="shared" si="91"/>
        <v>1-0.00180490208040501i</v>
      </c>
      <c r="X111" s="17">
        <f t="shared" si="102"/>
        <v>1.0000016288344333</v>
      </c>
      <c r="Y111" s="17">
        <f t="shared" si="103"/>
        <v>-1.8049001204828064E-3</v>
      </c>
      <c r="Z111" s="31" t="str">
        <f t="shared" si="92"/>
        <v>0.999999545136289+0.0159218518933946i</v>
      </c>
      <c r="AA111" s="17">
        <f t="shared" si="104"/>
        <v>1.0001262898456875</v>
      </c>
      <c r="AB111" s="17">
        <f t="shared" si="105"/>
        <v>1.5920513913468482E-2</v>
      </c>
      <c r="AC111" s="66" t="str">
        <f t="shared" si="106"/>
        <v>0.204681415733572-10.9167150071592i</v>
      </c>
      <c r="AD111" s="64">
        <f t="shared" si="107"/>
        <v>20.763365898348379</v>
      </c>
      <c r="AE111" s="61">
        <f t="shared" si="108"/>
        <v>-88.925866678779812</v>
      </c>
      <c r="AF111" s="31" t="str">
        <f t="shared" si="93"/>
        <v>-0.000495863624968664</v>
      </c>
      <c r="AG111" s="31" t="str">
        <f t="shared" si="94"/>
        <v>0.000118037922129479i</v>
      </c>
      <c r="AH111" s="31">
        <f t="shared" si="109"/>
        <v>1.18037922129479E-4</v>
      </c>
      <c r="AI111" s="31">
        <f t="shared" si="110"/>
        <v>1.5707963267948966</v>
      </c>
      <c r="AJ111" s="31" t="str">
        <f t="shared" si="95"/>
        <v>1+0.000460547685612585i</v>
      </c>
      <c r="AK111" s="31">
        <f t="shared" si="111"/>
        <v>1.0000001060520798</v>
      </c>
      <c r="AL111" s="31">
        <f t="shared" si="112"/>
        <v>4.6054765305122747E-4</v>
      </c>
      <c r="AM111" s="31" t="str">
        <f t="shared" si="96"/>
        <v>1+0.141183451622792i</v>
      </c>
      <c r="AN111" s="31">
        <f t="shared" si="113"/>
        <v>1.0099172079988168</v>
      </c>
      <c r="AO111" s="31">
        <f t="shared" si="114"/>
        <v>0.14025645424590533</v>
      </c>
      <c r="AP111" s="58" t="str">
        <f t="shared" si="115"/>
        <v>-0.591160477946843+4.20115631267131i</v>
      </c>
      <c r="AQ111" s="49">
        <f t="shared" si="116"/>
        <v>12.552528425590438</v>
      </c>
      <c r="AR111" s="61">
        <f t="shared" si="117"/>
        <v>98.00971544097564</v>
      </c>
      <c r="AS111" s="58" t="str">
        <f t="shared" si="118"/>
        <v>45.7418266024086+7.3134290830373i</v>
      </c>
      <c r="AT111" s="64">
        <f t="shared" si="119"/>
        <v>33.315894323938821</v>
      </c>
      <c r="AU111" s="61">
        <f t="shared" si="120"/>
        <v>9.0838487621958386</v>
      </c>
    </row>
    <row r="112" spans="14:47" x14ac:dyDescent="0.25">
      <c r="N112" s="10">
        <v>94</v>
      </c>
      <c r="O112" s="50">
        <f t="shared" si="97"/>
        <v>87.096358995608071</v>
      </c>
      <c r="P112" s="48" t="str">
        <f t="shared" si="88"/>
        <v>304.285714285714</v>
      </c>
      <c r="Q112" s="17" t="str">
        <f t="shared" si="89"/>
        <v>1+28.495702038313i</v>
      </c>
      <c r="R112" s="17">
        <f t="shared" si="98"/>
        <v>28.51324314518283</v>
      </c>
      <c r="S112" s="17">
        <f t="shared" si="99"/>
        <v>1.5357177105449242</v>
      </c>
      <c r="T112" s="17" t="str">
        <f t="shared" si="90"/>
        <v>1+0.000591021968202046i</v>
      </c>
      <c r="U112" s="17">
        <f t="shared" si="100"/>
        <v>1.0000001746534681</v>
      </c>
      <c r="V112" s="17">
        <f t="shared" si="101"/>
        <v>5.9102189938603012E-4</v>
      </c>
      <c r="W112" s="31" t="str">
        <f t="shared" si="91"/>
        <v>1-0.0018469436506314i</v>
      </c>
      <c r="X112" s="17">
        <f t="shared" si="102"/>
        <v>1.0000017055989698</v>
      </c>
      <c r="Y112" s="17">
        <f t="shared" si="103"/>
        <v>-1.8469415505371156E-3</v>
      </c>
      <c r="Z112" s="31" t="str">
        <f t="shared" si="92"/>
        <v>0.999999523699223+0.0162927194666428i</v>
      </c>
      <c r="AA112" s="17">
        <f t="shared" si="104"/>
        <v>1.0001322413092639</v>
      </c>
      <c r="AB112" s="17">
        <f t="shared" si="105"/>
        <v>1.6291285805559937E-2</v>
      </c>
      <c r="AC112" s="66" t="str">
        <f t="shared" si="106"/>
        <v>0.18705656451025-10.6687021572563i</v>
      </c>
      <c r="AD112" s="64">
        <f t="shared" si="107"/>
        <v>20.563566692301013</v>
      </c>
      <c r="AE112" s="61">
        <f t="shared" si="108"/>
        <v>-88.995524152636037</v>
      </c>
      <c r="AF112" s="31" t="str">
        <f t="shared" si="93"/>
        <v>-0.000495863624968664</v>
      </c>
      <c r="AG112" s="31" t="str">
        <f t="shared" si="94"/>
        <v>0.000120787378538478i</v>
      </c>
      <c r="AH112" s="31">
        <f t="shared" si="109"/>
        <v>1.20787378538478E-4</v>
      </c>
      <c r="AI112" s="31">
        <f t="shared" si="110"/>
        <v>1.5707963267948966</v>
      </c>
      <c r="AJ112" s="31" t="str">
        <f t="shared" si="95"/>
        <v>1+0.000471275219298477i</v>
      </c>
      <c r="AK112" s="31">
        <f t="shared" si="111"/>
        <v>1.00000011105016</v>
      </c>
      <c r="AL112" s="31">
        <f t="shared" si="112"/>
        <v>4.7127518440835404E-4</v>
      </c>
      <c r="AM112" s="31" t="str">
        <f t="shared" si="96"/>
        <v>1+0.144472036671611i</v>
      </c>
      <c r="AN112" s="31">
        <f t="shared" si="113"/>
        <v>1.0103821897579368</v>
      </c>
      <c r="AO112" s="31">
        <f t="shared" si="114"/>
        <v>0.14347929150143909</v>
      </c>
      <c r="AP112" s="58" t="str">
        <f t="shared" si="115"/>
        <v>-0.591160472037497+4.10553885882636i</v>
      </c>
      <c r="AQ112" s="49">
        <f t="shared" si="116"/>
        <v>12.356526581968414</v>
      </c>
      <c r="AR112" s="61">
        <f t="shared" si="117"/>
        <v>98.193755771503859</v>
      </c>
      <c r="AS112" s="58" t="str">
        <f t="shared" si="118"/>
        <v>43.6901908328868+7.07488299770649i</v>
      </c>
      <c r="AT112" s="64">
        <f t="shared" si="119"/>
        <v>32.920093274269433</v>
      </c>
      <c r="AU112" s="61">
        <f t="shared" si="120"/>
        <v>9.1982316188678208</v>
      </c>
    </row>
    <row r="113" spans="14:47" x14ac:dyDescent="0.25">
      <c r="N113" s="10">
        <v>95</v>
      </c>
      <c r="O113" s="50">
        <f t="shared" si="97"/>
        <v>89.125093813374562</v>
      </c>
      <c r="P113" s="48" t="str">
        <f t="shared" si="88"/>
        <v>304.285714285714</v>
      </c>
      <c r="Q113" s="17" t="str">
        <f t="shared" si="89"/>
        <v>1+29.1594522059261i</v>
      </c>
      <c r="R113" s="17">
        <f t="shared" si="98"/>
        <v>29.176594265775584</v>
      </c>
      <c r="S113" s="17">
        <f t="shared" si="99"/>
        <v>1.5365155646359783</v>
      </c>
      <c r="T113" s="17" t="str">
        <f t="shared" si="90"/>
        <v>1+0.000604788638345133i</v>
      </c>
      <c r="U113" s="17">
        <f t="shared" si="100"/>
        <v>1.0000001828846319</v>
      </c>
      <c r="V113" s="17">
        <f t="shared" si="101"/>
        <v>6.0478856460744422E-4</v>
      </c>
      <c r="W113" s="31" t="str">
        <f t="shared" si="91"/>
        <v>1-0.00188996449482854i</v>
      </c>
      <c r="X113" s="17">
        <f t="shared" si="102"/>
        <v>1.0000017859813011</v>
      </c>
      <c r="Y113" s="17">
        <f t="shared" si="103"/>
        <v>-1.8899622445371885E-3</v>
      </c>
      <c r="Z113" s="31" t="str">
        <f t="shared" si="92"/>
        <v>0.999999501251859+0.0166722256554118i</v>
      </c>
      <c r="AA113" s="17">
        <f t="shared" si="104"/>
        <v>1.0001384732187195</v>
      </c>
      <c r="AB113" s="17">
        <f t="shared" si="105"/>
        <v>1.6670689471371358E-2</v>
      </c>
      <c r="AC113" s="66" t="str">
        <f t="shared" si="106"/>
        <v>0.170223259157717-10.4262903665153i</v>
      </c>
      <c r="AD113" s="64">
        <f t="shared" si="107"/>
        <v>20.36375376880525</v>
      </c>
      <c r="AE113" s="61">
        <f t="shared" si="108"/>
        <v>-89.064652185886231</v>
      </c>
      <c r="AF113" s="31" t="str">
        <f t="shared" si="93"/>
        <v>-0.000495863624968664</v>
      </c>
      <c r="AG113" s="31" t="str">
        <f t="shared" si="94"/>
        <v>0.000123600878014387i</v>
      </c>
      <c r="AH113" s="31">
        <f t="shared" si="109"/>
        <v>1.2360087801438699E-4</v>
      </c>
      <c r="AI113" s="31">
        <f t="shared" si="110"/>
        <v>1.5707963267948966</v>
      </c>
      <c r="AJ113" s="31" t="str">
        <f t="shared" si="95"/>
        <v>1+0.000482252629343707i</v>
      </c>
      <c r="AK113" s="31">
        <f t="shared" si="111"/>
        <v>1.0000001162837926</v>
      </c>
      <c r="AL113" s="31">
        <f t="shared" si="112"/>
        <v>4.8225259195826693E-4</v>
      </c>
      <c r="AM113" s="31" t="str">
        <f t="shared" si="96"/>
        <v>1+0.147837222706588i</v>
      </c>
      <c r="AN113" s="31">
        <f t="shared" si="113"/>
        <v>1.0108688561913446</v>
      </c>
      <c r="AO113" s="31">
        <f t="shared" si="114"/>
        <v>0.14677409383539594</v>
      </c>
      <c r="AP113" s="58" t="str">
        <f t="shared" si="115"/>
        <v>-0.59116046584967+4.01209821602737i</v>
      </c>
      <c r="AQ113" s="49">
        <f t="shared" si="116"/>
        <v>12.160709224277531</v>
      </c>
      <c r="AR113" s="61">
        <f t="shared" si="117"/>
        <v>98.38190508044687</v>
      </c>
      <c r="AS113" s="58" t="str">
        <f t="shared" si="118"/>
        <v>41.7306717180973+6.84656310454615i</v>
      </c>
      <c r="AT113" s="64">
        <f t="shared" si="119"/>
        <v>32.524462993082793</v>
      </c>
      <c r="AU113" s="61">
        <f t="shared" si="120"/>
        <v>9.3172528945606281</v>
      </c>
    </row>
    <row r="114" spans="14:47" x14ac:dyDescent="0.25">
      <c r="N114" s="10">
        <v>96</v>
      </c>
      <c r="O114" s="50">
        <f t="shared" si="97"/>
        <v>91.201083935590972</v>
      </c>
      <c r="P114" s="48" t="str">
        <f t="shared" si="88"/>
        <v>304.285714285714</v>
      </c>
      <c r="Q114" s="17" t="str">
        <f t="shared" si="89"/>
        <v>1+29.8386631010698i</v>
      </c>
      <c r="R114" s="17">
        <f t="shared" si="98"/>
        <v>29.85541518149001</v>
      </c>
      <c r="S114" s="17">
        <f t="shared" si="99"/>
        <v>1.5372952995422913</v>
      </c>
      <c r="T114" s="17" t="str">
        <f t="shared" si="90"/>
        <v>1+0.000618875975429594i</v>
      </c>
      <c r="U114" s="17">
        <f t="shared" si="100"/>
        <v>1.0000001915037182</v>
      </c>
      <c r="V114" s="17">
        <f t="shared" si="101"/>
        <v>6.1887589641823778E-4</v>
      </c>
      <c r="W114" s="31" t="str">
        <f t="shared" si="91"/>
        <v>1-0.00193398742321748i</v>
      </c>
      <c r="X114" s="17">
        <f t="shared" si="102"/>
        <v>1.0000018701519278</v>
      </c>
      <c r="Y114" s="17">
        <f t="shared" si="103"/>
        <v>-1.933985011987098E-3</v>
      </c>
      <c r="Z114" s="31" t="str">
        <f t="shared" si="92"/>
        <v>0.999999477746583+0.0170605716789062i</v>
      </c>
      <c r="AA114" s="17">
        <f t="shared" si="104"/>
        <v>1.0001449987874007</v>
      </c>
      <c r="AB114" s="17">
        <f t="shared" si="105"/>
        <v>1.7058925640938874E-2</v>
      </c>
      <c r="AC114" s="66" t="str">
        <f t="shared" si="106"/>
        <v>0.154146051463148-10.1893548097631i</v>
      </c>
      <c r="AD114" s="64">
        <f t="shared" si="107"/>
        <v>20.163927522929256</v>
      </c>
      <c r="AE114" s="61">
        <f t="shared" si="108"/>
        <v>-89.133287173247552</v>
      </c>
      <c r="AF114" s="31" t="str">
        <f t="shared" si="93"/>
        <v>-0.000495863624968664</v>
      </c>
      <c r="AG114" s="31" t="str">
        <f t="shared" si="94"/>
        <v>0.00012647991231187i</v>
      </c>
      <c r="AH114" s="31">
        <f t="shared" si="109"/>
        <v>1.2647991231186999E-4</v>
      </c>
      <c r="AI114" s="31">
        <f t="shared" si="110"/>
        <v>1.5707963267948966</v>
      </c>
      <c r="AJ114" s="31" t="str">
        <f t="shared" si="95"/>
        <v>1+0.000493485736116383i</v>
      </c>
      <c r="AK114" s="31">
        <f t="shared" si="111"/>
        <v>1.0000001217640786</v>
      </c>
      <c r="AL114" s="31">
        <f t="shared" si="112"/>
        <v>4.9348569605716253E-4</v>
      </c>
      <c r="AM114" s="31" t="str">
        <f t="shared" si="96"/>
        <v>1+0.151280793993901i</v>
      </c>
      <c r="AN114" s="31">
        <f t="shared" si="113"/>
        <v>1.0113782075126125</v>
      </c>
      <c r="AO114" s="31">
        <f t="shared" si="114"/>
        <v>0.15014232190706439</v>
      </c>
      <c r="AP114" s="58" t="str">
        <f t="shared" si="115"/>
        <v>-0.591160459370215+3.92078484080864i</v>
      </c>
      <c r="AQ114" s="49">
        <f t="shared" si="116"/>
        <v>11.96508467513701</v>
      </c>
      <c r="AR114" s="61">
        <f t="shared" si="117"/>
        <v>98.574246723935218</v>
      </c>
      <c r="AS114" s="58" t="str">
        <f t="shared" si="118"/>
        <v>39.8591428251467+6.62791717187288i</v>
      </c>
      <c r="AT114" s="64">
        <f t="shared" si="119"/>
        <v>32.129012198066263</v>
      </c>
      <c r="AU114" s="61">
        <f t="shared" si="120"/>
        <v>9.4409595506876745</v>
      </c>
    </row>
    <row r="115" spans="14:47" x14ac:dyDescent="0.25">
      <c r="N115" s="10">
        <v>97</v>
      </c>
      <c r="O115" s="50">
        <f t="shared" si="97"/>
        <v>93.325430079699174</v>
      </c>
      <c r="P115" s="48" t="str">
        <f t="shared" si="88"/>
        <v>304.285714285714</v>
      </c>
      <c r="Q115" s="17" t="str">
        <f t="shared" si="89"/>
        <v>1+30.5336948503511i</v>
      </c>
      <c r="R115" s="17">
        <f t="shared" si="98"/>
        <v>30.550065813584713</v>
      </c>
      <c r="S115" s="17">
        <f t="shared" si="99"/>
        <v>1.5380573248949179</v>
      </c>
      <c r="T115" s="17" t="str">
        <f t="shared" si="90"/>
        <v>1+0.000633291448748021i</v>
      </c>
      <c r="U115" s="17">
        <f t="shared" si="100"/>
        <v>1.0000002005290094</v>
      </c>
      <c r="V115" s="17">
        <f t="shared" si="101"/>
        <v>6.3329136408582824E-4</v>
      </c>
      <c r="W115" s="31" t="str">
        <f t="shared" si="91"/>
        <v>1-0.00197903577733757i</v>
      </c>
      <c r="X115" s="17">
        <f t="shared" si="102"/>
        <v>1.0000019582893866</v>
      </c>
      <c r="Y115" s="17">
        <f t="shared" si="103"/>
        <v>-1.9790331936579393E-3</v>
      </c>
      <c r="Z115" s="31" t="str">
        <f t="shared" si="92"/>
        <v>0.999999453133538+0.0174579634433283i</v>
      </c>
      <c r="AA115" s="17">
        <f t="shared" si="104"/>
        <v>1.0001518318510263</v>
      </c>
      <c r="AB115" s="17">
        <f t="shared" si="105"/>
        <v>1.7456199696329913E-2</v>
      </c>
      <c r="AC115" s="66" t="str">
        <f t="shared" si="106"/>
        <v>0.138791074391772-9.95777331909157i</v>
      </c>
      <c r="AD115" s="64">
        <f t="shared" si="107"/>
        <v>19.964088321653279</v>
      </c>
      <c r="AE115" s="61">
        <f t="shared" si="108"/>
        <v>-89.201465261746378</v>
      </c>
      <c r="AF115" s="31" t="str">
        <f t="shared" si="93"/>
        <v>-0.000495863624968664</v>
      </c>
      <c r="AG115" s="31" t="str">
        <f t="shared" si="94"/>
        <v>0.000129426007933021i</v>
      </c>
      <c r="AH115" s="31">
        <f t="shared" si="109"/>
        <v>1.29426007933021E-4</v>
      </c>
      <c r="AI115" s="31">
        <f t="shared" si="110"/>
        <v>1.5707963267948966</v>
      </c>
      <c r="AJ115" s="31" t="str">
        <f t="shared" si="95"/>
        <v>1+0.000504980495558405i</v>
      </c>
      <c r="AK115" s="31">
        <f t="shared" si="111"/>
        <v>1.0000001275026422</v>
      </c>
      <c r="AL115" s="31">
        <f t="shared" si="112"/>
        <v>5.0498045263417714E-4</v>
      </c>
      <c r="AM115" s="31" t="str">
        <f t="shared" si="96"/>
        <v>1+0.154804576360627i</v>
      </c>
      <c r="AN115" s="31">
        <f t="shared" si="113"/>
        <v>1.0119112890279431</v>
      </c>
      <c r="AO115" s="31">
        <f t="shared" si="114"/>
        <v>0.153585455737971</v>
      </c>
      <c r="AP115" s="58" t="str">
        <f t="shared" si="115"/>
        <v>-0.591160452585392+3.83155031760991i</v>
      </c>
      <c r="AQ115" s="49">
        <f t="shared" si="116"/>
        <v>11.769661614720155</v>
      </c>
      <c r="AR115" s="61">
        <f t="shared" si="117"/>
        <v>98.770865159706503</v>
      </c>
      <c r="AS115" s="58" t="str">
        <f t="shared" si="118"/>
        <v>38.0716617291005+6.41842676722413i</v>
      </c>
      <c r="AT115" s="64">
        <f t="shared" si="119"/>
        <v>31.733749936373425</v>
      </c>
      <c r="AU115" s="61">
        <f t="shared" si="120"/>
        <v>9.569399897960146</v>
      </c>
    </row>
    <row r="116" spans="14:47" x14ac:dyDescent="0.25">
      <c r="N116" s="10">
        <v>98</v>
      </c>
      <c r="O116" s="50">
        <f t="shared" si="97"/>
        <v>95.499258602143655</v>
      </c>
      <c r="P116" s="48" t="str">
        <f t="shared" si="88"/>
        <v>304.285714285714</v>
      </c>
      <c r="Q116" s="17" t="str">
        <f t="shared" si="89"/>
        <v>1+31.2449159688032i</v>
      </c>
      <c r="R116" s="17">
        <f t="shared" si="98"/>
        <v>31.260914476348464</v>
      </c>
      <c r="S116" s="17">
        <f t="shared" si="99"/>
        <v>1.5388020411878036</v>
      </c>
      <c r="T116" s="17" t="str">
        <f t="shared" si="90"/>
        <v>1+0.000648042701575176i</v>
      </c>
      <c r="U116" s="17">
        <f t="shared" si="100"/>
        <v>1.0000002099796494</v>
      </c>
      <c r="V116" s="17">
        <f t="shared" si="101"/>
        <v>6.4804261085800311E-4</v>
      </c>
      <c r="W116" s="31" t="str">
        <f t="shared" si="91"/>
        <v>1-0.00202513344242243i</v>
      </c>
      <c r="X116" s="17">
        <f t="shared" si="102"/>
        <v>1.0000020505806273</v>
      </c>
      <c r="Y116" s="17">
        <f t="shared" si="103"/>
        <v>-2.0251306739601338E-3</v>
      </c>
      <c r="Z116" s="31" t="str">
        <f t="shared" si="92"/>
        <v>0.999999427360515+0.0178646116510514i</v>
      </c>
      <c r="AA116" s="17">
        <f t="shared" si="104"/>
        <v>1.0001589868969836</v>
      </c>
      <c r="AB116" s="17">
        <f t="shared" si="105"/>
        <v>1.7862721778317998E-2</v>
      </c>
      <c r="AC116" s="66" t="str">
        <f t="shared" si="106"/>
        <v>0.124125972232784-9.73142633542334i</v>
      </c>
      <c r="AD116" s="64">
        <f t="shared" si="107"/>
        <v>19.764236504634873</v>
      </c>
      <c r="AE116" s="61">
        <f t="shared" si="108"/>
        <v>-89.269222368725053</v>
      </c>
      <c r="AF116" s="31" t="str">
        <f t="shared" si="93"/>
        <v>-0.000495863624968664</v>
      </c>
      <c r="AG116" s="31" t="str">
        <f t="shared" si="94"/>
        <v>0.000132440726936734i</v>
      </c>
      <c r="AH116" s="31">
        <f t="shared" si="109"/>
        <v>1.3244072693673401E-4</v>
      </c>
      <c r="AI116" s="31">
        <f t="shared" si="110"/>
        <v>1.5707963267948966</v>
      </c>
      <c r="AJ116" s="31" t="str">
        <f t="shared" si="95"/>
        <v>1+0.000516743002343379i</v>
      </c>
      <c r="AK116" s="31">
        <f t="shared" si="111"/>
        <v>1.0000001335116564</v>
      </c>
      <c r="AL116" s="31">
        <f t="shared" si="112"/>
        <v>5.1674295634924052E-4</v>
      </c>
      <c r="AM116" s="31" t="str">
        <f t="shared" si="96"/>
        <v>1+0.158410438162821i</v>
      </c>
      <c r="AN116" s="31">
        <f t="shared" si="113"/>
        <v>1.0124691930715408</v>
      </c>
      <c r="AO116" s="31">
        <f t="shared" si="114"/>
        <v>0.15710499420350732</v>
      </c>
      <c r="AP116" s="58" t="str">
        <f t="shared" si="115"/>
        <v>-0.591160445480812+3.74434733310581i</v>
      </c>
      <c r="AQ116" s="49">
        <f t="shared" si="116"/>
        <v>11.574449094432545</v>
      </c>
      <c r="AR116" s="61">
        <f t="shared" si="117"/>
        <v>98.97184591779633</v>
      </c>
      <c r="AS116" s="58" t="str">
        <f t="shared" si="118"/>
        <v>36.3644618813172+6.21760508071156i</v>
      </c>
      <c r="AT116" s="64">
        <f t="shared" si="119"/>
        <v>31.338685599067425</v>
      </c>
      <c r="AU116" s="61">
        <f t="shared" si="120"/>
        <v>9.7026235490712764</v>
      </c>
    </row>
    <row r="117" spans="14:47" x14ac:dyDescent="0.25">
      <c r="N117" s="10">
        <v>99</v>
      </c>
      <c r="O117" s="50">
        <f t="shared" si="97"/>
        <v>97.723722095581124</v>
      </c>
      <c r="P117" s="48" t="str">
        <f t="shared" si="88"/>
        <v>304.285714285714</v>
      </c>
      <c r="Q117" s="17" t="str">
        <f t="shared" si="89"/>
        <v>1+31.9727035552773i</v>
      </c>
      <c r="R117" s="17">
        <f t="shared" si="98"/>
        <v>31.988338072391972</v>
      </c>
      <c r="S117" s="17">
        <f t="shared" si="99"/>
        <v>1.5395298399733244</v>
      </c>
      <c r="T117" s="17" t="str">
        <f t="shared" si="90"/>
        <v>1+0.000663137555220564i</v>
      </c>
      <c r="U117" s="17">
        <f t="shared" si="100"/>
        <v>1.0000002198756843</v>
      </c>
      <c r="V117" s="17">
        <f t="shared" si="101"/>
        <v>6.6313745801536311E-4</v>
      </c>
      <c r="W117" s="31" t="str">
        <f t="shared" si="91"/>
        <v>1-0.00207230486006427i</v>
      </c>
      <c r="X117" s="17">
        <f t="shared" si="102"/>
        <v>1.0000021472214111</v>
      </c>
      <c r="Y117" s="17">
        <f t="shared" si="103"/>
        <v>-2.072301893603818E-3</v>
      </c>
      <c r="Z117" s="31" t="str">
        <f t="shared" si="92"/>
        <v>0.999999400372848+0.018280731912338i</v>
      </c>
      <c r="AA117" s="17">
        <f t="shared" si="104"/>
        <v>1.0001664790950084</v>
      </c>
      <c r="AB117" s="17">
        <f t="shared" si="105"/>
        <v>1.8278706895423977E-2</v>
      </c>
      <c r="AC117" s="66" t="str">
        <f t="shared" si="106"/>
        <v>0.11011983377735-9.5101968603807i</v>
      </c>
      <c r="AD117" s="64">
        <f t="shared" si="107"/>
        <v>19.564372384916908</v>
      </c>
      <c r="AE117" s="61">
        <f t="shared" si="108"/>
        <v>-89.336594199786134</v>
      </c>
      <c r="AF117" s="31" t="str">
        <f t="shared" si="93"/>
        <v>-0.000495863624968664</v>
      </c>
      <c r="AG117" s="31" t="str">
        <f t="shared" si="94"/>
        <v>0.000135525667766929i</v>
      </c>
      <c r="AH117" s="31">
        <f t="shared" si="109"/>
        <v>1.3552566776692899E-4</v>
      </c>
      <c r="AI117" s="31">
        <f t="shared" si="110"/>
        <v>1.5707963267948966</v>
      </c>
      <c r="AJ117" s="31" t="str">
        <f t="shared" si="95"/>
        <v>1+0.000528779493108096i</v>
      </c>
      <c r="AK117" s="31">
        <f t="shared" si="111"/>
        <v>1.0000001398038663</v>
      </c>
      <c r="AL117" s="31">
        <f t="shared" si="112"/>
        <v>5.2877944382448904E-4</v>
      </c>
      <c r="AM117" s="31" t="str">
        <f t="shared" si="96"/>
        <v>1+0.162100291276138i</v>
      </c>
      <c r="AN117" s="31">
        <f t="shared" si="113"/>
        <v>1.0130530610149739</v>
      </c>
      <c r="AO117" s="31">
        <f t="shared" si="114"/>
        <v>0.16070245445436473</v>
      </c>
      <c r="AP117" s="58" t="str">
        <f t="shared" si="115"/>
        <v>-0.591160438041395+3.65912965111968i</v>
      </c>
      <c r="AQ117" s="49">
        <f t="shared" si="116"/>
        <v>11.379456550953167</v>
      </c>
      <c r="AR117" s="61">
        <f t="shared" si="117"/>
        <v>99.177275567203978</v>
      </c>
      <c r="AS117" s="58" t="str">
        <f t="shared" si="118"/>
        <v>34.7339448306315+6.02499489079363i</v>
      </c>
      <c r="AT117" s="64">
        <f t="shared" si="119"/>
        <v>30.943828935870087</v>
      </c>
      <c r="AU117" s="61">
        <f t="shared" si="120"/>
        <v>9.8406813674178419</v>
      </c>
    </row>
    <row r="118" spans="14:47" x14ac:dyDescent="0.25">
      <c r="N118" s="10">
        <v>100</v>
      </c>
      <c r="O118" s="50">
        <f t="shared" si="97"/>
        <v>100</v>
      </c>
      <c r="P118" s="48" t="str">
        <f t="shared" si="88"/>
        <v>304.285714285714</v>
      </c>
      <c r="Q118" s="17" t="str">
        <f t="shared" si="89"/>
        <v>1+32.7174434923852i</v>
      </c>
      <c r="R118" s="17">
        <f t="shared" si="98"/>
        <v>32.732722292492248</v>
      </c>
      <c r="S118" s="17">
        <f t="shared" si="99"/>
        <v>1.5402411040541981</v>
      </c>
      <c r="T118" s="17" t="str">
        <f t="shared" si="90"/>
        <v>1+0.000678584013175396i</v>
      </c>
      <c r="U118" s="17">
        <f t="shared" si="100"/>
        <v>1.000000230238105</v>
      </c>
      <c r="V118" s="17">
        <f t="shared" si="101"/>
        <v>6.7858390901814794E-4</v>
      </c>
      <c r="W118" s="31" t="str">
        <f t="shared" si="91"/>
        <v>1-0.00212057504117311i</v>
      </c>
      <c r="X118" s="17">
        <f t="shared" si="102"/>
        <v>1.000002248416725</v>
      </c>
      <c r="Y118" s="17">
        <f t="shared" si="103"/>
        <v>-2.1205718625538533E-3</v>
      </c>
      <c r="Z118" s="31" t="str">
        <f t="shared" si="92"/>
        <v>0.999999372113291+0.0187065448596587i</v>
      </c>
      <c r="AA118" s="17">
        <f t="shared" si="104"/>
        <v>1.0001743243292955</v>
      </c>
      <c r="AB118" s="17">
        <f t="shared" si="105"/>
        <v>1.8704375035366969E-2</v>
      </c>
      <c r="AC118" s="66" t="str">
        <f t="shared" si="106"/>
        <v>0.0967431284021893-9.29397040850469i</v>
      </c>
      <c r="AD118" s="64">
        <f t="shared" si="107"/>
        <v>19.364496249581322</v>
      </c>
      <c r="AE118" s="61">
        <f t="shared" si="108"/>
        <v>-89.403616266678512</v>
      </c>
      <c r="AF118" s="31" t="str">
        <f t="shared" si="93"/>
        <v>-0.000495863624968664</v>
      </c>
      <c r="AG118" s="31" t="str">
        <f t="shared" si="94"/>
        <v>0.000138682466100068i</v>
      </c>
      <c r="AH118" s="31">
        <f t="shared" si="109"/>
        <v>1.3868246610006799E-4</v>
      </c>
      <c r="AI118" s="31">
        <f t="shared" si="110"/>
        <v>1.5707963267948966</v>
      </c>
      <c r="AJ118" s="31" t="str">
        <f t="shared" si="95"/>
        <v>1+0.000541096349759284i</v>
      </c>
      <c r="AK118" s="31">
        <f t="shared" si="111"/>
        <v>1.0000001463926191</v>
      </c>
      <c r="AL118" s="31">
        <f t="shared" si="112"/>
        <v>5.4109629695094812E-4</v>
      </c>
      <c r="AM118" s="31" t="str">
        <f t="shared" si="96"/>
        <v>1+0.165876092109541i</v>
      </c>
      <c r="AN118" s="31">
        <f t="shared" si="113"/>
        <v>1.0136640853525063</v>
      </c>
      <c r="AO118" s="31">
        <f t="shared" si="114"/>
        <v>0.16437937126313773</v>
      </c>
      <c r="AP118" s="58" t="str">
        <f t="shared" si="115"/>
        <v>-0.591160430251377+3.57585208810852i</v>
      </c>
      <c r="AQ118" s="49">
        <f t="shared" si="116"/>
        <v>11.184693820632001</v>
      </c>
      <c r="AR118" s="61">
        <f t="shared" si="117"/>
        <v>99.387241678266349</v>
      </c>
      <c r="AS118" s="58" t="str">
        <f t="shared" si="118"/>
        <v>33.1766727826602+5.84016666314232i</v>
      </c>
      <c r="AT118" s="64">
        <f t="shared" si="119"/>
        <v>30.549190070213328</v>
      </c>
      <c r="AU118" s="61">
        <f t="shared" si="120"/>
        <v>9.9836254115878447</v>
      </c>
    </row>
    <row r="119" spans="14:47" x14ac:dyDescent="0.25">
      <c r="N119" s="10">
        <v>1</v>
      </c>
      <c r="O119" s="50">
        <f>10^(2+(N119/100))</f>
        <v>102.32929922807544</v>
      </c>
      <c r="P119" s="48" t="str">
        <f t="shared" si="88"/>
        <v>304.285714285714</v>
      </c>
      <c r="Q119" s="17" t="str">
        <f t="shared" si="89"/>
        <v>1+33.4795306510994i</v>
      </c>
      <c r="R119" s="17">
        <f t="shared" si="98"/>
        <v>33.494461820096532</v>
      </c>
      <c r="S119" s="17">
        <f t="shared" si="99"/>
        <v>1.5409362076718001</v>
      </c>
      <c r="T119" s="17" t="str">
        <f t="shared" si="90"/>
        <v>1+0.000694390265356133i</v>
      </c>
      <c r="U119" s="17">
        <f t="shared" si="100"/>
        <v>1.0000002410888913</v>
      </c>
      <c r="V119" s="17">
        <f t="shared" si="101"/>
        <v>6.9439015374963241E-4</v>
      </c>
      <c r="W119" s="31" t="str">
        <f t="shared" si="91"/>
        <v>1-0.00216996957923792i</v>
      </c>
      <c r="X119" s="17">
        <f t="shared" si="102"/>
        <v>1.000002354381216</v>
      </c>
      <c r="Y119" s="17">
        <f t="shared" si="103"/>
        <v>-2.1699661732864557E-3</v>
      </c>
      <c r="Z119" s="31" t="str">
        <f t="shared" si="92"/>
        <v>0.999999342521902+0.0191422762646743i</v>
      </c>
      <c r="AA119" s="17">
        <f t="shared" si="104"/>
        <v>1.0001825392321291</v>
      </c>
      <c r="AB119" s="17">
        <f t="shared" si="105"/>
        <v>1.9139951278973527E-2</v>
      </c>
      <c r="AC119" s="66" t="str">
        <f t="shared" si="106"/>
        <v>0.0839676449369507-9.08263495986321i</v>
      </c>
      <c r="AD119" s="64">
        <f t="shared" si="107"/>
        <v>19.164608360348037</v>
      </c>
      <c r="AE119" s="61">
        <f t="shared" si="108"/>
        <v>-89.470323905130059</v>
      </c>
      <c r="AF119" s="31" t="str">
        <f t="shared" si="93"/>
        <v>-0.000495863624968664</v>
      </c>
      <c r="AG119" s="31" t="str">
        <f t="shared" si="94"/>
        <v>0.000141912795712413i</v>
      </c>
      <c r="AH119" s="31">
        <f t="shared" si="109"/>
        <v>1.4191279571241301E-4</v>
      </c>
      <c r="AI119" s="31">
        <f t="shared" si="110"/>
        <v>1.5707963267948966</v>
      </c>
      <c r="AJ119" s="31" t="str">
        <f t="shared" si="95"/>
        <v>1+0.000553700102857371i</v>
      </c>
      <c r="AK119" s="31">
        <f t="shared" si="111"/>
        <v>1.0000001532918903</v>
      </c>
      <c r="AL119" s="31">
        <f t="shared" si="112"/>
        <v>5.5370004627222017E-4</v>
      </c>
      <c r="AM119" s="31" t="str">
        <f t="shared" si="96"/>
        <v>1+0.16973984264261i</v>
      </c>
      <c r="AN119" s="31">
        <f t="shared" si="113"/>
        <v>1.0143035118643424</v>
      </c>
      <c r="AO119" s="31">
        <f t="shared" si="114"/>
        <v>0.16813729629121793</v>
      </c>
      <c r="AP119" s="58" t="str">
        <f t="shared" si="115"/>
        <v>-0.591160422094227+3.49447048920606i</v>
      </c>
      <c r="AQ119" s="49">
        <f t="shared" si="116"/>
        <v>10.990171154235185</v>
      </c>
      <c r="AR119" s="61">
        <f t="shared" si="117"/>
        <v>99.601832780459816</v>
      </c>
      <c r="AS119" s="58" t="str">
        <f t="shared" si="118"/>
        <v>31.6893614830501+5.66271677388082i</v>
      </c>
      <c r="AT119" s="64">
        <f t="shared" si="119"/>
        <v>30.154779514583232</v>
      </c>
      <c r="AU119" s="61">
        <f t="shared" si="120"/>
        <v>10.131508875329741</v>
      </c>
    </row>
    <row r="120" spans="14:47" x14ac:dyDescent="0.25">
      <c r="N120" s="10">
        <v>2</v>
      </c>
      <c r="O120" s="50">
        <f t="shared" ref="O120:O183" si="121">10^(2+(N120/100))</f>
        <v>104.71285480508998</v>
      </c>
      <c r="P120" s="48" t="str">
        <f t="shared" si="88"/>
        <v>304.285714285714</v>
      </c>
      <c r="Q120" s="17" t="str">
        <f t="shared" si="89"/>
        <v>1+34.2593691001187i</v>
      </c>
      <c r="R120" s="17">
        <f t="shared" si="98"/>
        <v>34.273960540593613</v>
      </c>
      <c r="S120" s="17">
        <f t="shared" si="99"/>
        <v>1.5416155166909113</v>
      </c>
      <c r="T120" s="17" t="str">
        <f t="shared" si="90"/>
        <v>1+0.000710564692446905i</v>
      </c>
      <c r="U120" s="17">
        <f t="shared" si="100"/>
        <v>1.0000002524510592</v>
      </c>
      <c r="V120" s="17">
        <f t="shared" si="101"/>
        <v>7.1056457285838671E-4</v>
      </c>
      <c r="W120" s="31" t="str">
        <f t="shared" si="91"/>
        <v>1-0.00222051466389658i</v>
      </c>
      <c r="X120" s="17">
        <f t="shared" si="102"/>
        <v>1.0000024653396473</v>
      </c>
      <c r="Y120" s="17">
        <f t="shared" si="103"/>
        <v>-2.220511014354319E-3</v>
      </c>
      <c r="Z120" s="31" t="str">
        <f t="shared" si="92"/>
        <v>0.999999311535914+0.0195881571579434i</v>
      </c>
      <c r="AA120" s="17">
        <f t="shared" si="104"/>
        <v>1.0001911412190905</v>
      </c>
      <c r="AB120" s="17">
        <f t="shared" si="105"/>
        <v>1.958566591659306E-2</v>
      </c>
      <c r="AC120" s="66" t="str">
        <f t="shared" si="106"/>
        <v>0.0717664331983847-8.87608091308672i</v>
      </c>
      <c r="AD120" s="64">
        <f t="shared" si="107"/>
        <v>18.964708954121786</v>
      </c>
      <c r="AE120" s="61">
        <f t="shared" si="108"/>
        <v>-89.536752292631462</v>
      </c>
      <c r="AF120" s="31" t="str">
        <f t="shared" si="93"/>
        <v>-0.000495863624968664</v>
      </c>
      <c r="AG120" s="31" t="str">
        <f t="shared" si="94"/>
        <v>0.000145218369367482i</v>
      </c>
      <c r="AH120" s="31">
        <f t="shared" si="109"/>
        <v>1.4521836936748201E-4</v>
      </c>
      <c r="AI120" s="31">
        <f t="shared" si="110"/>
        <v>1.5707963267948966</v>
      </c>
      <c r="AJ120" s="31" t="str">
        <f t="shared" si="95"/>
        <v>1+0.000566597435079081i</v>
      </c>
      <c r="AK120" s="31">
        <f t="shared" si="111"/>
        <v>1.0000001605163138</v>
      </c>
      <c r="AL120" s="31">
        <f t="shared" si="112"/>
        <v>5.6659737444700006E-4</v>
      </c>
      <c r="AM120" s="31" t="str">
        <f t="shared" si="96"/>
        <v>1+0.173693591487021i</v>
      </c>
      <c r="AN120" s="31">
        <f t="shared" si="113"/>
        <v>1.0149726418597005</v>
      </c>
      <c r="AO120" s="31">
        <f t="shared" si="114"/>
        <v>0.17197779727093992</v>
      </c>
      <c r="AP120" s="58" t="str">
        <f t="shared" si="115"/>
        <v>-0.591160413552644+3.41494170481135i</v>
      </c>
      <c r="AQ120" s="49">
        <f t="shared" si="116"/>
        <v>10.79589923202697</v>
      </c>
      <c r="AR120" s="61">
        <f t="shared" si="117"/>
        <v>99.821138315342338</v>
      </c>
      <c r="AS120" s="58" t="str">
        <f t="shared" si="118"/>
        <v>30.2688734110511+5.4922658490418i</v>
      </c>
      <c r="AT120" s="64">
        <f t="shared" si="119"/>
        <v>29.760608186148758</v>
      </c>
      <c r="AU120" s="61">
        <f t="shared" si="120"/>
        <v>10.284386022710885</v>
      </c>
    </row>
    <row r="121" spans="14:47" x14ac:dyDescent="0.25">
      <c r="N121" s="10">
        <v>3</v>
      </c>
      <c r="O121" s="50">
        <f t="shared" si="121"/>
        <v>107.15193052376065</v>
      </c>
      <c r="P121" s="48" t="str">
        <f t="shared" si="88"/>
        <v>304.285714285714</v>
      </c>
      <c r="Q121" s="17" t="str">
        <f t="shared" si="89"/>
        <v>1+35.0573723201113i</v>
      </c>
      <c r="R121" s="17">
        <f t="shared" si="98"/>
        <v>35.071631755464495</v>
      </c>
      <c r="S121" s="17">
        <f t="shared" si="99"/>
        <v>1.5422793887809356</v>
      </c>
      <c r="T121" s="17" t="str">
        <f t="shared" si="90"/>
        <v>1+0.000727115870343047i</v>
      </c>
      <c r="U121" s="17">
        <f t="shared" si="100"/>
        <v>1.0000002643487096</v>
      </c>
      <c r="V121" s="17">
        <f t="shared" si="101"/>
        <v>7.2711574220164267E-4</v>
      </c>
      <c r="W121" s="31" t="str">
        <f t="shared" si="91"/>
        <v>1-0.00227223709482202i</v>
      </c>
      <c r="X121" s="17">
        <f t="shared" si="102"/>
        <v>1.0000025815273754</v>
      </c>
      <c r="Y121" s="17">
        <f t="shared" si="103"/>
        <v>-2.2722331842675776E-3</v>
      </c>
      <c r="Z121" s="31" t="str">
        <f t="shared" si="92"/>
        <v>0.999999279089601+0.0200444239514176i</v>
      </c>
      <c r="AA121" s="17">
        <f t="shared" si="104"/>
        <v>1.0002001485259167</v>
      </c>
      <c r="AB121" s="17">
        <f t="shared" si="105"/>
        <v>2.0041754567065823E-2</v>
      </c>
      <c r="AC121" s="66" t="str">
        <f t="shared" si="106"/>
        <v>0.0601137480788086-8.67420103886347i</v>
      </c>
      <c r="AD121" s="64">
        <f t="shared" si="107"/>
        <v>18.764798243486915</v>
      </c>
      <c r="AE121" s="61">
        <f t="shared" si="108"/>
        <v>-89.602936466176189</v>
      </c>
      <c r="AF121" s="31" t="str">
        <f t="shared" si="93"/>
        <v>-0.000495863624968664</v>
      </c>
      <c r="AG121" s="31" t="str">
        <f t="shared" si="94"/>
        <v>0.000148600939724183i</v>
      </c>
      <c r="AH121" s="31">
        <f t="shared" si="109"/>
        <v>1.48600939724183E-4</v>
      </c>
      <c r="AI121" s="31">
        <f t="shared" si="110"/>
        <v>1.5707963267948966</v>
      </c>
      <c r="AJ121" s="31" t="str">
        <f t="shared" si="95"/>
        <v>1+0.000579795184760673i</v>
      </c>
      <c r="AK121" s="31">
        <f t="shared" si="111"/>
        <v>1.0000001680812141</v>
      </c>
      <c r="AL121" s="31">
        <f t="shared" si="112"/>
        <v>5.7979511979222836E-4</v>
      </c>
      <c r="AM121" s="31" t="str">
        <f t="shared" si="96"/>
        <v>1+0.177739434972745i</v>
      </c>
      <c r="AN121" s="31">
        <f t="shared" si="113"/>
        <v>1.0156728345015587</v>
      </c>
      <c r="AO121" s="31">
        <f t="shared" si="114"/>
        <v>0.17590245709771421</v>
      </c>
      <c r="AP121" s="58" t="str">
        <f t="shared" si="115"/>
        <v>-0.591160404608504+3.33722356771016i</v>
      </c>
      <c r="AQ121" s="49">
        <f t="shared" si="116"/>
        <v>10.601889179174</v>
      </c>
      <c r="AR121" s="61">
        <f t="shared" si="117"/>
        <v>100.04524858433365</v>
      </c>
      <c r="AS121" s="58" t="str">
        <f t="shared" si="118"/>
        <v>28.9122112703143+5.32845721262203i</v>
      </c>
      <c r="AT121" s="64">
        <f t="shared" si="119"/>
        <v>29.36668742266091</v>
      </c>
      <c r="AU121" s="61">
        <f t="shared" si="120"/>
        <v>10.442312118157465</v>
      </c>
    </row>
    <row r="122" spans="14:47" x14ac:dyDescent="0.25">
      <c r="N122" s="10">
        <v>4</v>
      </c>
      <c r="O122" s="50">
        <f t="shared" si="121"/>
        <v>109.64781961431861</v>
      </c>
      <c r="P122" s="48" t="str">
        <f t="shared" si="88"/>
        <v>304.285714285714</v>
      </c>
      <c r="Q122" s="17" t="str">
        <f t="shared" si="89"/>
        <v>1+35.8739634229471i</v>
      </c>
      <c r="R122" s="17">
        <f t="shared" si="98"/>
        <v>35.887898401424209</v>
      </c>
      <c r="S122" s="17">
        <f t="shared" si="99"/>
        <v>1.542928173593616</v>
      </c>
      <c r="T122" s="17" t="str">
        <f t="shared" si="90"/>
        <v>1+0.000744052574698161i</v>
      </c>
      <c r="U122" s="17">
        <f t="shared" si="100"/>
        <v>1.0000002768070786</v>
      </c>
      <c r="V122" s="17">
        <f t="shared" si="101"/>
        <v>7.4405243739217449E-4</v>
      </c>
      <c r="W122" s="31" t="str">
        <f t="shared" si="91"/>
        <v>1-0.00232516429593176i</v>
      </c>
      <c r="X122" s="17">
        <f t="shared" si="102"/>
        <v>1.0000027031908481</v>
      </c>
      <c r="Y122" s="17">
        <f t="shared" si="103"/>
        <v>-2.3251601056977923E-3</v>
      </c>
      <c r="Z122" s="31" t="str">
        <f t="shared" si="92"/>
        <v>0.999999245114141+0.0205113185637901i</v>
      </c>
      <c r="AA122" s="17">
        <f t="shared" si="104"/>
        <v>1.0002095802470985</v>
      </c>
      <c r="AB122" s="17">
        <f t="shared" si="105"/>
        <v>2.0508458299292442E-2</v>
      </c>
      <c r="AC122" s="66" t="str">
        <f t="shared" si="106"/>
        <v>0.0489849960808276-8.47689043392424i</v>
      </c>
      <c r="AD122" s="64">
        <f t="shared" si="107"/>
        <v>18.564876417151662</v>
      </c>
      <c r="AE122" s="61">
        <f t="shared" si="108"/>
        <v>-89.668911339961809</v>
      </c>
      <c r="AF122" s="31" t="str">
        <f t="shared" si="93"/>
        <v>-0.000495863624968664</v>
      </c>
      <c r="AG122" s="31" t="str">
        <f t="shared" si="94"/>
        <v>0.000152062300266091i</v>
      </c>
      <c r="AH122" s="31">
        <f t="shared" si="109"/>
        <v>1.52062300266091E-4</v>
      </c>
      <c r="AI122" s="31">
        <f t="shared" si="110"/>
        <v>1.5707963267948966</v>
      </c>
      <c r="AJ122" s="31" t="str">
        <f t="shared" si="95"/>
        <v>1+0.000593300349523722i</v>
      </c>
      <c r="AK122" s="31">
        <f t="shared" si="111"/>
        <v>1.0000001760026369</v>
      </c>
      <c r="AL122" s="31">
        <f t="shared" si="112"/>
        <v>5.9330027990877991E-4</v>
      </c>
      <c r="AM122" s="31" t="str">
        <f t="shared" si="96"/>
        <v>1+0.18187951825955i</v>
      </c>
      <c r="AN122" s="31">
        <f t="shared" si="113"/>
        <v>1.0164055092148636</v>
      </c>
      <c r="AO122" s="31">
        <f t="shared" si="114"/>
        <v>0.17991287282670831</v>
      </c>
      <c r="AP122" s="58" t="str">
        <f t="shared" si="115"/>
        <v>-0.59116039524284+3.26127487071747i</v>
      </c>
      <c r="AQ122" s="49">
        <f t="shared" si="116"/>
        <v>10.408152581456367</v>
      </c>
      <c r="AR122" s="61">
        <f t="shared" si="117"/>
        <v>100.27425469102153</v>
      </c>
      <c r="AS122" s="58" t="str">
        <f t="shared" si="118"/>
        <v>27.6165117643383+5.1709554361095i</v>
      </c>
      <c r="AT122" s="64">
        <f t="shared" si="119"/>
        <v>28.973028998608022</v>
      </c>
      <c r="AU122" s="61">
        <f t="shared" si="120"/>
        <v>10.605343351059735</v>
      </c>
    </row>
    <row r="123" spans="14:47" x14ac:dyDescent="0.25">
      <c r="N123" s="10">
        <v>5</v>
      </c>
      <c r="O123" s="50">
        <f t="shared" si="121"/>
        <v>112.20184543019634</v>
      </c>
      <c r="P123" s="48" t="str">
        <f t="shared" si="88"/>
        <v>304.285714285714</v>
      </c>
      <c r="Q123" s="17" t="str">
        <f t="shared" si="89"/>
        <v>1+36.7095753760379i</v>
      </c>
      <c r="R123" s="17">
        <f t="shared" si="98"/>
        <v>36.723193274673271</v>
      </c>
      <c r="S123" s="17">
        <f t="shared" si="99"/>
        <v>1.5435622129372966</v>
      </c>
      <c r="T123" s="17" t="str">
        <f t="shared" si="90"/>
        <v>1+0.000761383785577081i</v>
      </c>
      <c r="U123" s="17">
        <f t="shared" si="100"/>
        <v>1.0000002898525924</v>
      </c>
      <c r="V123" s="17">
        <f t="shared" si="101"/>
        <v>7.6138363845106808E-4</v>
      </c>
      <c r="W123" s="31" t="str">
        <f t="shared" si="91"/>
        <v>1-0.00237932432992838i</v>
      </c>
      <c r="X123" s="17">
        <f t="shared" si="102"/>
        <v>1.0000028305881274</v>
      </c>
      <c r="Y123" s="17">
        <f t="shared" si="103"/>
        <v>-2.3793198400124766E-3</v>
      </c>
      <c r="Z123" s="31" t="str">
        <f t="shared" si="92"/>
        <v>0.999999209537466+0.0209890885487645i</v>
      </c>
      <c r="AA123" s="17">
        <f t="shared" si="104"/>
        <v>1.0002194563762818</v>
      </c>
      <c r="AB123" s="17">
        <f t="shared" si="105"/>
        <v>2.0986023756454104E-2</v>
      </c>
      <c r="AC123" s="66" t="str">
        <f t="shared" si="106"/>
        <v>0.0383566841944879-8.28404647554264i</v>
      </c>
      <c r="AD123" s="64">
        <f t="shared" si="107"/>
        <v>18.364943640342567</v>
      </c>
      <c r="AE123" s="61">
        <f t="shared" si="108"/>
        <v>-89.734711723057771</v>
      </c>
      <c r="AF123" s="31" t="str">
        <f t="shared" si="93"/>
        <v>-0.000495863624968664</v>
      </c>
      <c r="AG123" s="31" t="str">
        <f t="shared" si="94"/>
        <v>0.000155604286252383i</v>
      </c>
      <c r="AH123" s="31">
        <f t="shared" si="109"/>
        <v>1.5560428625238301E-4</v>
      </c>
      <c r="AI123" s="31">
        <f t="shared" si="110"/>
        <v>1.5707963267948966</v>
      </c>
      <c r="AJ123" s="31" t="str">
        <f t="shared" si="95"/>
        <v>1+0.000607120089985347i</v>
      </c>
      <c r="AK123" s="31">
        <f t="shared" si="111"/>
        <v>1.0000001842973849</v>
      </c>
      <c r="AL123" s="31">
        <f t="shared" si="112"/>
        <v>6.0712001539159344E-4</v>
      </c>
      <c r="AM123" s="31" t="str">
        <f t="shared" si="96"/>
        <v>1+0.186116036474397i</v>
      </c>
      <c r="AN123" s="31">
        <f t="shared" si="113"/>
        <v>1.017172148179913</v>
      </c>
      <c r="AO123" s="31">
        <f t="shared" si="114"/>
        <v>0.18401065456844631</v>
      </c>
      <c r="AP123" s="58" t="str">
        <f t="shared" si="115"/>
        <v>-0.591160385435793+3.18705534482877i</v>
      </c>
      <c r="AQ123" s="49">
        <f t="shared" si="116"/>
        <v>10.214701501264807</v>
      </c>
      <c r="AR123" s="61">
        <f t="shared" si="117"/>
        <v>100.50824847767184</v>
      </c>
      <c r="AS123" s="58" t="str">
        <f t="shared" si="118"/>
        <v>26.3790396444757+5.01944498282176i</v>
      </c>
      <c r="AT123" s="64">
        <f t="shared" si="119"/>
        <v>28.579645141607386</v>
      </c>
      <c r="AU123" s="61">
        <f t="shared" si="120"/>
        <v>10.773536754614051</v>
      </c>
    </row>
    <row r="124" spans="14:47" x14ac:dyDescent="0.25">
      <c r="N124" s="10">
        <v>6</v>
      </c>
      <c r="O124" s="50">
        <f t="shared" si="121"/>
        <v>114.81536214968835</v>
      </c>
      <c r="P124" s="48" t="str">
        <f t="shared" si="88"/>
        <v>304.285714285714</v>
      </c>
      <c r="Q124" s="17" t="str">
        <f t="shared" si="89"/>
        <v>1+37.5646512319017i</v>
      </c>
      <c r="R124" s="17">
        <f t="shared" si="98"/>
        <v>37.577959260375145</v>
      </c>
      <c r="S124" s="17">
        <f t="shared" si="99"/>
        <v>1.5441818409477619</v>
      </c>
      <c r="T124" s="17" t="str">
        <f t="shared" si="90"/>
        <v>1+0.000779118692217219i</v>
      </c>
      <c r="U124" s="17">
        <f t="shared" si="100"/>
        <v>1.0000003035129224</v>
      </c>
      <c r="V124" s="17">
        <f t="shared" si="101"/>
        <v>7.7911853456885845E-4</v>
      </c>
      <c r="W124" s="31" t="str">
        <f t="shared" si="91"/>
        <v>1-0.00243474591317881i</v>
      </c>
      <c r="X124" s="17">
        <f t="shared" si="102"/>
        <v>1.0000029639894381</v>
      </c>
      <c r="Y124" s="17">
        <f t="shared" si="103"/>
        <v>-2.4347411021480108E-3</v>
      </c>
      <c r="Z124" s="31" t="str">
        <f t="shared" si="92"/>
        <v>0.999999172284115+0.021477987226311i</v>
      </c>
      <c r="AA124" s="17">
        <f t="shared" si="104"/>
        <v>1.0002297978485788</v>
      </c>
      <c r="AB124" s="17">
        <f t="shared" si="105"/>
        <v>2.1474703282930937E-2</v>
      </c>
      <c r="AC124" s="66" t="str">
        <f t="shared" si="106"/>
        <v>0.0282063710172226-8.09556877657447i</v>
      </c>
      <c r="AD124" s="64">
        <f t="shared" si="107"/>
        <v>18.165000055150099</v>
      </c>
      <c r="AE124" s="61">
        <f t="shared" si="108"/>
        <v>-89.800372337045104</v>
      </c>
      <c r="AF124" s="31" t="str">
        <f t="shared" si="93"/>
        <v>-0.000495863624968664</v>
      </c>
      <c r="AG124" s="31" t="str">
        <f t="shared" si="94"/>
        <v>0.000159228775690912i</v>
      </c>
      <c r="AH124" s="31">
        <f t="shared" si="109"/>
        <v>1.59228775690912E-4</v>
      </c>
      <c r="AI124" s="31">
        <f t="shared" si="110"/>
        <v>1.5707963267948966</v>
      </c>
      <c r="AJ124" s="31" t="str">
        <f t="shared" si="95"/>
        <v>1+0.000621261733554866i</v>
      </c>
      <c r="AK124" s="31">
        <f t="shared" si="111"/>
        <v>1.0000001929830522</v>
      </c>
      <c r="AL124" s="31">
        <f t="shared" si="112"/>
        <v>6.2126165362621968E-4</v>
      </c>
      <c r="AM124" s="31" t="str">
        <f t="shared" si="96"/>
        <v>1+0.19045123587532i</v>
      </c>
      <c r="AN124" s="31">
        <f t="shared" si="113"/>
        <v>1.01797429891252</v>
      </c>
      <c r="AO124" s="31">
        <f t="shared" si="114"/>
        <v>0.18819742427750583</v>
      </c>
      <c r="AP124" s="58" t="str">
        <f t="shared" si="115"/>
        <v>-0.591160375166547+3.11452563786901i</v>
      </c>
      <c r="AQ124" s="49">
        <f t="shared" si="116"/>
        <v>10.021548493862085</v>
      </c>
      <c r="AR124" s="61">
        <f t="shared" si="117"/>
        <v>100.74732245560784</v>
      </c>
      <c r="AS124" s="58" t="str">
        <f t="shared" si="118"/>
        <v>25.1971820189004+4.87362894083073i</v>
      </c>
      <c r="AT124" s="64">
        <f t="shared" si="119"/>
        <v>28.18654854901218</v>
      </c>
      <c r="AU124" s="61">
        <f t="shared" si="120"/>
        <v>10.946950118562754</v>
      </c>
    </row>
    <row r="125" spans="14:47" x14ac:dyDescent="0.25">
      <c r="N125" s="10">
        <v>7</v>
      </c>
      <c r="O125" s="50">
        <f t="shared" si="121"/>
        <v>117.48975549395293</v>
      </c>
      <c r="P125" s="48" t="str">
        <f t="shared" si="88"/>
        <v>304.285714285714</v>
      </c>
      <c r="Q125" s="17" t="str">
        <f t="shared" si="89"/>
        <v>1+38.4396443630756i</v>
      </c>
      <c r="R125" s="17">
        <f t="shared" si="98"/>
        <v>38.452649567484031</v>
      </c>
      <c r="S125" s="17">
        <f t="shared" si="99"/>
        <v>1.5447873842557012</v>
      </c>
      <c r="T125" s="17" t="str">
        <f t="shared" si="90"/>
        <v>1+0.000797266697900825i</v>
      </c>
      <c r="U125" s="17">
        <f t="shared" si="100"/>
        <v>1.0000003178170433</v>
      </c>
      <c r="V125" s="17">
        <f t="shared" si="101"/>
        <v>7.972665289775661E-4</v>
      </c>
      <c r="W125" s="31" t="str">
        <f t="shared" si="91"/>
        <v>1-0.00249145843094008i</v>
      </c>
      <c r="X125" s="17">
        <f t="shared" si="102"/>
        <v>1.0000031036777401</v>
      </c>
      <c r="Y125" s="17">
        <f t="shared" si="103"/>
        <v>-2.4914532758285647E-3</v>
      </c>
      <c r="Z125" s="31" t="str">
        <f t="shared" si="92"/>
        <v>0.999999133275067+0.0219782738169796i</v>
      </c>
      <c r="AA125" s="17">
        <f t="shared" si="104"/>
        <v>1.0002406265848529</v>
      </c>
      <c r="AB125" s="17">
        <f t="shared" si="105"/>
        <v>2.1974755053968148E-2</v>
      </c>
      <c r="AC125" s="66" t="str">
        <f t="shared" si="106"/>
        <v>0.0185126200208988-7.91135914105591i</v>
      </c>
      <c r="AD125" s="64">
        <f t="shared" si="107"/>
        <v>17.965045780825633</v>
      </c>
      <c r="AE125" s="61">
        <f t="shared" si="108"/>
        <v>-89.865927833633549</v>
      </c>
      <c r="AF125" s="31" t="str">
        <f t="shared" si="93"/>
        <v>-0.000495863624968664</v>
      </c>
      <c r="AG125" s="31" t="str">
        <f t="shared" si="94"/>
        <v>0.000162937690333954i</v>
      </c>
      <c r="AH125" s="31">
        <f t="shared" si="109"/>
        <v>1.62937690333954E-4</v>
      </c>
      <c r="AI125" s="31">
        <f t="shared" si="110"/>
        <v>1.5707963267948966</v>
      </c>
      <c r="AJ125" s="31" t="str">
        <f t="shared" si="95"/>
        <v>1+0.000635732778318887i</v>
      </c>
      <c r="AK125" s="31">
        <f t="shared" si="111"/>
        <v>1.0000002020780623</v>
      </c>
      <c r="AL125" s="31">
        <f t="shared" si="112"/>
        <v>6.3573269267380044E-4</v>
      </c>
      <c r="AM125" s="31" t="str">
        <f t="shared" si="96"/>
        <v>1+0.194887415042424i</v>
      </c>
      <c r="AN125" s="31">
        <f t="shared" si="113"/>
        <v>1.0188135769324622</v>
      </c>
      <c r="AO125" s="31">
        <f t="shared" si="114"/>
        <v>0.1924748144283546</v>
      </c>
      <c r="AP125" s="58" t="str">
        <f t="shared" si="115"/>
        <v>-0.591160364413332+3.04364729362748i</v>
      </c>
      <c r="AQ125" s="49">
        <f t="shared" si="116"/>
        <v>9.8287066238810397</v>
      </c>
      <c r="AR125" s="61">
        <f t="shared" si="117"/>
        <v>100.9915697291197</v>
      </c>
      <c r="AS125" s="58" t="str">
        <f t="shared" si="118"/>
        <v>24.068442911392+4.73322783865592i</v>
      </c>
      <c r="AT125" s="64">
        <f t="shared" si="119"/>
        <v>27.793752404706659</v>
      </c>
      <c r="AU125" s="61">
        <f t="shared" si="120"/>
        <v>11.125641895486188</v>
      </c>
    </row>
    <row r="126" spans="14:47" x14ac:dyDescent="0.25">
      <c r="N126" s="10">
        <v>8</v>
      </c>
      <c r="O126" s="50">
        <f t="shared" si="121"/>
        <v>120.22644346174135</v>
      </c>
      <c r="P126" s="48" t="str">
        <f t="shared" si="88"/>
        <v>304.285714285714</v>
      </c>
      <c r="Q126" s="17" t="str">
        <f t="shared" si="89"/>
        <v>1+39.3350187024997i</v>
      </c>
      <c r="R126" s="17">
        <f t="shared" si="98"/>
        <v>39.347727969045451</v>
      </c>
      <c r="S126" s="17">
        <f t="shared" si="99"/>
        <v>1.5453791621508361</v>
      </c>
      <c r="T126" s="17" t="str">
        <f t="shared" si="90"/>
        <v>1+0.000815837424940733i</v>
      </c>
      <c r="U126" s="17">
        <f t="shared" si="100"/>
        <v>1.0000003327952967</v>
      </c>
      <c r="V126" s="17">
        <f t="shared" si="101"/>
        <v>8.158372439362033E-4</v>
      </c>
      <c r="W126" s="31" t="str">
        <f t="shared" si="91"/>
        <v>1-0.00254949195293979i</v>
      </c>
      <c r="X126" s="17">
        <f t="shared" si="102"/>
        <v>1.0000032499493281</v>
      </c>
      <c r="Y126" s="17">
        <f t="shared" si="103"/>
        <v>-2.5494864291392503E-3</v>
      </c>
      <c r="Z126" s="31" t="str">
        <f t="shared" si="92"/>
        <v>0.999999092427579+0.0224902135793428i</v>
      </c>
      <c r="AA126" s="17">
        <f t="shared" si="104"/>
        <v>1.0002519655380968</v>
      </c>
      <c r="AB126" s="17">
        <f t="shared" si="105"/>
        <v>2.2486443208139834E-2</v>
      </c>
      <c r="AC126" s="66" t="str">
        <f t="shared" si="106"/>
        <v>0.00925495487414967-7.73132152037896i</v>
      </c>
      <c r="AD126" s="64">
        <f t="shared" si="107"/>
        <v>17.765080914030943</v>
      </c>
      <c r="AE126" s="61">
        <f t="shared" si="108"/>
        <v>-89.931412812261655</v>
      </c>
      <c r="AF126" s="31" t="str">
        <f t="shared" si="93"/>
        <v>-0.000495863624968664</v>
      </c>
      <c r="AG126" s="31" t="str">
        <f t="shared" si="94"/>
        <v>0.000166732996697147i</v>
      </c>
      <c r="AH126" s="31">
        <f t="shared" si="109"/>
        <v>1.6673299669714699E-4</v>
      </c>
      <c r="AI126" s="31">
        <f t="shared" si="110"/>
        <v>1.5707963267948966</v>
      </c>
      <c r="AJ126" s="31" t="str">
        <f t="shared" si="95"/>
        <v>1+0.000650540897016892i</v>
      </c>
      <c r="AK126" s="31">
        <f t="shared" si="111"/>
        <v>1.000000211601707</v>
      </c>
      <c r="AL126" s="31">
        <f t="shared" si="112"/>
        <v>6.5054080524652941E-4</v>
      </c>
      <c r="AM126" s="31" t="str">
        <f t="shared" si="96"/>
        <v>1+0.199426926096623i</v>
      </c>
      <c r="AN126" s="31">
        <f t="shared" si="113"/>
        <v>1.0196916685215918</v>
      </c>
      <c r="AO126" s="31">
        <f t="shared" si="114"/>
        <v>0.1968444665721911</v>
      </c>
      <c r="AP126" s="58" t="str">
        <f t="shared" si="115"/>
        <v>-0.591160353153331+2.9743827314678i</v>
      </c>
      <c r="AQ126" s="49">
        <f t="shared" si="116"/>
        <v>9.6361894820292733</v>
      </c>
      <c r="AR126" s="61">
        <f t="shared" si="117"/>
        <v>101.24108391254889</v>
      </c>
      <c r="AS126" s="58" t="str">
        <f t="shared" si="118"/>
        <v>22.9904380592487+4.59797853828736i</v>
      </c>
      <c r="AT126" s="64">
        <f t="shared" si="119"/>
        <v>27.401270396060198</v>
      </c>
      <c r="AU126" s="61">
        <f t="shared" si="120"/>
        <v>11.309671100287257</v>
      </c>
    </row>
    <row r="127" spans="14:47" x14ac:dyDescent="0.25">
      <c r="N127" s="10">
        <v>9</v>
      </c>
      <c r="O127" s="50">
        <f t="shared" si="121"/>
        <v>123.02687708123821</v>
      </c>
      <c r="P127" s="48" t="str">
        <f t="shared" si="88"/>
        <v>304.285714285714</v>
      </c>
      <c r="Q127" s="17" t="str">
        <f t="shared" si="89"/>
        <v>1+40.2512489895003i</v>
      </c>
      <c r="R127" s="17">
        <f t="shared" si="98"/>
        <v>40.263669048097803</v>
      </c>
      <c r="S127" s="17">
        <f t="shared" si="99"/>
        <v>1.5459574867427603</v>
      </c>
      <c r="T127" s="17" t="str">
        <f t="shared" si="90"/>
        <v>1+0.000834840719782227i</v>
      </c>
      <c r="U127" s="17">
        <f t="shared" si="100"/>
        <v>1.0000003484794531</v>
      </c>
      <c r="V127" s="17">
        <f t="shared" si="101"/>
        <v>8.3484052583238273E-4</v>
      </c>
      <c r="W127" s="31" t="str">
        <f t="shared" si="91"/>
        <v>1-0.00260887724931946i</v>
      </c>
      <c r="X127" s="17">
        <f t="shared" si="102"/>
        <v>1.0000034031144605</v>
      </c>
      <c r="Y127" s="17">
        <f t="shared" si="103"/>
        <v>-2.6088713304616312E-3</v>
      </c>
      <c r="Z127" s="31" t="str">
        <f t="shared" si="92"/>
        <v>0.999999049655009+0.0230140779506389i</v>
      </c>
      <c r="AA127" s="17">
        <f t="shared" si="104"/>
        <v>1.0002638387419787</v>
      </c>
      <c r="AB127" s="17">
        <f t="shared" si="105"/>
        <v>2.3010037982658302E-2</v>
      </c>
      <c r="AC127" s="66" t="str">
        <f t="shared" si="106"/>
        <v>0.000413816731904649-7.55536197005946i</v>
      </c>
      <c r="AD127" s="64">
        <f t="shared" si="107"/>
        <v>17.565105529040668</v>
      </c>
      <c r="AE127" s="61">
        <f t="shared" si="108"/>
        <v>-89.996861837685572</v>
      </c>
      <c r="AF127" s="31" t="str">
        <f t="shared" si="93"/>
        <v>-0.000495863624968664</v>
      </c>
      <c r="AG127" s="31" t="str">
        <f t="shared" si="94"/>
        <v>0.00017061670710216i</v>
      </c>
      <c r="AH127" s="31">
        <f t="shared" si="109"/>
        <v>1.7061670710216001E-4</v>
      </c>
      <c r="AI127" s="31">
        <f t="shared" si="110"/>
        <v>1.5707963267948966</v>
      </c>
      <c r="AJ127" s="31" t="str">
        <f t="shared" si="95"/>
        <v>1+0.000665693941109421i</v>
      </c>
      <c r="AK127" s="31">
        <f t="shared" si="111"/>
        <v>1.000000221574187</v>
      </c>
      <c r="AL127" s="31">
        <f t="shared" si="112"/>
        <v>6.6569384277570705E-4</v>
      </c>
      <c r="AM127" s="31" t="str">
        <f t="shared" si="96"/>
        <v>1+0.204072175946766i</v>
      </c>
      <c r="AN127" s="31">
        <f t="shared" si="113"/>
        <v>1.0206103335728323</v>
      </c>
      <c r="AO127" s="31">
        <f t="shared" si="114"/>
        <v>0.20130802976853018</v>
      </c>
      <c r="AP127" s="58" t="str">
        <f t="shared" si="115"/>
        <v>-0.591160341362665+2.90669522640228i</v>
      </c>
      <c r="AQ127" s="49">
        <f t="shared" si="116"/>
        <v>9.4440112019659921</v>
      </c>
      <c r="AR127" s="61">
        <f t="shared" si="117"/>
        <v>101.49595904019182</v>
      </c>
      <c r="AS127" s="58" t="str">
        <f t="shared" si="118"/>
        <v>21.9608899400727+4.46763320045808i</v>
      </c>
      <c r="AT127" s="64">
        <f t="shared" si="119"/>
        <v>27.009116731006671</v>
      </c>
      <c r="AU127" s="61">
        <f t="shared" si="120"/>
        <v>11.499097202506235</v>
      </c>
    </row>
    <row r="128" spans="14:47" x14ac:dyDescent="0.25">
      <c r="N128" s="10">
        <v>10</v>
      </c>
      <c r="O128" s="50">
        <f t="shared" si="121"/>
        <v>125.89254117941677</v>
      </c>
      <c r="P128" s="48" t="str">
        <f t="shared" si="88"/>
        <v>304.285714285714</v>
      </c>
      <c r="Q128" s="17" t="str">
        <f t="shared" si="89"/>
        <v>1+41.1888210215034i</v>
      </c>
      <c r="R128" s="17">
        <f t="shared" si="98"/>
        <v>41.200958449306007</v>
      </c>
      <c r="S128" s="17">
        <f t="shared" si="99"/>
        <v>1.5465226631185323</v>
      </c>
      <c r="T128" s="17" t="str">
        <f t="shared" si="90"/>
        <v>1+0.000854286658223773i</v>
      </c>
      <c r="U128" s="17">
        <f t="shared" si="100"/>
        <v>1.0000003649027807</v>
      </c>
      <c r="V128" s="17">
        <f t="shared" si="101"/>
        <v>8.5428645040277475E-4</v>
      </c>
      <c r="W128" s="31" t="str">
        <f t="shared" si="91"/>
        <v>1-0.00266964580694929i</v>
      </c>
      <c r="X128" s="17">
        <f t="shared" si="102"/>
        <v>1.000003563498018</v>
      </c>
      <c r="Y128" s="17">
        <f t="shared" si="103"/>
        <v>-2.6696394647800822E-3</v>
      </c>
      <c r="Z128" s="31" t="str">
        <f t="shared" si="92"/>
        <v>0.999999004866629+0.0235501446906918i</v>
      </c>
      <c r="AA128" s="17">
        <f t="shared" si="104"/>
        <v>1.0002762713616675</v>
      </c>
      <c r="AB128" s="17">
        <f t="shared" si="105"/>
        <v>2.3545815851579447E-2</v>
      </c>
      <c r="AC128" s="66" t="str">
        <f t="shared" si="106"/>
        <v>-0.00802947659241107-7.38338860711016i</v>
      </c>
      <c r="AD128" s="64">
        <f t="shared" si="107"/>
        <v>17.365119677897464</v>
      </c>
      <c r="AE128" s="61">
        <f t="shared" si="108"/>
        <v>-90.062309457562222</v>
      </c>
      <c r="AF128" s="31" t="str">
        <f t="shared" si="93"/>
        <v>-0.000495863624968664</v>
      </c>
      <c r="AG128" s="31" t="str">
        <f t="shared" si="94"/>
        <v>0.000174590880743659i</v>
      </c>
      <c r="AH128" s="31">
        <f t="shared" si="109"/>
        <v>1.7459088074365899E-4</v>
      </c>
      <c r="AI128" s="31">
        <f t="shared" si="110"/>
        <v>1.5707963267948966</v>
      </c>
      <c r="AJ128" s="31" t="str">
        <f t="shared" si="95"/>
        <v>1+0.000681199944941027i</v>
      </c>
      <c r="AK128" s="31">
        <f t="shared" si="111"/>
        <v>1.0000002320166557</v>
      </c>
      <c r="AL128" s="31">
        <f t="shared" si="112"/>
        <v>6.8119983957455545E-4</v>
      </c>
      <c r="AM128" s="31" t="str">
        <f t="shared" si="96"/>
        <v>1+0.208825627565811i</v>
      </c>
      <c r="AN128" s="31">
        <f t="shared" si="113"/>
        <v>1.0215714085311192</v>
      </c>
      <c r="AO128" s="31">
        <f t="shared" si="114"/>
        <v>0.20586715888515841</v>
      </c>
      <c r="AP128" s="58" t="str">
        <f t="shared" si="115"/>
        <v>-0.591160329016321+2.8405488896197i</v>
      </c>
      <c r="AQ128" s="49">
        <f t="shared" si="116"/>
        <v>9.2521864773106195</v>
      </c>
      <c r="AR128" s="61">
        <f t="shared" si="117"/>
        <v>101.75628946865613</v>
      </c>
      <c r="AS128" s="58" t="str">
        <f t="shared" si="118"/>
        <v>20.9776230175817+4.3419583174158i</v>
      </c>
      <c r="AT128" s="64">
        <f t="shared" si="119"/>
        <v>26.61730615520808</v>
      </c>
      <c r="AU128" s="61">
        <f t="shared" si="120"/>
        <v>11.69398001109392</v>
      </c>
    </row>
    <row r="129" spans="14:47" x14ac:dyDescent="0.25">
      <c r="N129" s="10">
        <v>11</v>
      </c>
      <c r="O129" s="50">
        <f t="shared" si="121"/>
        <v>128.82495516931343</v>
      </c>
      <c r="P129" s="48" t="str">
        <f t="shared" si="88"/>
        <v>304.285714285714</v>
      </c>
      <c r="Q129" s="17" t="str">
        <f t="shared" si="89"/>
        <v>1+42.1482319116107i</v>
      </c>
      <c r="R129" s="17">
        <f t="shared" si="98"/>
        <v>42.160093136459245</v>
      </c>
      <c r="S129" s="17">
        <f t="shared" si="99"/>
        <v>1.5470749894970719</v>
      </c>
      <c r="T129" s="17" t="str">
        <f t="shared" si="90"/>
        <v>1+0.000874185550759331i</v>
      </c>
      <c r="U129" s="17">
        <f t="shared" si="100"/>
        <v>1.0000003821001155</v>
      </c>
      <c r="V129" s="17">
        <f t="shared" si="101"/>
        <v>8.741853280751239E-4</v>
      </c>
      <c r="W129" s="31" t="str">
        <f t="shared" si="91"/>
        <v>1-0.00273182984612291i</v>
      </c>
      <c r="X129" s="17">
        <f t="shared" si="102"/>
        <v>1.0000037314401922</v>
      </c>
      <c r="Y129" s="17">
        <f t="shared" si="103"/>
        <v>-2.7318230503675361E-3</v>
      </c>
      <c r="Z129" s="31" t="str">
        <f t="shared" si="92"/>
        <v>0.999998957967438+0.0240986980291828i</v>
      </c>
      <c r="AA129" s="17">
        <f t="shared" si="104"/>
        <v>1.0002892897470528</v>
      </c>
      <c r="AB129" s="17">
        <f t="shared" si="105"/>
        <v>2.4094059666952296E-2</v>
      </c>
      <c r="AC129" s="66" t="str">
        <f t="shared" si="106"/>
        <v>-0.0160927696530327-7.21531156803098i</v>
      </c>
      <c r="AD129" s="64">
        <f t="shared" si="107"/>
        <v>17.165123390521121</v>
      </c>
      <c r="AE129" s="61">
        <f t="shared" si="108"/>
        <v>-90.127790220032765</v>
      </c>
      <c r="AF129" s="31" t="str">
        <f t="shared" si="93"/>
        <v>-0.000495863624968664</v>
      </c>
      <c r="AG129" s="31" t="str">
        <f t="shared" si="94"/>
        <v>0.000178657624781111i</v>
      </c>
      <c r="AH129" s="31">
        <f t="shared" si="109"/>
        <v>1.78657624781111E-4</v>
      </c>
      <c r="AI129" s="31">
        <f t="shared" si="110"/>
        <v>1.5707963267948966</v>
      </c>
      <c r="AJ129" s="31" t="str">
        <f t="shared" si="95"/>
        <v>1+0.000697067130000189i</v>
      </c>
      <c r="AK129" s="31">
        <f t="shared" si="111"/>
        <v>1.0000002429512624</v>
      </c>
      <c r="AL129" s="31">
        <f t="shared" si="112"/>
        <v>6.970670170979821E-4</v>
      </c>
      <c r="AM129" s="31" t="str">
        <f t="shared" si="96"/>
        <v>1+0.213689801296725i</v>
      </c>
      <c r="AN129" s="31">
        <f t="shared" si="113"/>
        <v>1.0225768094271617</v>
      </c>
      <c r="AO129" s="31">
        <f t="shared" si="114"/>
        <v>0.21052351275999542</v>
      </c>
      <c r="AP129" s="58" t="str">
        <f t="shared" si="115"/>
        <v>-0.591160316088115+2.77590864945673i</v>
      </c>
      <c r="AQ129" s="49">
        <f t="shared" si="116"/>
        <v>9.0607305787404755</v>
      </c>
      <c r="AR129" s="61">
        <f t="shared" si="117"/>
        <v>102.02216977129882</v>
      </c>
      <c r="AS129" s="58" t="str">
        <f t="shared" si="118"/>
        <v>20.0385591970172+4.22073380875786i</v>
      </c>
      <c r="AT129" s="64">
        <f t="shared" si="119"/>
        <v>26.225853969261586</v>
      </c>
      <c r="AU129" s="61">
        <f t="shared" si="120"/>
        <v>11.89437955126607</v>
      </c>
    </row>
    <row r="130" spans="14:47" x14ac:dyDescent="0.25">
      <c r="N130" s="10">
        <v>12</v>
      </c>
      <c r="O130" s="50">
        <f t="shared" si="121"/>
        <v>131.82567385564084</v>
      </c>
      <c r="P130" s="48" t="str">
        <f t="shared" si="88"/>
        <v>304.285714285714</v>
      </c>
      <c r="Q130" s="17" t="str">
        <f t="shared" si="89"/>
        <v>1+43.1299903521753i</v>
      </c>
      <c r="R130" s="17">
        <f t="shared" si="98"/>
        <v>43.141581655970079</v>
      </c>
      <c r="S130" s="17">
        <f t="shared" si="99"/>
        <v>1.547614757380402</v>
      </c>
      <c r="T130" s="17" t="str">
        <f t="shared" si="90"/>
        <v>1+0.000894547948045116i</v>
      </c>
      <c r="U130" s="17">
        <f t="shared" si="100"/>
        <v>1.0000004001079357</v>
      </c>
      <c r="V130" s="17">
        <f t="shared" si="101"/>
        <v>8.9454770943469435E-4</v>
      </c>
      <c r="W130" s="31" t="str">
        <f t="shared" si="91"/>
        <v>1-0.00279546233764099i</v>
      </c>
      <c r="X130" s="17">
        <f t="shared" si="102"/>
        <v>1.0000039072972071</v>
      </c>
      <c r="Y130" s="17">
        <f t="shared" si="103"/>
        <v>-2.7954550558594504E-3</v>
      </c>
      <c r="Z130" s="31" t="str">
        <f t="shared" si="92"/>
        <v>0.999998908857957+0.0246600288163528i</v>
      </c>
      <c r="AA130" s="17">
        <f t="shared" si="104"/>
        <v>1.0003029214884498</v>
      </c>
      <c r="AB130" s="17">
        <f t="shared" si="105"/>
        <v>2.4655058802962624E-2</v>
      </c>
      <c r="AC130" s="66" t="str">
        <f t="shared" si="106"/>
        <v>-0.0237931066740953-7.05104296742505i</v>
      </c>
      <c r="AD130" s="64">
        <f t="shared" si="107"/>
        <v>16.965116674771281</v>
      </c>
      <c r="AE130" s="61">
        <f t="shared" si="108"/>
        <v>-90.193338691312078</v>
      </c>
      <c r="AF130" s="31" t="str">
        <f t="shared" si="93"/>
        <v>-0.000495863624968664</v>
      </c>
      <c r="AG130" s="31" t="str">
        <f t="shared" si="94"/>
        <v>0.000182819095456035i</v>
      </c>
      <c r="AH130" s="31">
        <f t="shared" si="109"/>
        <v>1.82819095456035E-4</v>
      </c>
      <c r="AI130" s="31">
        <f t="shared" si="110"/>
        <v>1.5707963267948966</v>
      </c>
      <c r="AJ130" s="31" t="str">
        <f t="shared" si="95"/>
        <v>1+0.000713303909278452i</v>
      </c>
      <c r="AK130" s="31">
        <f t="shared" si="111"/>
        <v>1.0000002544012012</v>
      </c>
      <c r="AL130" s="31">
        <f t="shared" si="112"/>
        <v>7.1330378830155932E-4</v>
      </c>
      <c r="AM130" s="31" t="str">
        <f t="shared" si="96"/>
        <v>1+0.218667276188806i</v>
      </c>
      <c r="AN130" s="31">
        <f t="shared" si="113"/>
        <v>1.0236285350046821</v>
      </c>
      <c r="AO130" s="31">
        <f t="shared" si="114"/>
        <v>0.21527875221834009</v>
      </c>
      <c r="AP130" s="58" t="str">
        <f t="shared" si="115"/>
        <v>-0.591160302550621+2.71274023280235i</v>
      </c>
      <c r="AQ130" s="49">
        <f t="shared" si="116"/>
        <v>8.8696593711265397</v>
      </c>
      <c r="AR130" s="61">
        <f t="shared" si="117"/>
        <v>102.29369462437312</v>
      </c>
      <c r="AS130" s="58" t="str">
        <f t="shared" si="118"/>
        <v>19.1417134810921+4.10375217618224i</v>
      </c>
      <c r="AT130" s="64">
        <f t="shared" si="119"/>
        <v>25.834776045897829</v>
      </c>
      <c r="AU130" s="61">
        <f t="shared" si="120"/>
        <v>12.10035593306103</v>
      </c>
    </row>
    <row r="131" spans="14:47" x14ac:dyDescent="0.25">
      <c r="N131" s="10">
        <v>13</v>
      </c>
      <c r="O131" s="50">
        <f t="shared" si="121"/>
        <v>134.89628825916537</v>
      </c>
      <c r="P131" s="48" t="str">
        <f t="shared" si="88"/>
        <v>304.285714285714</v>
      </c>
      <c r="Q131" s="17" t="str">
        <f t="shared" si="89"/>
        <v>1+44.1346168845175i</v>
      </c>
      <c r="R131" s="17">
        <f t="shared" si="98"/>
        <v>44.145944406515277</v>
      </c>
      <c r="S131" s="17">
        <f t="shared" si="99"/>
        <v>1.54814225170179</v>
      </c>
      <c r="T131" s="17" t="str">
        <f t="shared" si="90"/>
        <v>1+0.000915384646493694i</v>
      </c>
      <c r="U131" s="17">
        <f t="shared" si="100"/>
        <v>1.0000004189644378</v>
      </c>
      <c r="V131" s="17">
        <f t="shared" si="101"/>
        <v>9.1538439081802648E-4</v>
      </c>
      <c r="W131" s="31" t="str">
        <f t="shared" si="91"/>
        <v>1-0.0028605770202928i</v>
      </c>
      <c r="X131" s="17">
        <f t="shared" si="102"/>
        <v>1.0000040914420747</v>
      </c>
      <c r="Y131" s="17">
        <f t="shared" si="103"/>
        <v>-2.8605692177250275E-3</v>
      </c>
      <c r="Z131" s="31" t="str">
        <f t="shared" si="92"/>
        <v>0.999998857434016+0.0252344346772152i</v>
      </c>
      <c r="AA131" s="17">
        <f t="shared" si="104"/>
        <v>1.0003171954749233</v>
      </c>
      <c r="AB131" s="17">
        <f t="shared" si="105"/>
        <v>2.5229109303119446E-2</v>
      </c>
      <c r="AC131" s="66" t="str">
        <f t="shared" si="106"/>
        <v>-0.0311467672024546-6.89049685724819i</v>
      </c>
      <c r="AD131" s="64">
        <f t="shared" si="107"/>
        <v>16.765099516463962</v>
      </c>
      <c r="AE131" s="61">
        <f t="shared" si="108"/>
        <v>-90.2589894732902</v>
      </c>
      <c r="AF131" s="31" t="str">
        <f t="shared" si="93"/>
        <v>-0.000495863624968664</v>
      </c>
      <c r="AG131" s="31" t="str">
        <f t="shared" si="94"/>
        <v>0.000187077499235267i</v>
      </c>
      <c r="AH131" s="31">
        <f t="shared" si="109"/>
        <v>1.8707749923526699E-4</v>
      </c>
      <c r="AI131" s="31">
        <f t="shared" si="110"/>
        <v>1.5707963267948966</v>
      </c>
      <c r="AJ131" s="31" t="str">
        <f t="shared" si="95"/>
        <v>1+0.000729918891731105i</v>
      </c>
      <c r="AK131" s="31">
        <f t="shared" si="111"/>
        <v>1.0000002663907588</v>
      </c>
      <c r="AL131" s="31">
        <f t="shared" si="112"/>
        <v>7.2991876210203087E-4</v>
      </c>
      <c r="AM131" s="31" t="str">
        <f t="shared" si="96"/>
        <v>1+0.223760691365125i</v>
      </c>
      <c r="AN131" s="31">
        <f t="shared" si="113"/>
        <v>1.0247286699415601</v>
      </c>
      <c r="AO131" s="31">
        <f t="shared" si="114"/>
        <v>0.22013453793893828</v>
      </c>
      <c r="AP131" s="58" t="str">
        <f t="shared" si="115"/>
        <v>-0.59116028837512+2.65101014692584i</v>
      </c>
      <c r="AQ131" s="49">
        <f t="shared" si="116"/>
        <v>8.6789893306536214</v>
      </c>
      <c r="AR131" s="61">
        <f t="shared" si="117"/>
        <v>102.57095868450777</v>
      </c>
      <c r="AS131" s="58" t="str">
        <f t="shared" si="118"/>
        <v>18.2851898178069+3.99081771328105i</v>
      </c>
      <c r="AT131" s="64">
        <f t="shared" si="119"/>
        <v>25.444088847117573</v>
      </c>
      <c r="AU131" s="61">
        <f t="shared" si="120"/>
        <v>12.311969211217582</v>
      </c>
    </row>
    <row r="132" spans="14:47" x14ac:dyDescent="0.25">
      <c r="N132" s="10">
        <v>14</v>
      </c>
      <c r="O132" s="50">
        <f t="shared" si="121"/>
        <v>138.0384264602886</v>
      </c>
      <c r="P132" s="48" t="str">
        <f t="shared" si="88"/>
        <v>304.285714285714</v>
      </c>
      <c r="Q132" s="17" t="str">
        <f t="shared" si="89"/>
        <v>1+45.1626441749226i</v>
      </c>
      <c r="R132" s="17">
        <f t="shared" si="98"/>
        <v>45.173713914960217</v>
      </c>
      <c r="S132" s="17">
        <f t="shared" si="99"/>
        <v>1.548657750970831</v>
      </c>
      <c r="T132" s="17" t="str">
        <f t="shared" si="90"/>
        <v>1+0.000936706693998393i</v>
      </c>
      <c r="U132" s="17">
        <f t="shared" si="100"/>
        <v>1.0000004387096191</v>
      </c>
      <c r="V132" s="17">
        <f t="shared" si="101"/>
        <v>9.3670642003698581E-4</v>
      </c>
      <c r="W132" s="31" t="str">
        <f t="shared" si="91"/>
        <v>1-0.00292720841874498i</v>
      </c>
      <c r="X132" s="17">
        <f t="shared" si="102"/>
        <v>1.0000042842653858</v>
      </c>
      <c r="Y132" s="17">
        <f t="shared" si="103"/>
        <v>-2.927200058144916E-3</v>
      </c>
      <c r="Z132" s="31" t="str">
        <f t="shared" si="92"/>
        <v>0.99999880358654+0.0258222201693608i</v>
      </c>
      <c r="AA132" s="17">
        <f t="shared" si="104"/>
        <v>1.0003321419553539</v>
      </c>
      <c r="AB132" s="17">
        <f t="shared" si="105"/>
        <v>2.5816514030532371E-2</v>
      </c>
      <c r="AC132" s="66" t="str">
        <f t="shared" si="106"/>
        <v>-0.0381693001824859-6.73358918669762i</v>
      </c>
      <c r="AD132" s="64">
        <f t="shared" si="107"/>
        <v>16.565071879341804</v>
      </c>
      <c r="AE132" s="61">
        <f t="shared" si="108"/>
        <v>-90.324777221151678</v>
      </c>
      <c r="AF132" s="31" t="str">
        <f t="shared" si="93"/>
        <v>-0.000495863624968664</v>
      </c>
      <c r="AG132" s="31" t="str">
        <f t="shared" si="94"/>
        <v>0.000191435093980857i</v>
      </c>
      <c r="AH132" s="31">
        <f t="shared" si="109"/>
        <v>1.91435093980857E-4</v>
      </c>
      <c r="AI132" s="31">
        <f t="shared" si="110"/>
        <v>1.5707963267948966</v>
      </c>
      <c r="AJ132" s="31" t="str">
        <f t="shared" si="95"/>
        <v>1+0.000746920886841775i</v>
      </c>
      <c r="AK132" s="31">
        <f t="shared" si="111"/>
        <v>1.0000002789453666</v>
      </c>
      <c r="AL132" s="31">
        <f t="shared" si="112"/>
        <v>7.4692074794172167E-4</v>
      </c>
      <c r="AM132" s="31" t="str">
        <f t="shared" si="96"/>
        <v>1+0.228972747421829i</v>
      </c>
      <c r="AN132" s="31">
        <f t="shared" si="113"/>
        <v>1.0258793881650516</v>
      </c>
      <c r="AO132" s="31">
        <f t="shared" si="114"/>
        <v>0.22509252816234496</v>
      </c>
      <c r="AP132" s="58" t="str">
        <f t="shared" si="115"/>
        <v>-0.591160273531551+2.59068566171852i</v>
      </c>
      <c r="AQ132" s="49">
        <f t="shared" si="116"/>
        <v>8.4887375618634877</v>
      </c>
      <c r="AR132" s="61">
        <f t="shared" si="117"/>
        <v>102.85405645714414</v>
      </c>
      <c r="AS132" s="58" t="str">
        <f t="shared" si="118"/>
        <v>17.4671771318168+3.88174576675666i</v>
      </c>
      <c r="AT132" s="64">
        <f t="shared" si="119"/>
        <v>25.053809441205299</v>
      </c>
      <c r="AU132" s="61">
        <f t="shared" si="120"/>
        <v>12.529279235992433</v>
      </c>
    </row>
    <row r="133" spans="14:47" x14ac:dyDescent="0.25">
      <c r="N133" s="10">
        <v>15</v>
      </c>
      <c r="O133" s="50">
        <f t="shared" si="121"/>
        <v>141.25375446227542</v>
      </c>
      <c r="P133" s="48" t="str">
        <f t="shared" si="88"/>
        <v>304.285714285714</v>
      </c>
      <c r="Q133" s="17" t="str">
        <f t="shared" si="89"/>
        <v>1+46.2146172970675i</v>
      </c>
      <c r="R133" s="17">
        <f t="shared" si="98"/>
        <v>46.225435118713705</v>
      </c>
      <c r="S133" s="17">
        <f t="shared" si="99"/>
        <v>1.5491615274155246</v>
      </c>
      <c r="T133" s="17" t="str">
        <f t="shared" si="90"/>
        <v>1+0.000958525395791028i</v>
      </c>
      <c r="U133" s="17">
        <f t="shared" si="100"/>
        <v>1.0000004593853618</v>
      </c>
      <c r="V133" s="17">
        <f t="shared" si="101"/>
        <v>9.585251022360986E-4</v>
      </c>
      <c r="W133" s="31" t="str">
        <f t="shared" si="91"/>
        <v>1-0.00299539186184696i</v>
      </c>
      <c r="X133" s="17">
        <f t="shared" si="102"/>
        <v>1.0000044861761401</v>
      </c>
      <c r="Y133" s="17">
        <f t="shared" si="103"/>
        <v>-2.9953829033047591E-3</v>
      </c>
      <c r="Z133" s="31" t="str">
        <f t="shared" si="92"/>
        <v>0.999998747201311+0.0264236969444376i</v>
      </c>
      <c r="AA133" s="17">
        <f t="shared" si="104"/>
        <v>1.0003477926023543</v>
      </c>
      <c r="AB133" s="17">
        <f t="shared" si="105"/>
        <v>2.6417582821327605E-2</v>
      </c>
      <c r="AC133" s="66" t="str">
        <f t="shared" si="106"/>
        <v>-0.0448755565212924-6.58023776274487i</v>
      </c>
      <c r="AD133" s="64">
        <f t="shared" si="107"/>
        <v>16.365033704998627</v>
      </c>
      <c r="AE133" s="61">
        <f t="shared" si="108"/>
        <v>-90.390736661018636</v>
      </c>
      <c r="AF133" s="31" t="str">
        <f t="shared" si="93"/>
        <v>-0.000495863624968664</v>
      </c>
      <c r="AG133" s="31" t="str">
        <f t="shared" si="94"/>
        <v>0.000195894190147218i</v>
      </c>
      <c r="AH133" s="31">
        <f t="shared" si="109"/>
        <v>1.9589419014721799E-4</v>
      </c>
      <c r="AI133" s="31">
        <f t="shared" si="110"/>
        <v>1.5707963267948966</v>
      </c>
      <c r="AJ133" s="31" t="str">
        <f t="shared" si="95"/>
        <v>1+0.000764318909293314i</v>
      </c>
      <c r="AK133" s="31">
        <f t="shared" si="111"/>
        <v>1.0000002920916549</v>
      </c>
      <c r="AL133" s="31">
        <f t="shared" si="112"/>
        <v>7.6431876045922765E-4</v>
      </c>
      <c r="AM133" s="31" t="str">
        <f t="shared" si="96"/>
        <v>1+0.234306207860029i</v>
      </c>
      <c r="AN133" s="31">
        <f t="shared" si="113"/>
        <v>1.0270829562609571</v>
      </c>
      <c r="AO133" s="31">
        <f t="shared" si="114"/>
        <v>0.23015437623507362</v>
      </c>
      <c r="AP133" s="58" t="str">
        <f t="shared" si="115"/>
        <v>-0.591160257988433+2.53173479233979i</v>
      </c>
      <c r="AQ133" s="49">
        <f t="shared" si="116"/>
        <v>8.298921814553788</v>
      </c>
      <c r="AR133" s="61">
        <f t="shared" si="117"/>
        <v>103.14308215555879</v>
      </c>
      <c r="AS133" s="58" t="str">
        <f t="shared" si="118"/>
        <v>16.6859455313798+3.77636204567892i</v>
      </c>
      <c r="AT133" s="64">
        <f t="shared" si="119"/>
        <v>24.663955519552406</v>
      </c>
      <c r="AU133" s="61">
        <f t="shared" si="120"/>
        <v>12.752345494540178</v>
      </c>
    </row>
    <row r="134" spans="14:47" x14ac:dyDescent="0.25">
      <c r="N134" s="10">
        <v>16</v>
      </c>
      <c r="O134" s="50">
        <f t="shared" si="121"/>
        <v>144.54397707459285</v>
      </c>
      <c r="P134" s="48" t="str">
        <f t="shared" si="88"/>
        <v>304.285714285714</v>
      </c>
      <c r="Q134" s="17" t="str">
        <f t="shared" si="89"/>
        <v>1+47.2910940210262i</v>
      </c>
      <c r="R134" s="17">
        <f t="shared" si="98"/>
        <v>47.301665654663154</v>
      </c>
      <c r="S134" s="17">
        <f t="shared" si="99"/>
        <v>1.5496538471213934</v>
      </c>
      <c r="T134" s="17" t="str">
        <f t="shared" si="90"/>
        <v>1+0.000980852320436096i</v>
      </c>
      <c r="U134" s="17">
        <f t="shared" si="100"/>
        <v>1.0000004810355214</v>
      </c>
      <c r="V134" s="17">
        <f t="shared" si="101"/>
        <v>9.8085200588633021E-4</v>
      </c>
      <c r="W134" s="31" t="str">
        <f t="shared" si="91"/>
        <v>1-0.0030651635013628i</v>
      </c>
      <c r="X134" s="17">
        <f t="shared" si="102"/>
        <v>1.0000046976026113</v>
      </c>
      <c r="Y134" s="17">
        <f t="shared" si="103"/>
        <v>-3.06515390211432E-3</v>
      </c>
      <c r="Z134" s="31" t="str">
        <f t="shared" si="92"/>
        <v>0.999998688158728+0.0270391839133934i</v>
      </c>
      <c r="AA134" s="17">
        <f t="shared" si="104"/>
        <v>1.0003641805791927</v>
      </c>
      <c r="AB134" s="17">
        <f t="shared" si="105"/>
        <v>2.7032632641251667E-2</v>
      </c>
      <c r="AC134" s="66" t="str">
        <f t="shared" si="106"/>
        <v>-0.051279720209893-6.43036221131512i</v>
      </c>
      <c r="AD134" s="64">
        <f t="shared" si="107"/>
        <v>16.164984912757106</v>
      </c>
      <c r="AE134" s="61">
        <f t="shared" si="108"/>
        <v>-90.456902607623419</v>
      </c>
      <c r="AF134" s="31" t="str">
        <f t="shared" si="93"/>
        <v>-0.000495863624968664</v>
      </c>
      <c r="AG134" s="31" t="str">
        <f t="shared" si="94"/>
        <v>0.000200457152006162i</v>
      </c>
      <c r="AH134" s="31">
        <f t="shared" si="109"/>
        <v>2.0045715200616199E-4</v>
      </c>
      <c r="AI134" s="31">
        <f t="shared" si="110"/>
        <v>1.5707963267948966</v>
      </c>
      <c r="AJ134" s="31" t="str">
        <f t="shared" si="95"/>
        <v>1+0.000782122183747519i</v>
      </c>
      <c r="AK134" s="31">
        <f t="shared" si="111"/>
        <v>1.0000003058575084</v>
      </c>
      <c r="AL134" s="31">
        <f t="shared" si="112"/>
        <v>7.8212202426892498E-4</v>
      </c>
      <c r="AM134" s="31" t="str">
        <f t="shared" si="96"/>
        <v>1+0.239763900551046i</v>
      </c>
      <c r="AN134" s="31">
        <f t="shared" si="113"/>
        <v>1.0283417369763088</v>
      </c>
      <c r="AO134" s="31">
        <f t="shared" si="114"/>
        <v>0.23532172798315998</v>
      </c>
      <c r="AP134" s="58" t="str">
        <f t="shared" si="115"/>
        <v>-0.591160241712791+2.47412628225831i</v>
      </c>
      <c r="AQ134" s="49">
        <f t="shared" si="116"/>
        <v>8.1095605004592404</v>
      </c>
      <c r="AR134" s="61">
        <f t="shared" si="117"/>
        <v>103.43812955010586</v>
      </c>
      <c r="AS134" s="58" t="str">
        <f t="shared" si="118"/>
        <v>15.9398426832496+3.67450197562369i</v>
      </c>
      <c r="AT134" s="64">
        <f t="shared" si="119"/>
        <v>24.27454541321632</v>
      </c>
      <c r="AU134" s="61">
        <f t="shared" si="120"/>
        <v>12.981226942482461</v>
      </c>
    </row>
    <row r="135" spans="14:47" x14ac:dyDescent="0.25">
      <c r="N135" s="10">
        <v>17</v>
      </c>
      <c r="O135" s="50">
        <f t="shared" si="121"/>
        <v>147.91083881682084</v>
      </c>
      <c r="P135" s="48" t="str">
        <f t="shared" si="88"/>
        <v>304.285714285714</v>
      </c>
      <c r="Q135" s="17" t="str">
        <f t="shared" si="89"/>
        <v>1+48.3926451090063i</v>
      </c>
      <c r="R135" s="17">
        <f t="shared" si="98"/>
        <v>48.402976154842293</v>
      </c>
      <c r="S135" s="17">
        <f t="shared" si="99"/>
        <v>1.5501349701676923</v>
      </c>
      <c r="T135" s="17" t="str">
        <f t="shared" si="90"/>
        <v>1+0.00100369930596457i</v>
      </c>
      <c r="U135" s="17">
        <f t="shared" si="100"/>
        <v>1.0000005037060216</v>
      </c>
      <c r="V135" s="17">
        <f t="shared" si="101"/>
        <v>1.0036989689184326E-3</v>
      </c>
      <c r="W135" s="31" t="str">
        <f t="shared" si="91"/>
        <v>1-0.0031365603311393i</v>
      </c>
      <c r="X135" s="17">
        <f t="shared" si="102"/>
        <v>1.0000049189932572</v>
      </c>
      <c r="Y135" s="17">
        <f t="shared" si="103"/>
        <v>-3.1365500453619708E-3</v>
      </c>
      <c r="Z135" s="31" t="str">
        <f t="shared" si="92"/>
        <v>0.999998626333554+0.027669007415566i</v>
      </c>
      <c r="AA135" s="17">
        <f t="shared" si="104"/>
        <v>1.0003813406098483</v>
      </c>
      <c r="AB135" s="17">
        <f t="shared" si="105"/>
        <v>2.7661987745507179E-2</v>
      </c>
      <c r="AC135" s="66" t="str">
        <f t="shared" si="106"/>
        <v>-0.0573953380631851-6.28388393911573i</v>
      </c>
      <c r="AD135" s="64">
        <f t="shared" si="107"/>
        <v>15.964925399500412</v>
      </c>
      <c r="AE135" s="61">
        <f t="shared" si="108"/>
        <v>-90.523309982016855</v>
      </c>
      <c r="AF135" s="31" t="str">
        <f t="shared" si="93"/>
        <v>-0.000495863624968664</v>
      </c>
      <c r="AG135" s="31" t="str">
        <f t="shared" si="94"/>
        <v>0.000205126398900464i</v>
      </c>
      <c r="AH135" s="31">
        <f t="shared" si="109"/>
        <v>2.0512639890046401E-4</v>
      </c>
      <c r="AI135" s="31">
        <f t="shared" si="110"/>
        <v>1.5707963267948966</v>
      </c>
      <c r="AJ135" s="31" t="str">
        <f t="shared" si="95"/>
        <v>1+0.000800340149736156i</v>
      </c>
      <c r="AK135" s="31">
        <f t="shared" si="111"/>
        <v>1.0000003202721264</v>
      </c>
      <c r="AL135" s="31">
        <f t="shared" si="112"/>
        <v>8.0033997885176652E-4</v>
      </c>
      <c r="AM135" s="31" t="str">
        <f t="shared" si="96"/>
        <v>1+0.245348719235784i</v>
      </c>
      <c r="AN135" s="31">
        <f t="shared" si="113"/>
        <v>1.0296581928147999</v>
      </c>
      <c r="AO135" s="31">
        <f t="shared" si="114"/>
        <v>0.24059621890890232</v>
      </c>
      <c r="AP135" s="58" t="str">
        <f t="shared" si="115"/>
        <v>-0.591160224670092+2.4178295866794i</v>
      </c>
      <c r="AQ135" s="49">
        <f t="shared" si="116"/>
        <v>7.9206727096347027</v>
      </c>
      <c r="AR135" s="61">
        <f t="shared" si="117"/>
        <v>103.73929180732195</v>
      </c>
      <c r="AS135" s="58" t="str">
        <f t="shared" si="118"/>
        <v>15.227290348198+3.5760100947418i</v>
      </c>
      <c r="AT135" s="64">
        <f t="shared" si="119"/>
        <v>23.885598109135138</v>
      </c>
      <c r="AU135" s="61">
        <f t="shared" si="120"/>
        <v>13.215981825305045</v>
      </c>
    </row>
    <row r="136" spans="14:47" x14ac:dyDescent="0.25">
      <c r="N136" s="10">
        <v>18</v>
      </c>
      <c r="O136" s="50">
        <f t="shared" si="121"/>
        <v>151.3561248436209</v>
      </c>
      <c r="P136" s="48" t="str">
        <f t="shared" si="88"/>
        <v>304.285714285714</v>
      </c>
      <c r="Q136" s="17" t="str">
        <f t="shared" si="89"/>
        <v>1+49.5198546179757i</v>
      </c>
      <c r="R136" s="17">
        <f t="shared" si="98"/>
        <v>49.529950548990548</v>
      </c>
      <c r="S136" s="17">
        <f t="shared" si="99"/>
        <v>1.5506051507607577</v>
      </c>
      <c r="T136" s="17" t="str">
        <f t="shared" si="90"/>
        <v>1+0.0010270784661506i</v>
      </c>
      <c r="U136" s="17">
        <f t="shared" si="100"/>
        <v>1.0000005274449488</v>
      </c>
      <c r="V136" s="17">
        <f t="shared" si="101"/>
        <v>1.0270781049991674E-3</v>
      </c>
      <c r="W136" s="31" t="str">
        <f t="shared" si="91"/>
        <v>1-0.00320962020672064i</v>
      </c>
      <c r="X136" s="17">
        <f t="shared" si="102"/>
        <v>1.0000051508176702</v>
      </c>
      <c r="Y136" s="17">
        <f t="shared" si="103"/>
        <v>-3.209609185314728E-3</v>
      </c>
      <c r="Z136" s="31" t="str">
        <f t="shared" si="92"/>
        <v>0.999998561594648+0.0283135013917129i</v>
      </c>
      <c r="AA136" s="17">
        <f t="shared" si="104"/>
        <v>1.000399309052352</v>
      </c>
      <c r="AB136" s="17">
        <f t="shared" si="105"/>
        <v>2.8305979841868775E-2</v>
      </c>
      <c r="AC136" s="66" t="str">
        <f t="shared" si="106"/>
        <v>-0.0632353481388535-6.14072609611377i</v>
      </c>
      <c r="AD136" s="64">
        <f t="shared" si="107"/>
        <v>15.764855039456339</v>
      </c>
      <c r="AE136" s="61">
        <f t="shared" si="108"/>
        <v>-90.58999382931782</v>
      </c>
      <c r="AF136" s="31" t="str">
        <f t="shared" si="93"/>
        <v>-0.000495863624968664</v>
      </c>
      <c r="AG136" s="31" t="str">
        <f t="shared" si="94"/>
        <v>0.000209904406526631i</v>
      </c>
      <c r="AH136" s="31">
        <f t="shared" si="109"/>
        <v>2.09904406526631E-4</v>
      </c>
      <c r="AI136" s="31">
        <f t="shared" si="110"/>
        <v>1.5707963267948966</v>
      </c>
      <c r="AJ136" s="31" t="str">
        <f t="shared" si="95"/>
        <v>1+0.000818982466665938i</v>
      </c>
      <c r="AK136" s="31">
        <f t="shared" si="111"/>
        <v>1.000000335366084</v>
      </c>
      <c r="AL136" s="31">
        <f t="shared" si="112"/>
        <v>8.1898228356001911E-4</v>
      </c>
      <c r="AM136" s="31" t="str">
        <f t="shared" si="96"/>
        <v>1+0.251063625059036i</v>
      </c>
      <c r="AN136" s="31">
        <f t="shared" si="113"/>
        <v>1.0310348897238075</v>
      </c>
      <c r="AO136" s="31">
        <f t="shared" si="114"/>
        <v>0.24597947120477789</v>
      </c>
      <c r="AP136" s="58" t="str">
        <f t="shared" si="115"/>
        <v>-0.591160206824203+2.36281485634983i</v>
      </c>
      <c r="AQ136" s="49">
        <f t="shared" si="116"/>
        <v>7.7322782264524035</v>
      </c>
      <c r="AR136" s="61">
        <f t="shared" si="117"/>
        <v>104.04666131854954</v>
      </c>
      <c r="AS136" s="58" t="str">
        <f t="shared" si="118"/>
        <v>14.5467810701571+3.48073948900046i</v>
      </c>
      <c r="AT136" s="64">
        <f t="shared" si="119"/>
        <v>23.497133265908762</v>
      </c>
      <c r="AU136" s="61">
        <f t="shared" si="120"/>
        <v>13.456667489231695</v>
      </c>
    </row>
    <row r="137" spans="14:47" x14ac:dyDescent="0.25">
      <c r="N137" s="10">
        <v>19</v>
      </c>
      <c r="O137" s="50">
        <f t="shared" si="121"/>
        <v>154.8816618912482</v>
      </c>
      <c r="P137" s="48" t="str">
        <f t="shared" si="88"/>
        <v>304.285714285714</v>
      </c>
      <c r="Q137" s="17" t="str">
        <f t="shared" si="89"/>
        <v>1+50.6733202093362i</v>
      </c>
      <c r="R137" s="17">
        <f t="shared" si="98"/>
        <v>50.683186374160812</v>
      </c>
      <c r="S137" s="17">
        <f t="shared" si="99"/>
        <v>1.5510646373645449</v>
      </c>
      <c r="T137" s="17" t="str">
        <f t="shared" si="90"/>
        <v>1+0.00105100219693438i</v>
      </c>
      <c r="U137" s="17">
        <f t="shared" si="100"/>
        <v>1.0000005523026565</v>
      </c>
      <c r="V137" s="17">
        <f t="shared" si="101"/>
        <v>1.0510018099536592E-3</v>
      </c>
      <c r="W137" s="31" t="str">
        <f t="shared" si="91"/>
        <v>1-0.00328438186541994i</v>
      </c>
      <c r="X137" s="17">
        <f t="shared" si="102"/>
        <v>1.0000053935675737</v>
      </c>
      <c r="Y137" s="17">
        <f t="shared" si="103"/>
        <v>-3.2843700557741748E-3</v>
      </c>
      <c r="Z137" s="31" t="str">
        <f t="shared" si="92"/>
        <v>0.999998493804693+0.0289730075610712i</v>
      </c>
      <c r="AA137" s="17">
        <f t="shared" si="104"/>
        <v>1.000418123975565</v>
      </c>
      <c r="AB137" s="17">
        <f t="shared" si="105"/>
        <v>2.8964948257122716E-2</v>
      </c>
      <c r="AC137" s="66" t="str">
        <f t="shared" si="106"/>
        <v>-0.0688121068928332-6.00081353866322i</v>
      </c>
      <c r="AD137" s="64">
        <f t="shared" si="107"/>
        <v>15.564773683934822</v>
      </c>
      <c r="AE137" s="61">
        <f t="shared" si="108"/>
        <v>-90.656989336509938</v>
      </c>
      <c r="AF137" s="31" t="str">
        <f t="shared" si="93"/>
        <v>-0.000495863624968664</v>
      </c>
      <c r="AG137" s="31" t="str">
        <f t="shared" si="94"/>
        <v>0.000214793708247552i</v>
      </c>
      <c r="AH137" s="31">
        <f t="shared" si="109"/>
        <v>2.1479370824755201E-4</v>
      </c>
      <c r="AI137" s="31">
        <f t="shared" si="110"/>
        <v>1.5707963267948966</v>
      </c>
      <c r="AJ137" s="31" t="str">
        <f t="shared" si="95"/>
        <v>1+0.00083805901894006i</v>
      </c>
      <c r="AK137" s="31">
        <f t="shared" si="111"/>
        <v>1.000000351171398</v>
      </c>
      <c r="AL137" s="31">
        <f t="shared" si="112"/>
        <v>8.3805882273853673E-4</v>
      </c>
      <c r="AM137" s="31" t="str">
        <f t="shared" si="96"/>
        <v>1+0.256911648139515i</v>
      </c>
      <c r="AN137" s="31">
        <f t="shared" si="113"/>
        <v>1.032474500871456</v>
      </c>
      <c r="AO137" s="31">
        <f t="shared" si="114"/>
        <v>0.25147309057879097</v>
      </c>
      <c r="AP137" s="58" t="str">
        <f t="shared" si="115"/>
        <v>-0.59116018813727+2.30905292173127i</v>
      </c>
      <c r="AQ137" s="49">
        <f t="shared" si="116"/>
        <v>7.5443975451173273</v>
      </c>
      <c r="AR137" s="61">
        <f t="shared" si="117"/>
        <v>104.36032951774924</v>
      </c>
      <c r="AS137" s="58" t="str">
        <f t="shared" si="118"/>
        <v>13.8968750122718+3.38855126402145i</v>
      </c>
      <c r="AT137" s="64">
        <f t="shared" si="119"/>
        <v>23.109171229052173</v>
      </c>
      <c r="AU137" s="61">
        <f t="shared" si="120"/>
        <v>13.703340181239275</v>
      </c>
    </row>
    <row r="138" spans="14:47" x14ac:dyDescent="0.25">
      <c r="N138" s="10">
        <v>20</v>
      </c>
      <c r="O138" s="50">
        <f t="shared" si="121"/>
        <v>158.48931924611153</v>
      </c>
      <c r="P138" s="48" t="str">
        <f t="shared" si="88"/>
        <v>304.285714285714</v>
      </c>
      <c r="Q138" s="17" t="str">
        <f t="shared" si="89"/>
        <v>1+51.8536534658125i</v>
      </c>
      <c r="R138" s="17">
        <f t="shared" si="98"/>
        <v>51.863295091543968</v>
      </c>
      <c r="S138" s="17">
        <f t="shared" si="99"/>
        <v>1.5515136728284045</v>
      </c>
      <c r="T138" s="17" t="str">
        <f t="shared" si="90"/>
        <v>1+0.00107548318299463i</v>
      </c>
      <c r="U138" s="17">
        <f t="shared" si="100"/>
        <v>1.0000005783318713</v>
      </c>
      <c r="V138" s="17">
        <f t="shared" si="101"/>
        <v>1.0754827683373302E-3</v>
      </c>
      <c r="W138" s="31" t="str">
        <f t="shared" si="91"/>
        <v>1-0.00336088494685822i</v>
      </c>
      <c r="X138" s="17">
        <f t="shared" si="102"/>
        <v>1.0000056477578643</v>
      </c>
      <c r="Y138" s="17">
        <f t="shared" si="103"/>
        <v>-3.3608722925986545E-3</v>
      </c>
      <c r="Z138" s="31" t="str">
        <f t="shared" si="92"/>
        <v>0.999998422819895+0.0296478756025415i</v>
      </c>
      <c r="AA138" s="17">
        <f t="shared" si="104"/>
        <v>1.0004378252395405</v>
      </c>
      <c r="AB138" s="17">
        <f t="shared" si="105"/>
        <v>2.9639240106874489E-2</v>
      </c>
      <c r="AC138" s="66" t="str">
        <f t="shared" si="106"/>
        <v>-0.0741374151264978-5.86407279327964i</v>
      </c>
      <c r="AD138" s="64">
        <f t="shared" si="107"/>
        <v>15.364681161016945</v>
      </c>
      <c r="AE138" s="61">
        <f t="shared" si="108"/>
        <v>-90.724331850291179</v>
      </c>
      <c r="AF138" s="31" t="str">
        <f t="shared" si="93"/>
        <v>-0.000495863624968664</v>
      </c>
      <c r="AG138" s="31" t="str">
        <f t="shared" si="94"/>
        <v>0.000219796896435717i</v>
      </c>
      <c r="AH138" s="31">
        <f t="shared" si="109"/>
        <v>2.1979689643571699E-4</v>
      </c>
      <c r="AI138" s="31">
        <f t="shared" si="110"/>
        <v>1.5707963267948966</v>
      </c>
      <c r="AJ138" s="31" t="str">
        <f t="shared" si="95"/>
        <v>1+0.000857579921199048i</v>
      </c>
      <c r="AK138" s="31">
        <f t="shared" si="111"/>
        <v>1.0000003677215932</v>
      </c>
      <c r="AL138" s="31">
        <f t="shared" si="112"/>
        <v>8.575797109653322E-4</v>
      </c>
      <c r="AM138" s="31" t="str">
        <f t="shared" si="96"/>
        <v>1+0.262895889176465i</v>
      </c>
      <c r="AN138" s="31">
        <f t="shared" si="113"/>
        <v>1.0339798105117355</v>
      </c>
      <c r="AO138" s="31">
        <f t="shared" si="114"/>
        <v>0.25707866288591064</v>
      </c>
      <c r="AP138" s="58" t="str">
        <f t="shared" si="115"/>
        <v>-0.591160168569643+2.25651527753426i</v>
      </c>
      <c r="AQ138" s="49">
        <f t="shared" si="116"/>
        <v>7.3570518845988442</v>
      </c>
      <c r="AR138" s="61">
        <f t="shared" si="117"/>
        <v>104.68038668819483</v>
      </c>
      <c r="AS138" s="58" t="str">
        <f t="shared" si="118"/>
        <v>13.276196933432+3.29931405111001i</v>
      </c>
      <c r="AT138" s="64">
        <f t="shared" si="119"/>
        <v>22.721733045615782</v>
      </c>
      <c r="AU138" s="61">
        <f t="shared" si="120"/>
        <v>13.95605483790367</v>
      </c>
    </row>
    <row r="139" spans="14:47" x14ac:dyDescent="0.25">
      <c r="N139" s="10">
        <v>21</v>
      </c>
      <c r="O139" s="50">
        <f t="shared" si="121"/>
        <v>162.18100973589304</v>
      </c>
      <c r="P139" s="48" t="str">
        <f t="shared" si="88"/>
        <v>304.285714285714</v>
      </c>
      <c r="Q139" s="17" t="str">
        <f t="shared" si="89"/>
        <v>1+53.0614802157204i</v>
      </c>
      <c r="R139" s="17">
        <f t="shared" si="98"/>
        <v>53.070902410674044</v>
      </c>
      <c r="S139" s="17">
        <f t="shared" si="99"/>
        <v>1.5519524945121452</v>
      </c>
      <c r="T139" s="17" t="str">
        <f t="shared" si="90"/>
        <v>1+0.0011005344044742i</v>
      </c>
      <c r="U139" s="17">
        <f t="shared" si="100"/>
        <v>1.0000006055878043</v>
      </c>
      <c r="V139" s="17">
        <f t="shared" si="101"/>
        <v>1.1005339601609127E-3</v>
      </c>
      <c r="W139" s="31" t="str">
        <f t="shared" si="91"/>
        <v>1-0.00343917001398187i</v>
      </c>
      <c r="X139" s="17">
        <f t="shared" si="102"/>
        <v>1.0000059139277053</v>
      </c>
      <c r="Y139" s="17">
        <f t="shared" si="103"/>
        <v>-3.4391564547027829E-3</v>
      </c>
      <c r="Z139" s="31" t="str">
        <f t="shared" si="92"/>
        <v>0.999998348489686+0.0303384633400921i</v>
      </c>
      <c r="AA139" s="17">
        <f t="shared" si="104"/>
        <v>1.0004584545796682</v>
      </c>
      <c r="AB139" s="17">
        <f t="shared" si="105"/>
        <v>3.0329210468766032E-2</v>
      </c>
      <c r="AC139" s="66" t="str">
        <f t="shared" si="106"/>
        <v>-0.079222542778385-5.73043202106089i</v>
      </c>
      <c r="AD139" s="64">
        <f t="shared" si="107"/>
        <v>15.164577275195905</v>
      </c>
      <c r="AE139" s="61">
        <f t="shared" si="108"/>
        <v>-90.792056894981869</v>
      </c>
      <c r="AF139" s="31" t="str">
        <f t="shared" si="93"/>
        <v>-0.000495863624968664</v>
      </c>
      <c r="AG139" s="31" t="str">
        <f t="shared" si="94"/>
        <v>0.000224916623847728i</v>
      </c>
      <c r="AH139" s="31">
        <f t="shared" si="109"/>
        <v>2.2491662384772801E-4</v>
      </c>
      <c r="AI139" s="31">
        <f t="shared" si="110"/>
        <v>1.5707963267948966</v>
      </c>
      <c r="AJ139" s="31" t="str">
        <f t="shared" si="95"/>
        <v>1+0.000877555523683664i</v>
      </c>
      <c r="AK139" s="31">
        <f t="shared" si="111"/>
        <v>1.0000003850517745</v>
      </c>
      <c r="AL139" s="31">
        <f t="shared" si="112"/>
        <v>8.7755529841418358E-4</v>
      </c>
      <c r="AM139" s="31" t="str">
        <f t="shared" si="96"/>
        <v>1+0.269019521093693i</v>
      </c>
      <c r="AN139" s="31">
        <f t="shared" si="113"/>
        <v>1.035553717935231</v>
      </c>
      <c r="AO139" s="31">
        <f t="shared" si="114"/>
        <v>0.26279775056066934</v>
      </c>
      <c r="AP139" s="58" t="str">
        <f t="shared" si="115"/>
        <v>-0.591160148079819+2.20517406760433i</v>
      </c>
      <c r="AQ139" s="49">
        <f t="shared" si="116"/>
        <v>7.1702632028668267</v>
      </c>
      <c r="AR139" s="61">
        <f t="shared" si="117"/>
        <v>105.0069217577696</v>
      </c>
      <c r="AS139" s="58" t="str">
        <f t="shared" si="118"/>
        <v>12.6834332991331+3.21290354522712i</v>
      </c>
      <c r="AT139" s="64">
        <f t="shared" si="119"/>
        <v>22.334840478062748</v>
      </c>
      <c r="AU139" s="61">
        <f t="shared" si="120"/>
        <v>14.214864862787703</v>
      </c>
    </row>
    <row r="140" spans="14:47" x14ac:dyDescent="0.25">
      <c r="N140" s="10">
        <v>22</v>
      </c>
      <c r="O140" s="50">
        <f t="shared" si="121"/>
        <v>165.95869074375622</v>
      </c>
      <c r="P140" s="48" t="str">
        <f t="shared" si="88"/>
        <v>304.285714285714</v>
      </c>
      <c r="Q140" s="17" t="str">
        <f t="shared" si="89"/>
        <v>1+54.2974408647908i</v>
      </c>
      <c r="R140" s="17">
        <f t="shared" si="98"/>
        <v>54.306648621190512</v>
      </c>
      <c r="S140" s="17">
        <f t="shared" si="99"/>
        <v>1.5523813344084332</v>
      </c>
      <c r="T140" s="17" t="str">
        <f t="shared" si="90"/>
        <v>1+0.00112616914386232i</v>
      </c>
      <c r="U140" s="17">
        <f t="shared" si="100"/>
        <v>1.0000006341282692</v>
      </c>
      <c r="V140" s="17">
        <f t="shared" si="101"/>
        <v>1.1261686677720715E-3</v>
      </c>
      <c r="W140" s="31" t="str">
        <f t="shared" si="91"/>
        <v>1-0.00351927857456977i</v>
      </c>
      <c r="X140" s="17">
        <f t="shared" si="102"/>
        <v>1.0000061926416683</v>
      </c>
      <c r="Y140" s="17">
        <f t="shared" si="103"/>
        <v>-3.5192640455453225E-3</v>
      </c>
      <c r="Z140" s="31" t="str">
        <f t="shared" si="92"/>
        <v>0.999998270656403+0.0310451369324829i</v>
      </c>
      <c r="AA140" s="17">
        <f t="shared" si="104"/>
        <v>1.0004800556947417</v>
      </c>
      <c r="AB140" s="17">
        <f t="shared" si="105"/>
        <v>3.1035222559145231E-2</v>
      </c>
      <c r="AC140" s="66" t="str">
        <f t="shared" si="106"/>
        <v>-0.0840782526110423-5.59982098275052i</v>
      </c>
      <c r="AD140" s="64">
        <f t="shared" si="107"/>
        <v>14.964461806968457</v>
      </c>
      <c r="AE140" s="61">
        <f t="shared" si="108"/>
        <v>-90.860200190496997</v>
      </c>
      <c r="AF140" s="31" t="str">
        <f t="shared" si="93"/>
        <v>-0.000495863624968664</v>
      </c>
      <c r="AG140" s="31" t="str">
        <f t="shared" si="94"/>
        <v>0.000230155605030826i</v>
      </c>
      <c r="AH140" s="31">
        <f t="shared" si="109"/>
        <v>2.3015560503082601E-4</v>
      </c>
      <c r="AI140" s="31">
        <f t="shared" si="110"/>
        <v>1.5707963267948966</v>
      </c>
      <c r="AJ140" s="31" t="str">
        <f t="shared" si="95"/>
        <v>1+0.000897996417722764i</v>
      </c>
      <c r="AK140" s="31">
        <f t="shared" si="111"/>
        <v>1.0000004031987018</v>
      </c>
      <c r="AL140" s="31">
        <f t="shared" si="112"/>
        <v>8.9799617634217217E-4</v>
      </c>
      <c r="AM140" s="31" t="str">
        <f t="shared" si="96"/>
        <v>1+0.275285790721901i</v>
      </c>
      <c r="AN140" s="31">
        <f t="shared" si="113"/>
        <v>1.0371992415025102</v>
      </c>
      <c r="AO140" s="31">
        <f t="shared" si="114"/>
        <v>0.26863188884654321</v>
      </c>
      <c r="AP140" s="58" t="str">
        <f t="shared" si="115"/>
        <v>-0.591160126624351+2.15500207015229i</v>
      </c>
      <c r="AQ140" s="49">
        <f t="shared" si="116"/>
        <v>6.9840542103132206</v>
      </c>
      <c r="AR140" s="61">
        <f t="shared" si="117"/>
        <v>105.34002208261106</v>
      </c>
      <c r="AS140" s="58" t="str">
        <f t="shared" si="118"/>
        <v>12.1173295207695+3.12920207280491i</v>
      </c>
      <c r="AT140" s="64">
        <f t="shared" si="119"/>
        <v>21.948516017281676</v>
      </c>
      <c r="AU140" s="61">
        <f t="shared" si="120"/>
        <v>14.479821892114041</v>
      </c>
    </row>
    <row r="141" spans="14:47" x14ac:dyDescent="0.25">
      <c r="N141" s="10">
        <v>23</v>
      </c>
      <c r="O141" s="50">
        <f t="shared" si="121"/>
        <v>169.82436524617444</v>
      </c>
      <c r="P141" s="48" t="str">
        <f t="shared" si="88"/>
        <v>304.285714285714</v>
      </c>
      <c r="Q141" s="17" t="str">
        <f t="shared" si="89"/>
        <v>1+55.5621907357188i</v>
      </c>
      <c r="R141" s="17">
        <f t="shared" si="98"/>
        <v>55.571188932327125</v>
      </c>
      <c r="S141" s="17">
        <f t="shared" si="99"/>
        <v>1.5528004192625737</v>
      </c>
      <c r="T141" s="17" t="str">
        <f t="shared" si="90"/>
        <v>1+0.00115240099303713i</v>
      </c>
      <c r="U141" s="17">
        <f t="shared" si="100"/>
        <v>1.0000006640138039</v>
      </c>
      <c r="V141" s="17">
        <f t="shared" si="101"/>
        <v>1.1524004828972559E-3</v>
      </c>
      <c r="W141" s="31" t="str">
        <f t="shared" si="91"/>
        <v>1-0.00360125310324103i</v>
      </c>
      <c r="X141" s="17">
        <f t="shared" si="102"/>
        <v>1.0000064844909324</v>
      </c>
      <c r="Y141" s="17">
        <f t="shared" si="103"/>
        <v>-3.6012375351163E-3</v>
      </c>
      <c r="Z141" s="31" t="str">
        <f t="shared" si="92"/>
        <v>0.99999818915495+0.0317682710674061i</v>
      </c>
      <c r="AA141" s="17">
        <f t="shared" si="104"/>
        <v>1.0005026743391499</v>
      </c>
      <c r="AB141" s="17">
        <f t="shared" si="105"/>
        <v>3.1757647913222976E-2</v>
      </c>
      <c r="AC141" s="66" t="str">
        <f t="shared" si="106"/>
        <v>-0.0887148228413606-5.47217100444083i</v>
      </c>
      <c r="AD141" s="64">
        <f t="shared" si="107"/>
        <v>14.764334512376973</v>
      </c>
      <c r="AE141" s="61">
        <f t="shared" si="108"/>
        <v>-90.928797670387738</v>
      </c>
      <c r="AF141" s="31" t="str">
        <f t="shared" si="93"/>
        <v>-0.000495863624968664</v>
      </c>
      <c r="AG141" s="31" t="str">
        <f t="shared" si="94"/>
        <v>0.000235516617762181i</v>
      </c>
      <c r="AH141" s="31">
        <f t="shared" si="109"/>
        <v>2.35516617762181E-4</v>
      </c>
      <c r="AI141" s="31">
        <f t="shared" si="110"/>
        <v>1.5707963267948966</v>
      </c>
      <c r="AJ141" s="31" t="str">
        <f t="shared" si="95"/>
        <v>1+0.000918913441348922i</v>
      </c>
      <c r="AK141" s="31">
        <f t="shared" si="111"/>
        <v>1.0000004222008672</v>
      </c>
      <c r="AL141" s="31">
        <f t="shared" si="112"/>
        <v>9.1891318270496383E-4</v>
      </c>
      <c r="AM141" s="31" t="str">
        <f t="shared" si="96"/>
        <v>1+0.281698020520187i</v>
      </c>
      <c r="AN141" s="31">
        <f t="shared" si="113"/>
        <v>1.0389195227566916</v>
      </c>
      <c r="AO141" s="31">
        <f t="shared" si="114"/>
        <v>0.27458258181833833</v>
      </c>
      <c r="AP141" s="58" t="str">
        <f t="shared" si="115"/>
        <v>-0.591160104157717+2.10597268332084i</v>
      </c>
      <c r="AQ141" s="49">
        <f t="shared" si="116"/>
        <v>6.79844838223132</v>
      </c>
      <c r="AR141" s="61">
        <f t="shared" si="117"/>
        <v>105.67977321888851</v>
      </c>
      <c r="AS141" s="58" t="str">
        <f t="shared" si="118"/>
        <v>11.576687317724+3.04809818744453i</v>
      </c>
      <c r="AT141" s="64">
        <f t="shared" si="119"/>
        <v>21.562782894608308</v>
      </c>
      <c r="AU141" s="61">
        <f t="shared" si="120"/>
        <v>14.750975548500763</v>
      </c>
    </row>
    <row r="142" spans="14:47" x14ac:dyDescent="0.25">
      <c r="N142" s="10">
        <v>24</v>
      </c>
      <c r="O142" s="50">
        <f t="shared" si="121"/>
        <v>173.78008287493768</v>
      </c>
      <c r="P142" s="48" t="str">
        <f t="shared" si="88"/>
        <v>304.285714285714</v>
      </c>
      <c r="Q142" s="17" t="str">
        <f t="shared" si="89"/>
        <v>1+56.856400415628i</v>
      </c>
      <c r="R142" s="17">
        <f t="shared" si="98"/>
        <v>56.865193820317046</v>
      </c>
      <c r="S142" s="17">
        <f t="shared" si="99"/>
        <v>1.5532099706897284</v>
      </c>
      <c r="T142" s="17" t="str">
        <f t="shared" si="90"/>
        <v>1+0.00117924386047228i</v>
      </c>
      <c r="U142" s="17">
        <f t="shared" si="100"/>
        <v>1.0000006953077996</v>
      </c>
      <c r="V142" s="17">
        <f t="shared" si="101"/>
        <v>1.1792433138475768E-3</v>
      </c>
      <c r="W142" s="31" t="str">
        <f t="shared" si="91"/>
        <v>1-0.00368513706397588i</v>
      </c>
      <c r="X142" s="17">
        <f t="shared" si="102"/>
        <v>1.0000067900945375</v>
      </c>
      <c r="Y142" s="17">
        <f t="shared" si="103"/>
        <v>-3.6851203824358031E-3</v>
      </c>
      <c r="Z142" s="31" t="str">
        <f t="shared" si="92"/>
        <v>0.999998103812452+0.0325082491601522i</v>
      </c>
      <c r="AA142" s="17">
        <f t="shared" si="104"/>
        <v>1.0005263584193862</v>
      </c>
      <c r="AB142" s="17">
        <f t="shared" si="105"/>
        <v>3.2496866568760122E-2</v>
      </c>
      <c r="AC142" s="66" t="str">
        <f t="shared" si="106"/>
        <v>-0.0931420687607523-5.34741494391015i</v>
      </c>
      <c r="AD142" s="64">
        <f t="shared" si="107"/>
        <v>14.56419512249936</v>
      </c>
      <c r="AE142" s="61">
        <f t="shared" si="108"/>
        <v>-90.997885499958187</v>
      </c>
      <c r="AF142" s="31" t="str">
        <f t="shared" si="93"/>
        <v>-0.000495863624968664</v>
      </c>
      <c r="AG142" s="31" t="str">
        <f t="shared" si="94"/>
        <v>0.000241002504521705i</v>
      </c>
      <c r="AH142" s="31">
        <f t="shared" si="109"/>
        <v>2.4100250452170499E-4</v>
      </c>
      <c r="AI142" s="31">
        <f t="shared" si="110"/>
        <v>1.5707963267948966</v>
      </c>
      <c r="AJ142" s="31" t="str">
        <f t="shared" si="95"/>
        <v>1+0.000940317685044947i</v>
      </c>
      <c r="AK142" s="31">
        <f t="shared" si="111"/>
        <v>1.0000004420985766</v>
      </c>
      <c r="AL142" s="31">
        <f t="shared" si="112"/>
        <v>9.4031740790295932E-4</v>
      </c>
      <c r="AM142" s="31" t="str">
        <f t="shared" si="96"/>
        <v>1+0.288259610337669i</v>
      </c>
      <c r="AN142" s="31">
        <f t="shared" si="113"/>
        <v>1.0407178306111724</v>
      </c>
      <c r="AO142" s="31">
        <f t="shared" si="114"/>
        <v>0.28065129819460211</v>
      </c>
      <c r="AP142" s="58" t="str">
        <f t="shared" si="115"/>
        <v>-0.591160080632266+2.05805991107999i</v>
      </c>
      <c r="AQ142" s="49">
        <f t="shared" si="116"/>
        <v>6.6134699702174906</v>
      </c>
      <c r="AR142" s="61">
        <f t="shared" si="117"/>
        <v>106.0262586825427</v>
      </c>
      <c r="AS142" s="58" t="str">
        <f t="shared" si="118"/>
        <v>11.0603621968504+2.96948629166455i</v>
      </c>
      <c r="AT142" s="64">
        <f t="shared" si="119"/>
        <v>21.17766509271685</v>
      </c>
      <c r="AU142" s="61">
        <f t="shared" si="120"/>
        <v>15.028373182584533</v>
      </c>
    </row>
    <row r="143" spans="14:47" x14ac:dyDescent="0.25">
      <c r="N143" s="10">
        <v>25</v>
      </c>
      <c r="O143" s="50">
        <f t="shared" si="121"/>
        <v>177.82794100389242</v>
      </c>
      <c r="P143" s="48" t="str">
        <f t="shared" si="88"/>
        <v>304.285714285714</v>
      </c>
      <c r="Q143" s="17" t="str">
        <f t="shared" si="89"/>
        <v>1+58.1807561116209i</v>
      </c>
      <c r="R143" s="17">
        <f t="shared" si="98"/>
        <v>58.189349383885641</v>
      </c>
      <c r="S143" s="17">
        <f t="shared" si="99"/>
        <v>1.5536102052896088</v>
      </c>
      <c r="T143" s="17" t="str">
        <f t="shared" si="90"/>
        <v>1+0.00120671197861139i</v>
      </c>
      <c r="U143" s="17">
        <f t="shared" si="100"/>
        <v>1.0000007280766345</v>
      </c>
      <c r="V143" s="17">
        <f t="shared" si="101"/>
        <v>1.206711392892491E-3</v>
      </c>
      <c r="W143" s="31" t="str">
        <f t="shared" si="91"/>
        <v>1-0.00377097493316061i</v>
      </c>
      <c r="X143" s="17">
        <f t="shared" si="102"/>
        <v>1.0000071101006964</v>
      </c>
      <c r="Y143" s="17">
        <f t="shared" si="103"/>
        <v>-3.7709570585752403E-3</v>
      </c>
      <c r="Z143" s="31" t="str">
        <f t="shared" si="92"/>
        <v>0.999998014447887+0.0332654635569006i</v>
      </c>
      <c r="AA143" s="17">
        <f t="shared" si="104"/>
        <v>1.0005511580950632</v>
      </c>
      <c r="AB143" s="17">
        <f t="shared" si="105"/>
        <v>3.3253267253313339E-2</v>
      </c>
      <c r="AC143" s="66" t="str">
        <f t="shared" si="106"/>
        <v>-0.0973693633894673-5.22548715759138i</v>
      </c>
      <c r="AD143" s="64">
        <f t="shared" si="107"/>
        <v>14.364043342888753</v>
      </c>
      <c r="AE143" s="61">
        <f t="shared" si="108"/>
        <v>-91.067500094461764</v>
      </c>
      <c r="AF143" s="31" t="str">
        <f t="shared" si="93"/>
        <v>-0.000495863624968664</v>
      </c>
      <c r="AG143" s="31" t="str">
        <f t="shared" si="94"/>
        <v>0.000246616173999172i</v>
      </c>
      <c r="AH143" s="31">
        <f t="shared" si="109"/>
        <v>2.4661617399917202E-4</v>
      </c>
      <c r="AI143" s="31">
        <f t="shared" si="110"/>
        <v>1.5707963267948966</v>
      </c>
      <c r="AJ143" s="31" t="str">
        <f t="shared" si="95"/>
        <v>1+0.000962220497624159i</v>
      </c>
      <c r="AK143" s="31">
        <f t="shared" si="111"/>
        <v>1.0000004629340358</v>
      </c>
      <c r="AL143" s="31">
        <f t="shared" si="112"/>
        <v>9.6222020066117633E-4</v>
      </c>
      <c r="AM143" s="31" t="str">
        <f t="shared" si="96"/>
        <v>1+0.294974039216118i</v>
      </c>
      <c r="AN143" s="31">
        <f t="shared" si="113"/>
        <v>1.0425975656078772</v>
      </c>
      <c r="AO143" s="31">
        <f t="shared" si="114"/>
        <v>0.2868394669378434</v>
      </c>
      <c r="AP143" s="58" t="str">
        <f t="shared" si="115"/>
        <v>-0.591160055998093+2.01123834944354i</v>
      </c>
      <c r="AQ143" s="49">
        <f t="shared" si="116"/>
        <v>6.4291440123496546</v>
      </c>
      <c r="AR143" s="61">
        <f t="shared" si="117"/>
        <v>106.37955969686062</v>
      </c>
      <c r="AS143" s="58" t="str">
        <f t="shared" si="118"/>
        <v>10.5672610441863+2.89326628298924i</v>
      </c>
      <c r="AT143" s="64">
        <f t="shared" si="119"/>
        <v>20.793187355238395</v>
      </c>
      <c r="AU143" s="61">
        <f t="shared" si="120"/>
        <v>15.312059602398913</v>
      </c>
    </row>
    <row r="144" spans="14:47" x14ac:dyDescent="0.25">
      <c r="N144" s="10">
        <v>26</v>
      </c>
      <c r="O144" s="50">
        <f t="shared" si="121"/>
        <v>181.9700858609983</v>
      </c>
      <c r="P144" s="48" t="str">
        <f t="shared" si="88"/>
        <v>304.285714285714</v>
      </c>
      <c r="Q144" s="17" t="str">
        <f t="shared" si="89"/>
        <v>1+59.5359600146168i</v>
      </c>
      <c r="R144" s="17">
        <f t="shared" si="98"/>
        <v>59.544357708031832</v>
      </c>
      <c r="S144" s="17">
        <f t="shared" si="99"/>
        <v>1.5540013347587021</v>
      </c>
      <c r="T144" s="17" t="str">
        <f t="shared" si="90"/>
        <v>1+0.00123481991141427i</v>
      </c>
      <c r="U144" s="17">
        <f t="shared" si="100"/>
        <v>1.0000007623898162</v>
      </c>
      <c r="V144" s="17">
        <f t="shared" si="101"/>
        <v>1.2348192838051882E-3</v>
      </c>
      <c r="W144" s="31" t="str">
        <f t="shared" si="91"/>
        <v>1-0.00385881222316961i</v>
      </c>
      <c r="X144" s="17">
        <f t="shared" si="102"/>
        <v>1.0000074451881713</v>
      </c>
      <c r="Y144" s="17">
        <f t="shared" si="103"/>
        <v>-3.8587930702140148E-3</v>
      </c>
      <c r="Z144" s="31" t="str">
        <f t="shared" si="92"/>
        <v>0.999997920871698+0.0340403157427469i</v>
      </c>
      <c r="AA144" s="17">
        <f t="shared" si="104"/>
        <v>1.000577125884649</v>
      </c>
      <c r="AB144" s="17">
        <f t="shared" si="105"/>
        <v>3.4027247575076469E-2</v>
      </c>
      <c r="AC144" s="66" t="str">
        <f t="shared" si="106"/>
        <v>-0.101405657207479-5.1063234681644i</v>
      </c>
      <c r="AD144" s="64">
        <f t="shared" si="107"/>
        <v>14.163878852958696</v>
      </c>
      <c r="AE144" s="61">
        <f t="shared" si="108"/>
        <v>-91.137678137383048</v>
      </c>
      <c r="AF144" s="31" t="str">
        <f t="shared" si="93"/>
        <v>-0.000495863624968664</v>
      </c>
      <c r="AG144" s="31" t="str">
        <f t="shared" si="94"/>
        <v>0.000252360602636443i</v>
      </c>
      <c r="AH144" s="31">
        <f t="shared" si="109"/>
        <v>2.52360602636443E-4</v>
      </c>
      <c r="AI144" s="31">
        <f t="shared" si="110"/>
        <v>1.5707963267948966</v>
      </c>
      <c r="AJ144" s="31" t="str">
        <f t="shared" si="95"/>
        <v>1+0.000984633492247695i</v>
      </c>
      <c r="AK144" s="31">
        <f t="shared" si="111"/>
        <v>1.0000004847514394</v>
      </c>
      <c r="AL144" s="31">
        <f t="shared" si="112"/>
        <v>9.8463317404613444E-4</v>
      </c>
      <c r="AM144" s="31" t="str">
        <f t="shared" si="96"/>
        <v>1+0.3018448672346i</v>
      </c>
      <c r="AN144" s="31">
        <f t="shared" si="113"/>
        <v>1.044562264240803</v>
      </c>
      <c r="AO144" s="31">
        <f t="shared" si="114"/>
        <v>0.29314847264139926</v>
      </c>
      <c r="AP144" s="58" t="str">
        <f t="shared" si="115"/>
        <v>-0.59116003020295+1.96548317299963i</v>
      </c>
      <c r="AQ144" s="49">
        <f t="shared" si="116"/>
        <v>6.2454963419911724</v>
      </c>
      <c r="AR144" s="61">
        <f t="shared" si="117"/>
        <v>106.73975492781709</v>
      </c>
      <c r="AS144" s="58" t="str">
        <f t="shared" si="118"/>
        <v>10.0963398239478+2.81934322277783i</v>
      </c>
      <c r="AT144" s="64">
        <f t="shared" si="119"/>
        <v>20.409375194949895</v>
      </c>
      <c r="AU144" s="61">
        <f t="shared" si="120"/>
        <v>15.602076790433983</v>
      </c>
    </row>
    <row r="145" spans="14:47" x14ac:dyDescent="0.25">
      <c r="N145" s="10">
        <v>27</v>
      </c>
      <c r="O145" s="50">
        <f t="shared" si="121"/>
        <v>186.20871366628685</v>
      </c>
      <c r="P145" s="48" t="str">
        <f t="shared" si="88"/>
        <v>304.285714285714</v>
      </c>
      <c r="Q145" s="17" t="str">
        <f t="shared" si="89"/>
        <v>1+60.9227306716646i</v>
      </c>
      <c r="R145" s="17">
        <f t="shared" si="98"/>
        <v>60.930937236285672</v>
      </c>
      <c r="S145" s="17">
        <f t="shared" si="99"/>
        <v>1.5543835660000684</v>
      </c>
      <c r="T145" s="17" t="str">
        <f t="shared" si="90"/>
        <v>1+0.00126358256207897i</v>
      </c>
      <c r="U145" s="17">
        <f t="shared" si="100"/>
        <v>1.0000007983201269</v>
      </c>
      <c r="V145" s="17">
        <f t="shared" si="101"/>
        <v>1.2635818895837517E-3</v>
      </c>
      <c r="W145" s="31" t="str">
        <f t="shared" si="91"/>
        <v>1-0.00394869550649677i</v>
      </c>
      <c r="X145" s="17">
        <f t="shared" si="102"/>
        <v>1.0000077960677123</v>
      </c>
      <c r="Y145" s="17">
        <f t="shared" si="103"/>
        <v>-3.9486749837437394E-3</v>
      </c>
      <c r="Z145" s="31" t="str">
        <f t="shared" si="92"/>
        <v>0.9999978228854+0.0348332165545771i</v>
      </c>
      <c r="AA145" s="17">
        <f t="shared" si="104"/>
        <v>1.0006043167761558</v>
      </c>
      <c r="AB145" s="17">
        <f t="shared" si="105"/>
        <v>3.4819214217346073E-2</v>
      </c>
      <c r="AC145" s="66" t="str">
        <f t="shared" si="106"/>
        <v>-0.105259497002524-4.98986113276775i</v>
      </c>
      <c r="AD145" s="64">
        <f t="shared" si="107"/>
        <v>13.963701305314453</v>
      </c>
      <c r="AE145" s="61">
        <f t="shared" si="108"/>
        <v>-91.208456598809491</v>
      </c>
      <c r="AF145" s="31" t="str">
        <f t="shared" si="93"/>
        <v>-0.000495863624968664</v>
      </c>
      <c r="AG145" s="31" t="str">
        <f t="shared" si="94"/>
        <v>0.000258238836205621i</v>
      </c>
      <c r="AH145" s="31">
        <f t="shared" si="109"/>
        <v>2.5823883620562101E-4</v>
      </c>
      <c r="AI145" s="31">
        <f t="shared" si="110"/>
        <v>1.5707963267948966</v>
      </c>
      <c r="AJ145" s="31" t="str">
        <f t="shared" si="95"/>
        <v>1+0.00100756855258199i</v>
      </c>
      <c r="AK145" s="31">
        <f t="shared" si="111"/>
        <v>1.0000005075970653</v>
      </c>
      <c r="AL145" s="31">
        <f t="shared" si="112"/>
        <v>1.0075682116228843E-3</v>
      </c>
      <c r="AM145" s="31" t="str">
        <f t="shared" si="96"/>
        <v>1+0.30887573739708i</v>
      </c>
      <c r="AN145" s="31">
        <f t="shared" si="113"/>
        <v>1.0466156033389669</v>
      </c>
      <c r="AO145" s="31">
        <f t="shared" si="114"/>
        <v>0.299579650702815</v>
      </c>
      <c r="AP145" s="58" t="str">
        <f t="shared" si="115"/>
        <v>-0.591160003192118+1.92077012174789i</v>
      </c>
      <c r="AQ145" s="49">
        <f t="shared" si="116"/>
        <v>6.0625535950575919</v>
      </c>
      <c r="AR145" s="61">
        <f t="shared" si="117"/>
        <v>107.10692020717714</v>
      </c>
      <c r="AS145" s="58" t="str">
        <f t="shared" si="118"/>
        <v>9.64660138007539+2.74762702630255i</v>
      </c>
      <c r="AT145" s="64">
        <f t="shared" si="119"/>
        <v>20.026254900372045</v>
      </c>
      <c r="AU145" s="61">
        <f t="shared" si="120"/>
        <v>15.898463608367649</v>
      </c>
    </row>
    <row r="146" spans="14:47" x14ac:dyDescent="0.25">
      <c r="N146" s="10">
        <v>28</v>
      </c>
      <c r="O146" s="50">
        <f t="shared" si="121"/>
        <v>190.54607179632498</v>
      </c>
      <c r="P146" s="48" t="str">
        <f t="shared" si="88"/>
        <v>304.285714285714</v>
      </c>
      <c r="Q146" s="17" t="str">
        <f t="shared" si="89"/>
        <v>1+62.3418033669226i</v>
      </c>
      <c r="R146" s="17">
        <f t="shared" si="98"/>
        <v>62.349823151634048</v>
      </c>
      <c r="S146" s="17">
        <f t="shared" si="99"/>
        <v>1.5547571012307613</v>
      </c>
      <c r="T146" s="17" t="str">
        <f t="shared" si="90"/>
        <v>1+0.00129301518094358i</v>
      </c>
      <c r="U146" s="17">
        <f t="shared" si="100"/>
        <v>1.0000008359437795</v>
      </c>
      <c r="V146" s="17">
        <f t="shared" si="101"/>
        <v>1.2930144603520034E-3</v>
      </c>
      <c r="W146" s="31" t="str">
        <f t="shared" si="91"/>
        <v>1-0.00404067244044868i</v>
      </c>
      <c r="X146" s="17">
        <f t="shared" si="102"/>
        <v>1.0000081634835642</v>
      </c>
      <c r="Y146" s="17">
        <f t="shared" si="103"/>
        <v>-4.0406504499323056E-3</v>
      </c>
      <c r="Z146" s="31" t="str">
        <f t="shared" si="92"/>
        <v>0.99999772028115+0.035644586398897i</v>
      </c>
      <c r="AA146" s="17">
        <f t="shared" si="104"/>
        <v>1.0006327883429791</v>
      </c>
      <c r="AB146" s="17">
        <f t="shared" si="105"/>
        <v>3.5629583136633981E-2</v>
      </c>
      <c r="AC146" s="66" t="str">
        <f t="shared" si="106"/>
        <v>-0.108939043874084-4.87603881182345i</v>
      </c>
      <c r="AD146" s="64">
        <f t="shared" si="107"/>
        <v>13.763510325029449</v>
      </c>
      <c r="AE146" s="61">
        <f t="shared" si="108"/>
        <v>-91.279872753897521</v>
      </c>
      <c r="AF146" s="31" t="str">
        <f t="shared" si="93"/>
        <v>-0.000495863624968664</v>
      </c>
      <c r="AG146" s="31" t="str">
        <f t="shared" si="94"/>
        <v>0.000264253991423949i</v>
      </c>
      <c r="AH146" s="31">
        <f t="shared" si="109"/>
        <v>2.6425399142394901E-4</v>
      </c>
      <c r="AI146" s="31">
        <f t="shared" si="110"/>
        <v>1.5707963267948966</v>
      </c>
      <c r="AJ146" s="31" t="str">
        <f t="shared" si="95"/>
        <v>1+0.00103103783909962i</v>
      </c>
      <c r="AK146" s="31">
        <f t="shared" si="111"/>
        <v>1.0000005315193716</v>
      </c>
      <c r="AL146" s="31">
        <f t="shared" si="112"/>
        <v>1.0310374737553664E-3</v>
      </c>
      <c r="AM146" s="31" t="str">
        <f t="shared" si="96"/>
        <v>1+0.316070377563985i</v>
      </c>
      <c r="AN146" s="31">
        <f t="shared" si="113"/>
        <v>1.0487614045022062</v>
      </c>
      <c r="AO146" s="31">
        <f t="shared" si="114"/>
        <v>0.3061342822848524</v>
      </c>
      <c r="AP146" s="58" t="str">
        <f t="shared" si="115"/>
        <v>-0.591159974908319+1.87707548823653i</v>
      </c>
      <c r="AQ146" s="49">
        <f t="shared" si="116"/>
        <v>5.880343215578657</v>
      </c>
      <c r="AR146" s="61">
        <f t="shared" si="117"/>
        <v>107.48112824342266</v>
      </c>
      <c r="AS146" s="58" t="str">
        <f t="shared" si="118"/>
        <v>9.21709333580691+2.67803217268157i</v>
      </c>
      <c r="AT146" s="64">
        <f t="shared" si="119"/>
        <v>19.643853540608102</v>
      </c>
      <c r="AU146" s="61">
        <f t="shared" si="120"/>
        <v>16.201255489525114</v>
      </c>
    </row>
    <row r="147" spans="14:47" x14ac:dyDescent="0.25">
      <c r="N147" s="10">
        <v>29</v>
      </c>
      <c r="O147" s="50">
        <f t="shared" si="121"/>
        <v>194.98445997580458</v>
      </c>
      <c r="P147" s="48" t="str">
        <f t="shared" ref="P147:P210" si="122">COMPLEX(Adc,0)</f>
        <v>304.285714285714</v>
      </c>
      <c r="Q147" s="17" t="str">
        <f t="shared" ref="Q147:Q210" si="123">IMSUM(COMPLEX(1,0),IMDIV(COMPLEX(0,2*PI()*O147),COMPLEX(wp_lf,0)))</f>
        <v>1+63.7939305115162i</v>
      </c>
      <c r="R147" s="17">
        <f t="shared" si="98"/>
        <v>63.80176776632571</v>
      </c>
      <c r="S147" s="17">
        <f t="shared" si="99"/>
        <v>1.5551221380869138</v>
      </c>
      <c r="T147" s="17" t="str">
        <f t="shared" ref="T147:T210" si="124">IMSUM(COMPLEX(1,0),IMDIV(COMPLEX(0,2*PI()*O147),COMPLEX(wz_esr,0)))</f>
        <v>1+0.00132313337357219i</v>
      </c>
      <c r="U147" s="17">
        <f t="shared" si="100"/>
        <v>1.0000008753405791</v>
      </c>
      <c r="V147" s="17">
        <f t="shared" si="101"/>
        <v>1.323132601444441E-3</v>
      </c>
      <c r="W147" s="31" t="str">
        <f t="shared" ref="W147:W210" si="125">IMSUB(COMPLEX(1,0),IMDIV(COMPLEX(0,2*PI()*O147),COMPLEX(wz_rhp,0)))</f>
        <v>1-0.00413479179241308i</v>
      </c>
      <c r="X147" s="17">
        <f t="shared" si="102"/>
        <v>1.0000085482150474</v>
      </c>
      <c r="Y147" s="17">
        <f t="shared" si="103"/>
        <v>-4.1347682291611315E-3</v>
      </c>
      <c r="Z147" s="31" t="str">
        <f t="shared" ref="Z147:Z210" si="126">IMSUM(COMPLEX(1,0),IMDIV(COMPLEX(0,2*PI()*O147),COMPLEX(Q*(wsl/2),0)),IMDIV(IMPOWER(COMPLEX(0,2*PI()*O147),2),IMPOWER(COMPLEX(wsl/2,0),2)))</f>
        <v>0.999997612841311+0.036474855474737i</v>
      </c>
      <c r="AA147" s="17">
        <f t="shared" si="104"/>
        <v>1.0006626008651585</v>
      </c>
      <c r="AB147" s="17">
        <f t="shared" si="105"/>
        <v>3.6458779764453317E-2</v>
      </c>
      <c r="AC147" s="66" t="str">
        <f t="shared" si="106"/>
        <v>-0.112452090430474-4.76479653846752i</v>
      </c>
      <c r="AD147" s="64">
        <f t="shared" si="107"/>
        <v>13.563305508863985</v>
      </c>
      <c r="AE147" s="61">
        <f t="shared" si="108"/>
        <v>-91.351964201437895</v>
      </c>
      <c r="AF147" s="31" t="str">
        <f t="shared" ref="AF147:AF210" si="127">COMPLEX(Adc_ea,0)</f>
        <v>-0.000495863624968664</v>
      </c>
      <c r="AG147" s="31" t="str">
        <f t="shared" ref="AG147:AG210" si="128">COMPLEX(0,2*PI()*O147*wp0_ea)</f>
        <v>0.000270409257606345i</v>
      </c>
      <c r="AH147" s="31">
        <f t="shared" si="109"/>
        <v>2.7040925760634499E-4</v>
      </c>
      <c r="AI147" s="31">
        <f t="shared" si="110"/>
        <v>1.5707963267948966</v>
      </c>
      <c r="AJ147" s="31" t="str">
        <f t="shared" ref="AJ147:AJ210" si="129">IMSUM(COMPLEX(1,0),IMDIV(COMPLEX(0,2*PI()*O147),COMPLEX(wp1_ea,0)))</f>
        <v>1+0.00105505379552693i</v>
      </c>
      <c r="AK147" s="31">
        <f t="shared" si="111"/>
        <v>1.0000005565691008</v>
      </c>
      <c r="AL147" s="31">
        <f t="shared" si="112"/>
        <v>1.0550534040535209E-3</v>
      </c>
      <c r="AM147" s="31" t="str">
        <f t="shared" ref="AM147:AM210" si="130">IMSUM(COMPLEX(1,0),IMDIV(COMPLEX(0,2*PI()*O147),COMPLEX(wz_ea,0)))</f>
        <v>1+0.323432602428756i</v>
      </c>
      <c r="AN147" s="31">
        <f t="shared" si="113"/>
        <v>1.0510036385825874</v>
      </c>
      <c r="AO147" s="31">
        <f t="shared" si="114"/>
        <v>0.31281358906661544</v>
      </c>
      <c r="AP147" s="58" t="str">
        <f t="shared" si="115"/>
        <v>-0.591159945291535+1.83437610499233i</v>
      </c>
      <c r="AQ147" s="49">
        <f t="shared" si="116"/>
        <v>5.6988934593779881</v>
      </c>
      <c r="AR147" s="61">
        <f t="shared" si="117"/>
        <v>107.86244832064344</v>
      </c>
      <c r="AS147" s="58" t="str">
        <f t="shared" si="118"/>
        <v>8.80690608694178+2.61047743336366i</v>
      </c>
      <c r="AT147" s="64">
        <f t="shared" si="119"/>
        <v>19.262198968241972</v>
      </c>
      <c r="AU147" s="61">
        <f t="shared" si="120"/>
        <v>16.510484119205579</v>
      </c>
    </row>
    <row r="148" spans="14:47" x14ac:dyDescent="0.25">
      <c r="N148" s="10">
        <v>30</v>
      </c>
      <c r="O148" s="50">
        <f t="shared" si="121"/>
        <v>199.52623149688802</v>
      </c>
      <c r="P148" s="48" t="str">
        <f t="shared" si="122"/>
        <v>304.285714285714</v>
      </c>
      <c r="Q148" s="17" t="str">
        <f t="shared" si="123"/>
        <v>1+65.2798820424801i</v>
      </c>
      <c r="R148" s="17">
        <f t="shared" ref="R148:R211" si="131">IMABS(Q148)</f>
        <v>65.287540920761572</v>
      </c>
      <c r="S148" s="17">
        <f t="shared" ref="S148:S211" si="132">IMARGUMENT(Q148)</f>
        <v>1.5554788697265414</v>
      </c>
      <c r="T148" s="17" t="str">
        <f t="shared" si="124"/>
        <v>1+0.00135395310902921i</v>
      </c>
      <c r="U148" s="17">
        <f t="shared" ref="U148:U211" si="133">IMABS(T148)</f>
        <v>1.0000009165940906</v>
      </c>
      <c r="V148" s="17">
        <f t="shared" ref="V148:V211" si="134">IMARGUMENT(T148)</f>
        <v>1.3539522816794615E-3</v>
      </c>
      <c r="W148" s="31" t="str">
        <f t="shared" si="125"/>
        <v>1-0.00423110346571629i</v>
      </c>
      <c r="X148" s="17">
        <f t="shared" ref="X148:X211" si="135">IMABS(W148)</f>
        <v>1.000008951078208</v>
      </c>
      <c r="Y148" s="17">
        <f t="shared" ref="Y148:Y211" si="136">IMARGUMENT(W148)</f>
        <v>-4.2310782172491389E-3</v>
      </c>
      <c r="Z148" s="31" t="str">
        <f t="shared" si="126"/>
        <v>0.999997500337988+0.0373244640017517i</v>
      </c>
      <c r="AA148" s="17">
        <f t="shared" ref="AA148:AA211" si="137">IMABS(Z148)</f>
        <v>1.0006938174562898</v>
      </c>
      <c r="AB148" s="17">
        <f t="shared" ref="AB148:AB211" si="138">IMARGUMENT(Z148)</f>
        <v>3.7307239212798909E-2</v>
      </c>
      <c r="AC148" s="66" t="str">
        <f t="shared" ref="AC148:AC211" si="139">(IMDIV(IMPRODUCT(P148,T148,W148),IMPRODUCT(Q148,Z148)))</f>
        <v>-0.115806077214551-4.65607568857958i</v>
      </c>
      <c r="AD148" s="64">
        <f t="shared" ref="AD148:AD211" si="140">20*LOG(IMABS(AC148))</f>
        <v>13.363086424425216</v>
      </c>
      <c r="AE148" s="61">
        <f t="shared" ref="AE148:AE211" si="141">(180/PI())*IMARGUMENT(AC148)</f>
        <v>-91.424768882524518</v>
      </c>
      <c r="AF148" s="31" t="str">
        <f t="shared" si="127"/>
        <v>-0.000495863624968664</v>
      </c>
      <c r="AG148" s="31" t="str">
        <f t="shared" si="128"/>
        <v>0.000276707898356415i</v>
      </c>
      <c r="AH148" s="31">
        <f t="shared" ref="AH148:AH211" si="142">IMABS(AG148)</f>
        <v>2.7670789835641498E-4</v>
      </c>
      <c r="AI148" s="31">
        <f t="shared" ref="AI148:AI211" si="143">IMARGUMENT(AG148)</f>
        <v>1.5707963267948966</v>
      </c>
      <c r="AJ148" s="31" t="str">
        <f t="shared" si="129"/>
        <v>1+0.00107962915544192i</v>
      </c>
      <c r="AK148" s="31">
        <f t="shared" ref="AK148:AK211" si="144">IMABS(AJ148)</f>
        <v>1.0000005827993868</v>
      </c>
      <c r="AL148" s="31">
        <f t="shared" ref="AL148:AL211" si="145">IMARGUMENT(AJ148)</f>
        <v>1.079628735970618E-3</v>
      </c>
      <c r="AM148" s="31" t="str">
        <f t="shared" si="130"/>
        <v>1+0.330966315540474i</v>
      </c>
      <c r="AN148" s="31">
        <f t="shared" ref="AN148:AN211" si="146">IMABS(AM148)</f>
        <v>1.0533464302034903</v>
      </c>
      <c r="AO148" s="31">
        <f t="shared" ref="AO148:AO211" si="147">IMARGUMENT(AM148)</f>
        <v>0.31961872778882106</v>
      </c>
      <c r="AP148" s="58" t="str">
        <f t="shared" ref="AP148:AP211" si="148">IMPRODUCT(AF148,IMDIV(AM148,IMPRODUCT(AG148,AJ148)))</f>
        <v>-0.591159914278965+1.79264933223687i</v>
      </c>
      <c r="AQ148" s="49">
        <f t="shared" ref="AQ148:AQ211" si="149">20*LOG(IMABS(AP148))</f>
        <v>5.5182333956869112</v>
      </c>
      <c r="AR148" s="61">
        <f t="shared" ref="AR148:AR211" si="150">(180/PI())*IMARGUMENT(AP148)</f>
        <v>108.25094598562792</v>
      </c>
      <c r="AS148" s="58" t="str">
        <f t="shared" ref="AS148:AS211" si="151">IMPRODUCT(AC148,AP148)</f>
        <v>8.41517088465565+2.54488561794944i</v>
      </c>
      <c r="AT148" s="64">
        <f t="shared" ref="AT148:AT211" si="152">20*LOG(IMABS(AS148))</f>
        <v>18.881319820112129</v>
      </c>
      <c r="AU148" s="61">
        <f t="shared" ref="AU148:AU211" si="153">(180/PI())*IMARGUMENT(AS148)</f>
        <v>16.826177103103394</v>
      </c>
    </row>
    <row r="149" spans="14:47" x14ac:dyDescent="0.25">
      <c r="N149" s="10">
        <v>31</v>
      </c>
      <c r="O149" s="50">
        <f t="shared" si="121"/>
        <v>204.17379446695315</v>
      </c>
      <c r="P149" s="48" t="str">
        <f t="shared" si="122"/>
        <v>304.285714285714</v>
      </c>
      <c r="Q149" s="17" t="str">
        <f t="shared" si="123"/>
        <v>1+66.8004458309839i</v>
      </c>
      <c r="R149" s="17">
        <f t="shared" si="131"/>
        <v>66.807930391669942</v>
      </c>
      <c r="S149" s="17">
        <f t="shared" si="132"/>
        <v>1.5558274849300981</v>
      </c>
      <c r="T149" s="17" t="str">
        <f t="shared" si="124"/>
        <v>1+0.00138549072834633i</v>
      </c>
      <c r="U149" s="17">
        <f t="shared" si="133"/>
        <v>1.0000009597918187</v>
      </c>
      <c r="V149" s="17">
        <f t="shared" si="134"/>
        <v>1.3854898418251484E-3</v>
      </c>
      <c r="W149" s="31" t="str">
        <f t="shared" si="125"/>
        <v>1-0.00432965852608228i</v>
      </c>
      <c r="X149" s="17">
        <f t="shared" si="135"/>
        <v>1.0000093729275503</v>
      </c>
      <c r="Y149" s="17">
        <f t="shared" si="136"/>
        <v>-4.3296314718759953E-3</v>
      </c>
      <c r="Z149" s="31" t="str">
        <f t="shared" si="126"/>
        <v>0.999997382532547+0.0381938624536277i</v>
      </c>
      <c r="AA149" s="17">
        <f t="shared" si="137"/>
        <v>1.0007265041963622</v>
      </c>
      <c r="AB149" s="17">
        <f t="shared" si="138"/>
        <v>3.8175406483328907E-2</v>
      </c>
      <c r="AC149" s="66" t="str">
        <f t="shared" si="139"/>
        <v>-0.119008108391974-4.54981895140495i</v>
      </c>
      <c r="AD149" s="64">
        <f t="shared" si="140"/>
        <v>13.162852609267922</v>
      </c>
      <c r="AE149" s="61">
        <f t="shared" si="141"/>
        <v>-91.498325099330089</v>
      </c>
      <c r="AF149" s="31" t="str">
        <f t="shared" si="127"/>
        <v>-0.000495863624968664</v>
      </c>
      <c r="AG149" s="31" t="str">
        <f t="shared" si="128"/>
        <v>0.000283153253296854i</v>
      </c>
      <c r="AH149" s="31">
        <f t="shared" si="142"/>
        <v>2.83153253296854E-4</v>
      </c>
      <c r="AI149" s="31">
        <f t="shared" si="143"/>
        <v>1.5707963267948966</v>
      </c>
      <c r="AJ149" s="31" t="str">
        <f t="shared" si="129"/>
        <v>1+0.0011047769490257i</v>
      </c>
      <c r="AK149" s="31">
        <f t="shared" si="144"/>
        <v>1.0000006102658674</v>
      </c>
      <c r="AL149" s="31">
        <f t="shared" si="145"/>
        <v>1.1047764995541166E-3</v>
      </c>
      <c r="AM149" s="31" t="str">
        <f t="shared" si="130"/>
        <v>1+0.338675511373547i</v>
      </c>
      <c r="AN149" s="31">
        <f t="shared" si="146"/>
        <v>1.0557940623076707</v>
      </c>
      <c r="AO149" s="31">
        <f t="shared" si="147"/>
        <v>0.32655078459878917</v>
      </c>
      <c r="AP149" s="58" t="str">
        <f t="shared" si="148"/>
        <v>-0.591159881804821+1.75187304588273i</v>
      </c>
      <c r="AQ149" s="49">
        <f t="shared" si="149"/>
        <v>5.3383929065030253</v>
      </c>
      <c r="AR149" s="61">
        <f t="shared" si="150"/>
        <v>108.64668272346657</v>
      </c>
      <c r="AS149" s="58" t="str">
        <f t="shared" si="151"/>
        <v>8.04105800390357+2.4811833362125i</v>
      </c>
      <c r="AT149" s="64">
        <f t="shared" si="152"/>
        <v>18.501245515770947</v>
      </c>
      <c r="AU149" s="61">
        <f t="shared" si="153"/>
        <v>17.148357624136512</v>
      </c>
    </row>
    <row r="150" spans="14:47" x14ac:dyDescent="0.25">
      <c r="N150" s="10">
        <v>32</v>
      </c>
      <c r="O150" s="50">
        <f t="shared" si="121"/>
        <v>208.92961308540396</v>
      </c>
      <c r="P150" s="48" t="str">
        <f t="shared" si="122"/>
        <v>304.285714285714</v>
      </c>
      <c r="Q150" s="17" t="str">
        <f t="shared" si="123"/>
        <v>1+68.3564281000763i</v>
      </c>
      <c r="R150" s="17">
        <f t="shared" si="131"/>
        <v>68.363742309801182</v>
      </c>
      <c r="S150" s="17">
        <f t="shared" si="132"/>
        <v>1.5561681681988406</v>
      </c>
      <c r="T150" s="17" t="str">
        <f t="shared" si="124"/>
        <v>1+0.00141776295318676i</v>
      </c>
      <c r="U150" s="17">
        <f t="shared" si="133"/>
        <v>1.0000010050253907</v>
      </c>
      <c r="V150" s="17">
        <f t="shared" si="134"/>
        <v>1.4177620032622509E-3</v>
      </c>
      <c r="W150" s="31" t="str">
        <f t="shared" si="125"/>
        <v>1-0.00443050922870864i</v>
      </c>
      <c r="X150" s="17">
        <f t="shared" si="135"/>
        <v>1.0000098146578491</v>
      </c>
      <c r="Y150" s="17">
        <f t="shared" si="136"/>
        <v>-4.430480239619684E-3</v>
      </c>
      <c r="Z150" s="31" t="str">
        <f t="shared" si="126"/>
        <v>0.999997259175106+0.0390835117969324i</v>
      </c>
      <c r="AA150" s="17">
        <f t="shared" si="137"/>
        <v>1.0007607302707802</v>
      </c>
      <c r="AB150" s="17">
        <f t="shared" si="138"/>
        <v>3.9063736680267261E-2</v>
      </c>
      <c r="AC150" s="66" t="str">
        <f t="shared" si="139"/>
        <v>-0.122064966734538-4.44597030076053i</v>
      </c>
      <c r="AD150" s="64">
        <f t="shared" si="140"/>
        <v>12.96260356993213</v>
      </c>
      <c r="AE150" s="61">
        <f t="shared" si="141"/>
        <v>-91.572671533993045</v>
      </c>
      <c r="AF150" s="31" t="str">
        <f t="shared" si="127"/>
        <v>-0.000495863624968664</v>
      </c>
      <c r="AG150" s="31" t="str">
        <f t="shared" si="128"/>
        <v>0.000289748739840168i</v>
      </c>
      <c r="AH150" s="31">
        <f t="shared" si="142"/>
        <v>2.8974873984016802E-4</v>
      </c>
      <c r="AI150" s="31">
        <f t="shared" si="143"/>
        <v>1.5707963267948966</v>
      </c>
      <c r="AJ150" s="31" t="str">
        <f t="shared" si="129"/>
        <v>1+0.00113051050997132i</v>
      </c>
      <c r="AK150" s="31">
        <f t="shared" si="144"/>
        <v>1.0000006390268024</v>
      </c>
      <c r="AL150" s="31">
        <f t="shared" si="145"/>
        <v>1.130510028353858E-3</v>
      </c>
      <c r="AM150" s="31" t="str">
        <f t="shared" si="130"/>
        <v>1+0.346564277445653i</v>
      </c>
      <c r="AN150" s="31">
        <f t="shared" si="146"/>
        <v>1.0583509807249329</v>
      </c>
      <c r="AO150" s="31">
        <f t="shared" si="147"/>
        <v>0.33361076920269978</v>
      </c>
      <c r="AP150" s="58" t="str">
        <f t="shared" si="148"/>
        <v>-0.591159847800225+1.71202562580292i</v>
      </c>
      <c r="AQ150" s="49">
        <f t="shared" si="149"/>
        <v>5.1594026834963884</v>
      </c>
      <c r="AR150" s="61">
        <f t="shared" si="150"/>
        <v>109.04971562210579</v>
      </c>
      <c r="AS150" s="58" t="str">
        <f t="shared" si="151"/>
        <v>7.68377499361727+2.41930077525961i</v>
      </c>
      <c r="AT150" s="64">
        <f t="shared" si="152"/>
        <v>18.122006253428516</v>
      </c>
      <c r="AU150" s="61">
        <f t="shared" si="153"/>
        <v>17.47704408811278</v>
      </c>
    </row>
    <row r="151" spans="14:47" x14ac:dyDescent="0.25">
      <c r="N151" s="10">
        <v>33</v>
      </c>
      <c r="O151" s="50">
        <f t="shared" si="121"/>
        <v>213.79620895022339</v>
      </c>
      <c r="P151" s="48" t="str">
        <f t="shared" si="122"/>
        <v>304.285714285714</v>
      </c>
      <c r="Q151" s="17" t="str">
        <f t="shared" si="123"/>
        <v>1+69.9486538521511i</v>
      </c>
      <c r="R151" s="17">
        <f t="shared" si="131"/>
        <v>69.955801587345519</v>
      </c>
      <c r="S151" s="17">
        <f t="shared" si="132"/>
        <v>1.556501099851034</v>
      </c>
      <c r="T151" s="17" t="str">
        <f t="shared" si="124"/>
        <v>1+0.00145078689471128i</v>
      </c>
      <c r="U151" s="17">
        <f t="shared" si="133"/>
        <v>1.0000010523907532</v>
      </c>
      <c r="V151" s="17">
        <f t="shared" si="134"/>
        <v>1.450785876848888E-3</v>
      </c>
      <c r="W151" s="31" t="str">
        <f t="shared" si="125"/>
        <v>1-0.00453370904597275i</v>
      </c>
      <c r="X151" s="17">
        <f t="shared" si="135"/>
        <v>1.0000102772060462</v>
      </c>
      <c r="Y151" s="17">
        <f t="shared" si="136"/>
        <v>-4.5336779836215348E-3</v>
      </c>
      <c r="Z151" s="31" t="str">
        <f t="shared" si="126"/>
        <v>0.999997130004008+0.0399938837355231i</v>
      </c>
      <c r="AA151" s="17">
        <f t="shared" si="137"/>
        <v>1.0007965681158701</v>
      </c>
      <c r="AB151" s="17">
        <f t="shared" si="138"/>
        <v>3.9972695227024277E-2</v>
      </c>
      <c r="AC151" s="66" t="str">
        <f t="shared" si="139"/>
        <v>-0.124983127929607-4.34447496681804i</v>
      </c>
      <c r="AD151" s="64">
        <f t="shared" si="140"/>
        <v>12.762338780917998</v>
      </c>
      <c r="AE151" s="61">
        <f t="shared" si="141"/>
        <v>-91.647847267618459</v>
      </c>
      <c r="AF151" s="31" t="str">
        <f t="shared" si="127"/>
        <v>-0.000495863624968664</v>
      </c>
      <c r="AG151" s="31" t="str">
        <f t="shared" si="128"/>
        <v>0.000296497855000624i</v>
      </c>
      <c r="AH151" s="31">
        <f t="shared" si="142"/>
        <v>2.9649785500062402E-4</v>
      </c>
      <c r="AI151" s="31">
        <f t="shared" si="143"/>
        <v>1.5707963267948966</v>
      </c>
      <c r="AJ151" s="31" t="str">
        <f t="shared" si="129"/>
        <v>1+0.00115684348255339i</v>
      </c>
      <c r="AK151" s="31">
        <f t="shared" si="144"/>
        <v>1.0000006691431977</v>
      </c>
      <c r="AL151" s="31">
        <f t="shared" si="145"/>
        <v>1.1568429664910005E-3</v>
      </c>
      <c r="AM151" s="31" t="str">
        <f t="shared" si="130"/>
        <v>1+0.354636796484979i</v>
      </c>
      <c r="AN151" s="31">
        <f t="shared" si="146"/>
        <v>1.0610217987492663</v>
      </c>
      <c r="AO151" s="31">
        <f t="shared" si="147"/>
        <v>0.34079960883445942</v>
      </c>
      <c r="AP151" s="58" t="str">
        <f t="shared" si="148"/>
        <v>-0.591159812193041+1.67308594436762i</v>
      </c>
      <c r="AQ151" s="49">
        <f t="shared" si="149"/>
        <v>4.9812942222639141</v>
      </c>
      <c r="AR151" s="61">
        <f t="shared" si="150"/>
        <v>109.4600970263846</v>
      </c>
      <c r="AS151" s="58" t="str">
        <f t="shared" si="151"/>
        <v>7.34256500507441+2.35917149083939i</v>
      </c>
      <c r="AT151" s="64">
        <f t="shared" si="152"/>
        <v>17.743633003181909</v>
      </c>
      <c r="AU151" s="61">
        <f t="shared" si="153"/>
        <v>17.812249758766097</v>
      </c>
    </row>
    <row r="152" spans="14:47" x14ac:dyDescent="0.25">
      <c r="N152" s="10">
        <v>34</v>
      </c>
      <c r="O152" s="50">
        <f t="shared" si="121"/>
        <v>218.77616239495524</v>
      </c>
      <c r="P152" s="48" t="str">
        <f t="shared" si="122"/>
        <v>304.285714285714</v>
      </c>
      <c r="Q152" s="17" t="str">
        <f t="shared" si="123"/>
        <v>1+71.5779673063785i</v>
      </c>
      <c r="R152" s="17">
        <f t="shared" si="131"/>
        <v>71.584952355316886</v>
      </c>
      <c r="S152" s="17">
        <f t="shared" si="132"/>
        <v>1.5568264561160519</v>
      </c>
      <c r="T152" s="17" t="str">
        <f t="shared" si="124"/>
        <v>1+0.00148458006265081i</v>
      </c>
      <c r="U152" s="17">
        <f t="shared" si="133"/>
        <v>1.0000011019883739</v>
      </c>
      <c r="V152" s="17">
        <f t="shared" si="134"/>
        <v>1.4845789719916717E-3</v>
      </c>
      <c r="W152" s="31" t="str">
        <f t="shared" si="125"/>
        <v>1-0.00463931269578378i</v>
      </c>
      <c r="X152" s="17">
        <f t="shared" si="135"/>
        <v>1.0000107615532392</v>
      </c>
      <c r="Y152" s="17">
        <f t="shared" si="136"/>
        <v>-4.6392794118941313E-3</v>
      </c>
      <c r="Z152" s="31" t="str">
        <f t="shared" si="126"/>
        <v>0.999996994745264+0.040925460960652i</v>
      </c>
      <c r="AA152" s="17">
        <f t="shared" si="137"/>
        <v>1.0008340935711579</v>
      </c>
      <c r="AB152" s="17">
        <f t="shared" si="138"/>
        <v>4.090275808654139E-2</v>
      </c>
      <c r="AC152" s="66" t="str">
        <f t="shared" si="139"/>
        <v>-0.127768774245369-4.24527940845558i</v>
      </c>
      <c r="AD152" s="64">
        <f t="shared" si="140"/>
        <v>12.562057683593927</v>
      </c>
      <c r="AE152" s="61">
        <f t="shared" si="141"/>
        <v>-91.723891799396526</v>
      </c>
      <c r="AF152" s="31" t="str">
        <f t="shared" si="127"/>
        <v>-0.000495863624968664</v>
      </c>
      <c r="AG152" s="31" t="str">
        <f t="shared" si="128"/>
        <v>0.000303404177248413i</v>
      </c>
      <c r="AH152" s="31">
        <f t="shared" si="142"/>
        <v>3.0340417724841301E-4</v>
      </c>
      <c r="AI152" s="31">
        <f t="shared" si="143"/>
        <v>1.5707963267948966</v>
      </c>
      <c r="AJ152" s="31" t="str">
        <f t="shared" si="129"/>
        <v>1+0.00118378982886255i</v>
      </c>
      <c r="AK152" s="31">
        <f t="shared" si="144"/>
        <v>1.000000700678934</v>
      </c>
      <c r="AL152" s="31">
        <f t="shared" si="145"/>
        <v>1.1837892758917576E-3</v>
      </c>
      <c r="AM152" s="31" t="str">
        <f t="shared" si="130"/>
        <v>1+0.362897348647975i</v>
      </c>
      <c r="AN152" s="31">
        <f t="shared" si="146"/>
        <v>1.0638113017146085</v>
      </c>
      <c r="AO152" s="31">
        <f t="shared" si="147"/>
        <v>0.34811814205276415</v>
      </c>
      <c r="AP152" s="58" t="str">
        <f t="shared" si="148"/>
        <v>-0.591159774907746+1.63503335524206i</v>
      </c>
      <c r="AQ152" s="49">
        <f t="shared" si="149"/>
        <v>4.8040998137277082</v>
      </c>
      <c r="AR152" s="61">
        <f t="shared" si="150"/>
        <v>109.87787418221748</v>
      </c>
      <c r="AS152" s="58" t="str">
        <f t="shared" si="151"/>
        <v>7.01670519497029+2.30073221187352i</v>
      </c>
      <c r="AT152" s="64">
        <f t="shared" si="152"/>
        <v>17.366157497321641</v>
      </c>
      <c r="AU152" s="61">
        <f t="shared" si="153"/>
        <v>18.153982382820967</v>
      </c>
    </row>
    <row r="153" spans="14:47" x14ac:dyDescent="0.25">
      <c r="N153" s="10">
        <v>35</v>
      </c>
      <c r="O153" s="50">
        <f t="shared" si="121"/>
        <v>223.87211385683412</v>
      </c>
      <c r="P153" s="48" t="str">
        <f t="shared" si="122"/>
        <v>304.285714285714</v>
      </c>
      <c r="Q153" s="17" t="str">
        <f t="shared" si="123"/>
        <v>1+73.2452323463182i</v>
      </c>
      <c r="R153" s="17">
        <f t="shared" si="131"/>
        <v>73.252058411120018</v>
      </c>
      <c r="S153" s="17">
        <f t="shared" si="132"/>
        <v>1.5571444092264046</v>
      </c>
      <c r="T153" s="17" t="str">
        <f t="shared" si="124"/>
        <v>1+0.0015191603745903i</v>
      </c>
      <c r="U153" s="17">
        <f t="shared" si="133"/>
        <v>1.0000011539234561</v>
      </c>
      <c r="V153" s="17">
        <f t="shared" si="134"/>
        <v>1.5191592059280508E-3</v>
      </c>
      <c r="W153" s="31" t="str">
        <f t="shared" si="125"/>
        <v>1-0.00474737617059469i</v>
      </c>
      <c r="X153" s="17">
        <f t="shared" si="135"/>
        <v>1.0000112687267604</v>
      </c>
      <c r="Y153" s="17">
        <f t="shared" si="136"/>
        <v>-4.7473405062860834E-3</v>
      </c>
      <c r="Z153" s="31" t="str">
        <f t="shared" si="126"/>
        <v>0.999996853111972+0.0418787374068949i</v>
      </c>
      <c r="AA153" s="17">
        <f t="shared" si="137"/>
        <v>1.0008733860387349</v>
      </c>
      <c r="AB153" s="17">
        <f t="shared" si="138"/>
        <v>4.1854411985348193E-2</v>
      </c>
      <c r="AC153" s="66" t="str">
        <f t="shared" si="139"/>
        <v>-0.130427807580265-4.14833128617036i</v>
      </c>
      <c r="AD153" s="64">
        <f t="shared" si="140"/>
        <v>12.361759685037384</v>
      </c>
      <c r="AE153" s="61">
        <f t="shared" si="141"/>
        <v>-91.80084506584069</v>
      </c>
      <c r="AF153" s="31" t="str">
        <f t="shared" si="127"/>
        <v>-0.000495863624968664</v>
      </c>
      <c r="AG153" s="31" t="str">
        <f t="shared" si="128"/>
        <v>0.000310471368407009i</v>
      </c>
      <c r="AH153" s="31">
        <f t="shared" si="142"/>
        <v>3.1047136840700899E-4</v>
      </c>
      <c r="AI153" s="31">
        <f t="shared" si="143"/>
        <v>1.5707963267948966</v>
      </c>
      <c r="AJ153" s="31" t="str">
        <f t="shared" si="129"/>
        <v>1+0.00121136383620828i</v>
      </c>
      <c r="AK153" s="31">
        <f t="shared" si="144"/>
        <v>1.0000007337009027</v>
      </c>
      <c r="AL153" s="31">
        <f t="shared" si="145"/>
        <v>1.2113632436894241E-3</v>
      </c>
      <c r="AM153" s="31" t="str">
        <f t="shared" si="130"/>
        <v>1+0.37135031378874i</v>
      </c>
      <c r="AN153" s="31">
        <f t="shared" si="146"/>
        <v>1.0667244515576624</v>
      </c>
      <c r="AO153" s="31">
        <f t="shared" si="147"/>
        <v>0.3555671123800857</v>
      </c>
      <c r="AP153" s="58" t="str">
        <f t="shared" si="148"/>
        <v>-0.591159735865259+1.5978476824395i</v>
      </c>
      <c r="AQ153" s="49">
        <f t="shared" si="149"/>
        <v>4.6278525324704978</v>
      </c>
      <c r="AR153" s="61">
        <f t="shared" si="150"/>
        <v>110.30308887171203</v>
      </c>
      <c r="AS153" s="58" t="str">
        <f t="shared" si="151"/>
        <v>6.70550519987721+2.24392265734627i</v>
      </c>
      <c r="AT153" s="64">
        <f t="shared" si="152"/>
        <v>16.989612217507876</v>
      </c>
      <c r="AU153" s="61">
        <f t="shared" si="153"/>
        <v>18.502243805871366</v>
      </c>
    </row>
    <row r="154" spans="14:47" x14ac:dyDescent="0.25">
      <c r="N154" s="10">
        <v>36</v>
      </c>
      <c r="O154" s="50">
        <f t="shared" si="121"/>
        <v>229.08676527677744</v>
      </c>
      <c r="P154" s="48" t="str">
        <f t="shared" si="122"/>
        <v>304.285714285714</v>
      </c>
      <c r="Q154" s="17" t="str">
        <f t="shared" si="123"/>
        <v>1+74.951332977963i</v>
      </c>
      <c r="R154" s="17">
        <f t="shared" si="131"/>
        <v>74.958003676548671</v>
      </c>
      <c r="S154" s="17">
        <f t="shared" si="132"/>
        <v>1.5574551275077468</v>
      </c>
      <c r="T154" s="17" t="str">
        <f t="shared" si="124"/>
        <v>1+0.00155454616546886i</v>
      </c>
      <c r="U154" s="17">
        <f t="shared" si="133"/>
        <v>1.0000012083061602</v>
      </c>
      <c r="V154" s="17">
        <f t="shared" si="134"/>
        <v>1.5545449132247802E-3</v>
      </c>
      <c r="W154" s="31" t="str">
        <f t="shared" si="125"/>
        <v>1-0.00485795676709019i</v>
      </c>
      <c r="X154" s="17">
        <f t="shared" si="135"/>
        <v>1.0000117998023577</v>
      </c>
      <c r="Y154" s="17">
        <f t="shared" si="136"/>
        <v>-4.8579185521193642E-3</v>
      </c>
      <c r="Z154" s="31" t="str">
        <f t="shared" si="126"/>
        <v>0.999996704803709+0.0428542185140414i</v>
      </c>
      <c r="AA154" s="17">
        <f t="shared" si="137"/>
        <v>1.0009145286500367</v>
      </c>
      <c r="AB154" s="17">
        <f t="shared" si="138"/>
        <v>4.2828154641321073E-2</v>
      </c>
      <c r="AC154" s="66" t="str">
        <f t="shared" si="139"/>
        <v>-0.132965861923766-4.05357943554389i</v>
      </c>
      <c r="AD154" s="64">
        <f t="shared" si="140"/>
        <v>12.161444156805278</v>
      </c>
      <c r="AE154" s="61">
        <f t="shared" si="141"/>
        <v>-91.878747460148134</v>
      </c>
      <c r="AF154" s="31" t="str">
        <f t="shared" si="127"/>
        <v>-0.000495863624968664</v>
      </c>
      <c r="AG154" s="31" t="str">
        <f t="shared" si="128"/>
        <v>0.000317703175594709i</v>
      </c>
      <c r="AH154" s="31">
        <f t="shared" si="142"/>
        <v>3.1770317559470898E-4</v>
      </c>
      <c r="AI154" s="31">
        <f t="shared" si="143"/>
        <v>1.5707963267948966</v>
      </c>
      <c r="AJ154" s="31" t="str">
        <f t="shared" si="129"/>
        <v>1+0.00123958012469426i</v>
      </c>
      <c r="AK154" s="31">
        <f t="shared" si="144"/>
        <v>1.0000007682791476</v>
      </c>
      <c r="AL154" s="31">
        <f t="shared" si="145"/>
        <v>1.2395794897988937E-3</v>
      </c>
      <c r="AM154" s="31" t="str">
        <f t="shared" si="130"/>
        <v>1+0.380000173781276i</v>
      </c>
      <c r="AN154" s="31">
        <f t="shared" si="146"/>
        <v>1.0697663913555147</v>
      </c>
      <c r="AO154" s="31">
        <f t="shared" si="147"/>
        <v>0.36314716179978163</v>
      </c>
      <c r="AP154" s="58" t="str">
        <f t="shared" si="148"/>
        <v>-0.591159694982756+1.56150920962373i</v>
      </c>
      <c r="AQ154" s="49">
        <f t="shared" si="149"/>
        <v>4.4525862218023642</v>
      </c>
      <c r="AR154" s="61">
        <f t="shared" si="150"/>
        <v>110.73577704014538</v>
      </c>
      <c r="AS154" s="58" t="str">
        <f t="shared" si="151"/>
        <v>6.40830567892112+2.18868536474498i</v>
      </c>
      <c r="AT154" s="64">
        <f t="shared" si="152"/>
        <v>16.614030378607641</v>
      </c>
      <c r="AU154" s="61">
        <f t="shared" si="153"/>
        <v>18.857029579997235</v>
      </c>
    </row>
    <row r="155" spans="14:47" x14ac:dyDescent="0.25">
      <c r="N155" s="10">
        <v>37</v>
      </c>
      <c r="O155" s="50">
        <f t="shared" si="121"/>
        <v>234.42288153199232</v>
      </c>
      <c r="P155" s="48" t="str">
        <f t="shared" si="122"/>
        <v>304.285714285714</v>
      </c>
      <c r="Q155" s="17" t="str">
        <f t="shared" si="123"/>
        <v>1+76.6971737984505i</v>
      </c>
      <c r="R155" s="17">
        <f t="shared" si="131"/>
        <v>76.703692666453321</v>
      </c>
      <c r="S155" s="17">
        <f t="shared" si="132"/>
        <v>1.557758775466898</v>
      </c>
      <c r="T155" s="17" t="str">
        <f t="shared" si="124"/>
        <v>1+0.00159075619730119i</v>
      </c>
      <c r="U155" s="17">
        <f t="shared" si="133"/>
        <v>1.0000012652518393</v>
      </c>
      <c r="V155" s="17">
        <f t="shared" si="134"/>
        <v>1.5907548554975756E-3</v>
      </c>
      <c r="W155" s="31" t="str">
        <f t="shared" si="125"/>
        <v>1-0.00497111311656623i</v>
      </c>
      <c r="X155" s="17">
        <f t="shared" si="135"/>
        <v>1.0000123559064746</v>
      </c>
      <c r="Y155" s="17">
        <f t="shared" si="136"/>
        <v>-4.971072168514566E-3</v>
      </c>
      <c r="Z155" s="31" t="str">
        <f t="shared" si="126"/>
        <v>0.999996549505892+0.0438524214950864i</v>
      </c>
      <c r="AA155" s="17">
        <f t="shared" si="137"/>
        <v>1.0009576084403737</v>
      </c>
      <c r="AB155" s="17">
        <f t="shared" si="138"/>
        <v>4.382449499512376E-2</v>
      </c>
      <c r="AC155" s="66" t="str">
        <f t="shared" si="139"/>
        <v>-0.135388315254414-3.96097384125147i</v>
      </c>
      <c r="AD155" s="64">
        <f t="shared" si="140"/>
        <v>11.961110433631735</v>
      </c>
      <c r="AE155" s="61">
        <f t="shared" si="141"/>
        <v>-91.957639851684164</v>
      </c>
      <c r="AF155" s="31" t="str">
        <f t="shared" si="127"/>
        <v>-0.000495863624968664</v>
      </c>
      <c r="AG155" s="31" t="str">
        <f t="shared" si="128"/>
        <v>0.000325103433211407i</v>
      </c>
      <c r="AH155" s="31">
        <f t="shared" si="142"/>
        <v>3.2510343321140699E-4</v>
      </c>
      <c r="AI155" s="31">
        <f t="shared" si="143"/>
        <v>1.5707963267948966</v>
      </c>
      <c r="AJ155" s="31" t="str">
        <f t="shared" si="129"/>
        <v>1+0.00126845365497014i</v>
      </c>
      <c r="AK155" s="31">
        <f t="shared" si="144"/>
        <v>1.0000008044870139</v>
      </c>
      <c r="AL155" s="31">
        <f t="shared" si="145"/>
        <v>1.2684529746675279E-3</v>
      </c>
      <c r="AM155" s="31" t="str">
        <f t="shared" si="130"/>
        <v>1+0.388851514895846i</v>
      </c>
      <c r="AN155" s="31">
        <f t="shared" si="146"/>
        <v>1.0729424498251499</v>
      </c>
      <c r="AO155" s="31">
        <f t="shared" si="147"/>
        <v>0.37085882413003013</v>
      </c>
      <c r="AP155" s="58" t="str">
        <f t="shared" si="148"/>
        <v>-0.59115965217353+1.52599866965514i</v>
      </c>
      <c r="AQ155" s="49">
        <f t="shared" si="149"/>
        <v>4.2783354753517377</v>
      </c>
      <c r="AR155" s="61">
        <f t="shared" si="150"/>
        <v>111.17596841587601</v>
      </c>
      <c r="AS155" s="58" t="str">
        <f t="shared" si="151"/>
        <v>6.12447692164271+2.13496552929758i</v>
      </c>
      <c r="AT155" s="64">
        <f t="shared" si="152"/>
        <v>16.239445908983466</v>
      </c>
      <c r="AU155" s="61">
        <f t="shared" si="153"/>
        <v>19.218328564191832</v>
      </c>
    </row>
    <row r="156" spans="14:47" x14ac:dyDescent="0.25">
      <c r="N156" s="10">
        <v>38</v>
      </c>
      <c r="O156" s="50">
        <f t="shared" si="121"/>
        <v>239.88329190194912</v>
      </c>
      <c r="P156" s="48" t="str">
        <f t="shared" si="122"/>
        <v>304.285714285714</v>
      </c>
      <c r="Q156" s="17" t="str">
        <f t="shared" si="123"/>
        <v>1+78.4836804756937i</v>
      </c>
      <c r="R156" s="17">
        <f t="shared" si="131"/>
        <v>78.490050968328362</v>
      </c>
      <c r="S156" s="17">
        <f t="shared" si="132"/>
        <v>1.5580555138779211</v>
      </c>
      <c r="T156" s="17" t="str">
        <f t="shared" si="124"/>
        <v>1+0.0016278096691255i</v>
      </c>
      <c r="U156" s="17">
        <f t="shared" si="133"/>
        <v>1.0000013248812818</v>
      </c>
      <c r="V156" s="17">
        <f t="shared" si="134"/>
        <v>1.6278082313571261E-3</v>
      </c>
      <c r="W156" s="31" t="str">
        <f t="shared" si="125"/>
        <v>1-0.00508690521601718i</v>
      </c>
      <c r="X156" s="17">
        <f t="shared" si="135"/>
        <v>1.0000129382186396</v>
      </c>
      <c r="Y156" s="17">
        <f t="shared" si="136"/>
        <v>-5.0868613394199702E-3</v>
      </c>
      <c r="Z156" s="31" t="str">
        <f t="shared" si="126"/>
        <v>0.999996386889114+0.044873875610464i</v>
      </c>
      <c r="AA156" s="17">
        <f t="shared" si="137"/>
        <v>1.0010027165315716</v>
      </c>
      <c r="AB156" s="17">
        <f t="shared" si="138"/>
        <v>4.4843953445300455E-2</v>
      </c>
      <c r="AC156" s="66" t="str">
        <f t="shared" si="139"/>
        <v>-0.137700300899929-3.87046561160751i</v>
      </c>
      <c r="AD156" s="64">
        <f t="shared" si="140"/>
        <v>11.760757812050587</v>
      </c>
      <c r="AE156" s="61">
        <f t="shared" si="141"/>
        <v>-92.037563605592013</v>
      </c>
      <c r="AF156" s="31" t="str">
        <f t="shared" si="127"/>
        <v>-0.000495863624968664</v>
      </c>
      <c r="AG156" s="31" t="str">
        <f t="shared" si="128"/>
        <v>0.000332676064971647i</v>
      </c>
      <c r="AH156" s="31">
        <f t="shared" si="142"/>
        <v>3.32676064971647E-4</v>
      </c>
      <c r="AI156" s="31">
        <f t="shared" si="143"/>
        <v>1.5707963267948966</v>
      </c>
      <c r="AJ156" s="31" t="str">
        <f t="shared" si="129"/>
        <v>1+0.00129799973616386i</v>
      </c>
      <c r="AK156" s="31">
        <f t="shared" si="144"/>
        <v>1.0000008424013027</v>
      </c>
      <c r="AL156" s="31">
        <f t="shared" si="145"/>
        <v>1.2979990072065108E-3</v>
      </c>
      <c r="AM156" s="31" t="str">
        <f t="shared" si="130"/>
        <v>1+0.397909030230677i</v>
      </c>
      <c r="AN156" s="31">
        <f t="shared" si="146"/>
        <v>1.076258145771319</v>
      </c>
      <c r="AO156" s="31">
        <f t="shared" si="147"/>
        <v>0.37870251829591339</v>
      </c>
      <c r="AP156" s="58" t="str">
        <f t="shared" si="148"/>
        <v>-0.591159607346774+1.49129723437507i</v>
      </c>
      <c r="AQ156" s="49">
        <f t="shared" si="149"/>
        <v>4.1051356149788178</v>
      </c>
      <c r="AR156" s="61">
        <f t="shared" si="150"/>
        <v>111.62368612440652</v>
      </c>
      <c r="AS156" s="58" t="str">
        <f t="shared" si="151"/>
        <v>5.85341751814563+2.08271085330241i</v>
      </c>
      <c r="AT156" s="64">
        <f t="shared" si="152"/>
        <v>15.865893427029405</v>
      </c>
      <c r="AU156" s="61">
        <f t="shared" si="153"/>
        <v>19.586122518814523</v>
      </c>
    </row>
    <row r="157" spans="14:47" x14ac:dyDescent="0.25">
      <c r="N157" s="10">
        <v>39</v>
      </c>
      <c r="O157" s="50">
        <f t="shared" si="121"/>
        <v>245.4708915685033</v>
      </c>
      <c r="P157" s="48" t="str">
        <f t="shared" si="122"/>
        <v>304.285714285714</v>
      </c>
      <c r="Q157" s="17" t="str">
        <f t="shared" si="123"/>
        <v>1+80.311800239179i</v>
      </c>
      <c r="R157" s="17">
        <f t="shared" si="131"/>
        <v>80.318025733068112</v>
      </c>
      <c r="S157" s="17">
        <f t="shared" si="132"/>
        <v>1.558345499866298</v>
      </c>
      <c r="T157" s="17" t="str">
        <f t="shared" si="124"/>
        <v>1+0.00166572622718297i</v>
      </c>
      <c r="U157" s="17">
        <f t="shared" si="133"/>
        <v>1.0000013873209697</v>
      </c>
      <c r="V157" s="17">
        <f t="shared" si="134"/>
        <v>1.6657246865865165E-3</v>
      </c>
      <c r="W157" s="31" t="str">
        <f t="shared" si="125"/>
        <v>1-0.00520539445994678i</v>
      </c>
      <c r="X157" s="17">
        <f t="shared" si="135"/>
        <v>1.000013547973968</v>
      </c>
      <c r="Y157" s="17">
        <f t="shared" si="136"/>
        <v>-5.2053474453602217E-3</v>
      </c>
      <c r="Z157" s="31" t="str">
        <f t="shared" si="126"/>
        <v>0.999996216608444+0.045919122448666i</v>
      </c>
      <c r="AA157" s="17">
        <f t="shared" si="137"/>
        <v>1.0010499483230881</v>
      </c>
      <c r="AB157" s="17">
        <f t="shared" si="138"/>
        <v>4.5887062086981616E-2</v>
      </c>
      <c r="AC157" s="66" t="str">
        <f t="shared" si="139"/>
        <v>-0.139906718383072-3.7820069536387i</v>
      </c>
      <c r="AD157" s="64">
        <f t="shared" si="140"/>
        <v>11.560385548940877</v>
      </c>
      <c r="AE157" s="61">
        <f t="shared" si="141"/>
        <v>-92.118560602528461</v>
      </c>
      <c r="AF157" s="31" t="str">
        <f t="shared" si="127"/>
        <v>-0.000495863624968664</v>
      </c>
      <c r="AG157" s="31" t="str">
        <f t="shared" si="128"/>
        <v>0.000340425085985024i</v>
      </c>
      <c r="AH157" s="31">
        <f t="shared" si="142"/>
        <v>3.40425085985024E-4</v>
      </c>
      <c r="AI157" s="31">
        <f t="shared" si="143"/>
        <v>1.5707963267948966</v>
      </c>
      <c r="AJ157" s="31" t="str">
        <f t="shared" si="129"/>
        <v>1+0.00132823403399874i</v>
      </c>
      <c r="AK157" s="31">
        <f t="shared" si="144"/>
        <v>1.0000008821024355</v>
      </c>
      <c r="AL157" s="31">
        <f t="shared" si="145"/>
        <v>1.3282332529069047E-3</v>
      </c>
      <c r="AM157" s="31" t="str">
        <f t="shared" si="130"/>
        <v>1+0.407177522200281i</v>
      </c>
      <c r="AN157" s="31">
        <f t="shared" si="146"/>
        <v>1.0797191924686531</v>
      </c>
      <c r="AO157" s="31">
        <f t="shared" si="147"/>
        <v>0.38667854152372499</v>
      </c>
      <c r="AP157" s="58" t="str">
        <f t="shared" si="148"/>
        <v>-0.591159560407401+1.45738650462282i</v>
      </c>
      <c r="AQ157" s="49">
        <f t="shared" si="149"/>
        <v>3.9330226648130817</v>
      </c>
      <c r="AR157" s="61">
        <f t="shared" si="150"/>
        <v>112.07894629798309</v>
      </c>
      <c r="AS157" s="58" t="str">
        <f t="shared" si="151"/>
        <v>5.59455308876008+2.03187140489323i</v>
      </c>
      <c r="AT157" s="64">
        <f t="shared" si="152"/>
        <v>15.49340821375395</v>
      </c>
      <c r="AU157" s="61">
        <f t="shared" si="153"/>
        <v>19.960385695454615</v>
      </c>
    </row>
    <row r="158" spans="14:47" x14ac:dyDescent="0.25">
      <c r="N158" s="10">
        <v>40</v>
      </c>
      <c r="O158" s="50">
        <f t="shared" si="121"/>
        <v>251.18864315095806</v>
      </c>
      <c r="P158" s="48" t="str">
        <f t="shared" si="122"/>
        <v>304.285714285714</v>
      </c>
      <c r="Q158" s="17" t="str">
        <f t="shared" si="123"/>
        <v>1+82.182502382204i</v>
      </c>
      <c r="R158" s="17">
        <f t="shared" si="131"/>
        <v>82.188586177163103</v>
      </c>
      <c r="S158" s="17">
        <f t="shared" si="132"/>
        <v>1.5586288869912424</v>
      </c>
      <c r="T158" s="17" t="str">
        <f t="shared" si="124"/>
        <v>1+0.0017045259753346i</v>
      </c>
      <c r="U158" s="17">
        <f t="shared" si="133"/>
        <v>1.0000014527033452</v>
      </c>
      <c r="V158" s="17">
        <f t="shared" si="134"/>
        <v>1.7045243245558878E-3</v>
      </c>
      <c r="W158" s="31" t="str">
        <f t="shared" si="125"/>
        <v>1-0.00532664367292063i</v>
      </c>
      <c r="X158" s="17">
        <f t="shared" si="135"/>
        <v>1.0000141864657812</v>
      </c>
      <c r="Y158" s="17">
        <f t="shared" si="136"/>
        <v>-5.3265932959221029E-3</v>
      </c>
      <c r="Z158" s="31" t="str">
        <f t="shared" si="126"/>
        <v>0.999996038302694+0.046988716213402i</v>
      </c>
      <c r="AA158" s="17">
        <f t="shared" si="137"/>
        <v>1.0010994036919945</v>
      </c>
      <c r="AB158" s="17">
        <f t="shared" si="138"/>
        <v>4.6954364954164468E-2</v>
      </c>
      <c r="AC158" s="66" t="str">
        <f t="shared" si="139"/>
        <v>-0.142012243775919-3.69555114867574i</v>
      </c>
      <c r="AD158" s="64">
        <f t="shared" si="140"/>
        <v>11.35999285999098</v>
      </c>
      <c r="AE158" s="61">
        <f t="shared" si="141"/>
        <v>-92.200673258526308</v>
      </c>
      <c r="AF158" s="31" t="str">
        <f t="shared" si="127"/>
        <v>-0.000495863624968664</v>
      </c>
      <c r="AG158" s="31" t="str">
        <f t="shared" si="128"/>
        <v>0.000348354604885048i</v>
      </c>
      <c r="AH158" s="31">
        <f t="shared" si="142"/>
        <v>3.4835460488504802E-4</v>
      </c>
      <c r="AI158" s="31">
        <f t="shared" si="143"/>
        <v>1.5707963267948966</v>
      </c>
      <c r="AJ158" s="31" t="str">
        <f t="shared" si="129"/>
        <v>1+0.00135917257909971i</v>
      </c>
      <c r="AK158" s="31">
        <f t="shared" si="144"/>
        <v>1.0000009236746232</v>
      </c>
      <c r="AL158" s="31">
        <f t="shared" si="145"/>
        <v>1.3591717421447711E-3</v>
      </c>
      <c r="AM158" s="31" t="str">
        <f t="shared" si="130"/>
        <v>1+0.416661905081791i</v>
      </c>
      <c r="AN158" s="31">
        <f t="shared" si="146"/>
        <v>1.0833315019634513</v>
      </c>
      <c r="AO158" s="31">
        <f t="shared" si="147"/>
        <v>0.39478706248448803</v>
      </c>
      <c r="AP158" s="58" t="str">
        <f t="shared" si="148"/>
        <v>-0.591159511255862+1.42424850048024i</v>
      </c>
      <c r="AQ158" s="49">
        <f t="shared" si="149"/>
        <v>3.7620333212258172</v>
      </c>
      <c r="AR158" s="61">
        <f t="shared" si="150"/>
        <v>112.54175768227049</v>
      </c>
      <c r="AS158" s="58" t="str">
        <f t="shared" si="151"/>
        <v>5.34733507057237+1.9823994856245i</v>
      </c>
      <c r="AT158" s="64">
        <f t="shared" si="152"/>
        <v>15.122026181216793</v>
      </c>
      <c r="AU158" s="61">
        <f t="shared" si="153"/>
        <v>20.341084423744167</v>
      </c>
    </row>
    <row r="159" spans="14:47" x14ac:dyDescent="0.25">
      <c r="N159" s="10">
        <v>41</v>
      </c>
      <c r="O159" s="50">
        <f t="shared" si="121"/>
        <v>257.03957827688663</v>
      </c>
      <c r="P159" s="48" t="str">
        <f t="shared" si="122"/>
        <v>304.285714285714</v>
      </c>
      <c r="Q159" s="17" t="str">
        <f t="shared" si="123"/>
        <v>1+84.0967787758056i</v>
      </c>
      <c r="R159" s="17">
        <f t="shared" si="131"/>
        <v>84.102724096587906</v>
      </c>
      <c r="S159" s="17">
        <f t="shared" si="132"/>
        <v>1.5589058253261878</v>
      </c>
      <c r="T159" s="17" t="str">
        <f t="shared" si="124"/>
        <v>1+0.00174422948572041i</v>
      </c>
      <c r="U159" s="17">
        <f t="shared" si="133"/>
        <v>1.0000015211670925</v>
      </c>
      <c r="V159" s="17">
        <f t="shared" si="134"/>
        <v>1.7442277168792965E-3</v>
      </c>
      <c r="W159" s="31" t="str">
        <f t="shared" si="125"/>
        <v>1-0.00545071714287628i</v>
      </c>
      <c r="X159" s="17">
        <f t="shared" si="135"/>
        <v>1.0000148550483496</v>
      </c>
      <c r="Y159" s="17">
        <f t="shared" si="136"/>
        <v>-5.4506631629931265E-3</v>
      </c>
      <c r="Z159" s="31" t="str">
        <f t="shared" si="126"/>
        <v>0.999995851593652+0.0480832240174432i</v>
      </c>
      <c r="AA159" s="17">
        <f t="shared" si="137"/>
        <v>1.0011511872022252</v>
      </c>
      <c r="AB159" s="17">
        <f t="shared" si="138"/>
        <v>4.8046418265501836E-2</v>
      </c>
      <c r="AC159" s="66" t="str">
        <f t="shared" si="139"/>
        <v>-0.144021339584169-3.61105252845587i</v>
      </c>
      <c r="AD159" s="64">
        <f t="shared" si="140"/>
        <v>11.159578918079969</v>
      </c>
      <c r="AE159" s="61">
        <f t="shared" si="141"/>
        <v>-92.283944544982418</v>
      </c>
      <c r="AF159" s="31" t="str">
        <f t="shared" si="127"/>
        <v>-0.000495863624968664</v>
      </c>
      <c r="AG159" s="31" t="str">
        <f t="shared" si="128"/>
        <v>0.000356468826007601i</v>
      </c>
      <c r="AH159" s="31">
        <f t="shared" si="142"/>
        <v>3.56468826007601E-4</v>
      </c>
      <c r="AI159" s="31">
        <f t="shared" si="143"/>
        <v>1.5707963267948966</v>
      </c>
      <c r="AJ159" s="31" t="str">
        <f t="shared" si="129"/>
        <v>1+0.00139083177549289i</v>
      </c>
      <c r="AK159" s="31">
        <f t="shared" si="144"/>
        <v>1.0000009672060461</v>
      </c>
      <c r="AL159" s="31">
        <f t="shared" si="145"/>
        <v>1.3908308786795623E-3</v>
      </c>
      <c r="AM159" s="31" t="str">
        <f t="shared" si="130"/>
        <v>1+0.426367207620544i</v>
      </c>
      <c r="AN159" s="31">
        <f t="shared" si="146"/>
        <v>1.0871011892800688</v>
      </c>
      <c r="AO159" s="31">
        <f t="shared" si="147"/>
        <v>0.40302811441639824</v>
      </c>
      <c r="AP159" s="58" t="str">
        <f t="shared" si="148"/>
        <v>-0.59115945978788+1.39186565173848i</v>
      </c>
      <c r="AQ159" s="49">
        <f t="shared" si="149"/>
        <v>3.5922049185564338</v>
      </c>
      <c r="AR159" s="61">
        <f t="shared" si="150"/>
        <v>113.01212124181048</v>
      </c>
      <c r="AS159" s="58" t="str">
        <f t="shared" si="151"/>
        <v>5.11123955828762+1.93424950630306i</v>
      </c>
      <c r="AT159" s="64">
        <f t="shared" si="152"/>
        <v>14.751783836636399</v>
      </c>
      <c r="AU159" s="61">
        <f t="shared" si="153"/>
        <v>20.72817669682804</v>
      </c>
    </row>
    <row r="160" spans="14:47" x14ac:dyDescent="0.25">
      <c r="N160" s="10">
        <v>42</v>
      </c>
      <c r="O160" s="50">
        <f t="shared" si="121"/>
        <v>263.02679918953817</v>
      </c>
      <c r="P160" s="48" t="str">
        <f t="shared" si="122"/>
        <v>304.285714285714</v>
      </c>
      <c r="Q160" s="17" t="str">
        <f t="shared" si="123"/>
        <v>1+86.0556443946666i</v>
      </c>
      <c r="R160" s="17">
        <f t="shared" si="131"/>
        <v>86.061454392668225</v>
      </c>
      <c r="S160" s="17">
        <f t="shared" si="132"/>
        <v>1.5591764615374899</v>
      </c>
      <c r="T160" s="17" t="str">
        <f t="shared" si="124"/>
        <v>1+0.00178485780966715i</v>
      </c>
      <c r="U160" s="17">
        <f t="shared" si="133"/>
        <v>1.0000015928574317</v>
      </c>
      <c r="V160" s="17">
        <f t="shared" si="134"/>
        <v>1.7848559143199122E-3</v>
      </c>
      <c r="W160" s="31" t="str">
        <f t="shared" si="125"/>
        <v>1-0.00557768065520986i</v>
      </c>
      <c r="X160" s="17">
        <f t="shared" si="135"/>
        <v>1.0000155551397645</v>
      </c>
      <c r="Y160" s="17">
        <f t="shared" si="136"/>
        <v>-5.5776228147715583E-3</v>
      </c>
      <c r="Z160" s="31" t="str">
        <f t="shared" si="126"/>
        <v>0.999995656085284+0.0492032261833152i</v>
      </c>
      <c r="AA160" s="17">
        <f t="shared" si="137"/>
        <v>1.0012054083235287</v>
      </c>
      <c r="AB160" s="17">
        <f t="shared" si="138"/>
        <v>4.9163790673541215E-2</v>
      </c>
      <c r="AC160" s="66" t="str">
        <f t="shared" si="139"/>
        <v>-0.145938264182174-3.52846645172719i</v>
      </c>
      <c r="AD160" s="64">
        <f t="shared" si="140"/>
        <v>10.959142851572112</v>
      </c>
      <c r="AE160" s="61">
        <f t="shared" si="141"/>
        <v>-92.368418008771243</v>
      </c>
      <c r="AF160" s="31" t="str">
        <f t="shared" si="127"/>
        <v>-0.000495863624968664</v>
      </c>
      <c r="AG160" s="31" t="str">
        <f t="shared" si="128"/>
        <v>0.000364772051620125i</v>
      </c>
      <c r="AH160" s="31">
        <f t="shared" si="142"/>
        <v>3.6477205162012497E-4</v>
      </c>
      <c r="AI160" s="31">
        <f t="shared" si="143"/>
        <v>1.5707963267948966</v>
      </c>
      <c r="AJ160" s="31" t="str">
        <f t="shared" si="129"/>
        <v>1+0.00142322840930327i</v>
      </c>
      <c r="AK160" s="31">
        <f t="shared" si="144"/>
        <v>1.0000010127890397</v>
      </c>
      <c r="AL160" s="31">
        <f t="shared" si="145"/>
        <v>1.4232274483505288E-3</v>
      </c>
      <c r="AM160" s="31" t="str">
        <f t="shared" si="130"/>
        <v>1+0.436298575696415i</v>
      </c>
      <c r="AN160" s="31">
        <f t="shared" si="146"/>
        <v>1.0910345765165834</v>
      </c>
      <c r="AO160" s="31">
        <f t="shared" si="147"/>
        <v>0.41140158825904027</v>
      </c>
      <c r="AP160" s="58" t="str">
        <f t="shared" si="148"/>
        <v>-0.591159405894297+1.36022078858204i</v>
      </c>
      <c r="AQ160" s="49">
        <f t="shared" si="149"/>
        <v>3.4235753904270583</v>
      </c>
      <c r="AR160" s="61">
        <f t="shared" si="150"/>
        <v>113.4900297661441</v>
      </c>
      <c r="AS160" s="58" t="str">
        <f t="shared" si="151"/>
        <v>4.88576619700481+1.88737787053083i</v>
      </c>
      <c r="AT160" s="64">
        <f t="shared" si="152"/>
        <v>14.382718241999168</v>
      </c>
      <c r="AU160" s="61">
        <f t="shared" si="153"/>
        <v>21.121611757372822</v>
      </c>
    </row>
    <row r="161" spans="14:47" x14ac:dyDescent="0.25">
      <c r="N161" s="10">
        <v>43</v>
      </c>
      <c r="O161" s="50">
        <f t="shared" si="121"/>
        <v>269.15348039269179</v>
      </c>
      <c r="P161" s="48" t="str">
        <f t="shared" si="122"/>
        <v>304.285714285714</v>
      </c>
      <c r="Q161" s="17" t="str">
        <f t="shared" si="123"/>
        <v>1+88.060137855267i</v>
      </c>
      <c r="R161" s="17">
        <f t="shared" si="131"/>
        <v>88.065815610193653</v>
      </c>
      <c r="S161" s="17">
        <f t="shared" si="132"/>
        <v>1.5594409389613793</v>
      </c>
      <c r="T161" s="17" t="str">
        <f t="shared" si="124"/>
        <v>1+0.00182643248884998i</v>
      </c>
      <c r="U161" s="17">
        <f t="shared" si="133"/>
        <v>1.0000016679264272</v>
      </c>
      <c r="V161" s="17">
        <f t="shared" si="134"/>
        <v>1.8264304579490075E-3</v>
      </c>
      <c r="W161" s="31" t="str">
        <f t="shared" si="125"/>
        <v>1-0.00570760152765619i</v>
      </c>
      <c r="X161" s="17">
        <f t="shared" si="135"/>
        <v>1.0000162882249461</v>
      </c>
      <c r="Y161" s="17">
        <f t="shared" si="136"/>
        <v>-5.7075395505644475E-3</v>
      </c>
      <c r="Z161" s="31" t="str">
        <f t="shared" si="126"/>
        <v>0.99999545136289+0.0503493165509914i</v>
      </c>
      <c r="AA161" s="17">
        <f t="shared" si="137"/>
        <v>1.0012621816605389</v>
      </c>
      <c r="AB161" s="17">
        <f t="shared" si="138"/>
        <v>5.0307063517328283E-2</v>
      </c>
      <c r="AC161" s="66" t="str">
        <f t="shared" si="139"/>
        <v>-0.147767080818433-3.4477492813465i</v>
      </c>
      <c r="AD161" s="64">
        <f t="shared" si="140"/>
        <v>10.7586837425219</v>
      </c>
      <c r="AE161" s="61">
        <f t="shared" si="141"/>
        <v>-92.454137792481433</v>
      </c>
      <c r="AF161" s="31" t="str">
        <f t="shared" si="127"/>
        <v>-0.000495863624968664</v>
      </c>
      <c r="AG161" s="31" t="str">
        <f t="shared" si="128"/>
        <v>0.000373268684202747i</v>
      </c>
      <c r="AH161" s="31">
        <f t="shared" si="142"/>
        <v>3.7326868420274698E-4</v>
      </c>
      <c r="AI161" s="31">
        <f t="shared" si="143"/>
        <v>1.5707963267948966</v>
      </c>
      <c r="AJ161" s="31" t="str">
        <f t="shared" si="129"/>
        <v>1+0.00145637965765493i</v>
      </c>
      <c r="AK161" s="31">
        <f t="shared" si="144"/>
        <v>1.0000010605202911</v>
      </c>
      <c r="AL161" s="31">
        <f t="shared" si="145"/>
        <v>1.4563786279755751E-3</v>
      </c>
      <c r="AM161" s="31" t="str">
        <f t="shared" si="130"/>
        <v>1+0.446461275052217i</v>
      </c>
      <c r="AN161" s="31">
        <f t="shared" si="146"/>
        <v>1.0951381968141058</v>
      </c>
      <c r="AO161" s="31">
        <f t="shared" si="147"/>
        <v>0.41990722583496704</v>
      </c>
      <c r="AP161" s="58" t="str">
        <f t="shared" si="148"/>
        <v>-0.591159349460807+1.32929713248512i</v>
      </c>
      <c r="AQ161" s="49">
        <f t="shared" si="149"/>
        <v>3.2561832264936292</v>
      </c>
      <c r="AR161" s="61">
        <f t="shared" si="150"/>
        <v>113.97546747863434</v>
      </c>
      <c r="AS161" s="58" t="str">
        <f t="shared" si="151"/>
        <v>4.67043712458988+1.84174286545712i</v>
      </c>
      <c r="AT161" s="64">
        <f t="shared" si="152"/>
        <v>14.014866969015522</v>
      </c>
      <c r="AU161" s="61">
        <f t="shared" si="153"/>
        <v>21.521329686152917</v>
      </c>
    </row>
    <row r="162" spans="14:47" x14ac:dyDescent="0.25">
      <c r="N162" s="10">
        <v>44</v>
      </c>
      <c r="O162" s="50">
        <f t="shared" si="121"/>
        <v>275.42287033381683</v>
      </c>
      <c r="P162" s="48" t="str">
        <f t="shared" si="122"/>
        <v>304.285714285714</v>
      </c>
      <c r="Q162" s="17" t="str">
        <f t="shared" si="123"/>
        <v>1+90.1113219665721i</v>
      </c>
      <c r="R162" s="17">
        <f t="shared" si="131"/>
        <v>90.116870488068002</v>
      </c>
      <c r="S162" s="17">
        <f t="shared" si="132"/>
        <v>1.5596993976792037</v>
      </c>
      <c r="T162" s="17" t="str">
        <f t="shared" si="124"/>
        <v>1+0.00186897556671408i</v>
      </c>
      <c r="U162" s="17">
        <f t="shared" si="133"/>
        <v>1.0000017465333093</v>
      </c>
      <c r="V162" s="17">
        <f t="shared" si="134"/>
        <v>1.868973390564686E-3</v>
      </c>
      <c r="W162" s="31" t="str">
        <f t="shared" si="125"/>
        <v>1-0.00584054864598152i</v>
      </c>
      <c r="X162" s="17">
        <f t="shared" si="135"/>
        <v>1.000017055858792</v>
      </c>
      <c r="Y162" s="17">
        <f t="shared" si="136"/>
        <v>-5.8404822363924084E-3</v>
      </c>
      <c r="Z162" s="31" t="str">
        <f t="shared" si="126"/>
        <v>0.999995236992228+0.051522102792755i</v>
      </c>
      <c r="AA162" s="17">
        <f t="shared" si="137"/>
        <v>1.001321627192447</v>
      </c>
      <c r="AB162" s="17">
        <f t="shared" si="138"/>
        <v>5.1476831078286829E-2</v>
      </c>
      <c r="AC162" s="66" t="str">
        <f t="shared" si="139"/>
        <v>-0.149511666210432-3.36885836186209i</v>
      </c>
      <c r="AD162" s="64">
        <f t="shared" si="140"/>
        <v>10.558200624786028</v>
      </c>
      <c r="AE162" s="61">
        <f t="shared" si="141"/>
        <v>-92.541148654773451</v>
      </c>
      <c r="AF162" s="31" t="str">
        <f t="shared" si="127"/>
        <v>-0.000495863624968664</v>
      </c>
      <c r="AG162" s="31" t="str">
        <f t="shared" si="128"/>
        <v>0.000381963228782529i</v>
      </c>
      <c r="AH162" s="31">
        <f t="shared" si="142"/>
        <v>3.8196322878252897E-4</v>
      </c>
      <c r="AI162" s="31">
        <f t="shared" si="143"/>
        <v>1.5707963267948966</v>
      </c>
      <c r="AJ162" s="31" t="str">
        <f t="shared" si="129"/>
        <v>1+0.00149030309777853i</v>
      </c>
      <c r="AK162" s="31">
        <f t="shared" si="144"/>
        <v>1.0000011105010451</v>
      </c>
      <c r="AL162" s="31">
        <f t="shared" si="145"/>
        <v>1.4903019944572894E-3</v>
      </c>
      <c r="AM162" s="31" t="str">
        <f t="shared" si="130"/>
        <v>1+0.456860694085665i</v>
      </c>
      <c r="AN162" s="31">
        <f t="shared" si="146"/>
        <v>1.0994187981840384</v>
      </c>
      <c r="AO162" s="31">
        <f t="shared" si="147"/>
        <v>0.4285446131172605</v>
      </c>
      <c r="AP162" s="58" t="str">
        <f t="shared" si="148"/>
        <v>-0.591159290367693+1.29907828731542i</v>
      </c>
      <c r="AQ162" s="49">
        <f t="shared" si="149"/>
        <v>3.0900674245017234</v>
      </c>
      <c r="AR162" s="61">
        <f t="shared" si="150"/>
        <v>114.46840965020343</v>
      </c>
      <c r="AS162" s="58" t="str">
        <f t="shared" si="151"/>
        <v>4.46479596143469+1.79730455927334i</v>
      </c>
      <c r="AT162" s="64">
        <f t="shared" si="152"/>
        <v>13.648268049287761</v>
      </c>
      <c r="AU162" s="61">
        <f t="shared" si="153"/>
        <v>21.927260995429968</v>
      </c>
    </row>
    <row r="163" spans="14:47" x14ac:dyDescent="0.25">
      <c r="N163" s="10">
        <v>45</v>
      </c>
      <c r="O163" s="50">
        <f t="shared" si="121"/>
        <v>281.83829312644554</v>
      </c>
      <c r="P163" s="48" t="str">
        <f t="shared" si="122"/>
        <v>304.285714285714</v>
      </c>
      <c r="Q163" s="17" t="str">
        <f t="shared" si="123"/>
        <v>1+92.210284293548i</v>
      </c>
      <c r="R163" s="17">
        <f t="shared" si="131"/>
        <v>92.215706522787883</v>
      </c>
      <c r="S163" s="17">
        <f t="shared" si="132"/>
        <v>1.5599519745909953</v>
      </c>
      <c r="T163" s="17" t="str">
        <f t="shared" si="124"/>
        <v>1+0.00191250960016247i</v>
      </c>
      <c r="U163" s="17">
        <f t="shared" si="133"/>
        <v>1.0000018288448129</v>
      </c>
      <c r="V163" s="17">
        <f t="shared" si="134"/>
        <v>1.9125072683766138E-3</v>
      </c>
      <c r="W163" s="31" t="str">
        <f t="shared" si="125"/>
        <v>1-0.00597659250050773i</v>
      </c>
      <c r="X163" s="17">
        <f t="shared" si="135"/>
        <v>1.0000178596694747</v>
      </c>
      <c r="Y163" s="17">
        <f t="shared" si="136"/>
        <v>-5.9765213414195812E-3</v>
      </c>
      <c r="Z163" s="31" t="str">
        <f t="shared" si="126"/>
        <v>0.999995012518587+0.0527222067353949i</v>
      </c>
      <c r="AA163" s="17">
        <f t="shared" si="137"/>
        <v>1.0013838705237359</v>
      </c>
      <c r="AB163" s="17">
        <f t="shared" si="138"/>
        <v>5.2673700839269116E-2</v>
      </c>
      <c r="AC163" s="66" t="str">
        <f t="shared" si="139"/>
        <v>-0.151175718746851-3.29175199757302i</v>
      </c>
      <c r="AD163" s="64">
        <f t="shared" si="140"/>
        <v>10.357692482038892</v>
      </c>
      <c r="AE163" s="61">
        <f t="shared" si="141"/>
        <v>-92.62949599085502</v>
      </c>
      <c r="AF163" s="31" t="str">
        <f t="shared" si="127"/>
        <v>-0.000495863624968664</v>
      </c>
      <c r="AG163" s="31" t="str">
        <f t="shared" si="128"/>
        <v>0.000390860295322093i</v>
      </c>
      <c r="AH163" s="31">
        <f t="shared" si="142"/>
        <v>3.9086029532209299E-4</v>
      </c>
      <c r="AI163" s="31">
        <f t="shared" si="143"/>
        <v>1.5707963267948966</v>
      </c>
      <c r="AJ163" s="31" t="str">
        <f t="shared" si="129"/>
        <v>1+0.00152501671633107i</v>
      </c>
      <c r="AK163" s="31">
        <f t="shared" si="144"/>
        <v>1.0000011628373164</v>
      </c>
      <c r="AL163" s="31">
        <f t="shared" si="145"/>
        <v>1.5250155341011349E-3</v>
      </c>
      <c r="AM163" s="31" t="str">
        <f t="shared" si="130"/>
        <v>1+0.467502346706382i</v>
      </c>
      <c r="AN163" s="31">
        <f t="shared" si="146"/>
        <v>1.1038833471775784</v>
      </c>
      <c r="AO163" s="31">
        <f t="shared" si="147"/>
        <v>0.43731317362447042</v>
      </c>
      <c r="AP163" s="58" t="str">
        <f t="shared" si="148"/>
        <v>-0.59115922848962+1.26954823064069i</v>
      </c>
      <c r="AQ163" s="49">
        <f t="shared" si="149"/>
        <v>2.925267437537717</v>
      </c>
      <c r="AR163" s="61">
        <f t="shared" si="150"/>
        <v>114.96882222035809</v>
      </c>
      <c r="AS163" s="58" t="str">
        <f t="shared" si="151"/>
        <v>4.26840684548754+1.75402470501353i</v>
      </c>
      <c r="AT163" s="64">
        <f t="shared" si="152"/>
        <v>13.282959919576614</v>
      </c>
      <c r="AU163" s="61">
        <f t="shared" si="153"/>
        <v>22.33932622950304</v>
      </c>
    </row>
    <row r="164" spans="14:47" x14ac:dyDescent="0.25">
      <c r="N164" s="10">
        <v>46</v>
      </c>
      <c r="O164" s="50">
        <f t="shared" si="121"/>
        <v>288.40315031266073</v>
      </c>
      <c r="P164" s="48" t="str">
        <f t="shared" si="122"/>
        <v>304.285714285714</v>
      </c>
      <c r="Q164" s="17" t="str">
        <f t="shared" si="123"/>
        <v>1+94.3581377338038i</v>
      </c>
      <c r="R164" s="17">
        <f t="shared" si="131"/>
        <v>94.363436545048998</v>
      </c>
      <c r="S164" s="17">
        <f t="shared" si="132"/>
        <v>1.5601988034873966</v>
      </c>
      <c r="T164" s="17" t="str">
        <f t="shared" si="124"/>
        <v>1+0.00195705767151593i</v>
      </c>
      <c r="U164" s="17">
        <f t="shared" si="133"/>
        <v>1.000001915035531</v>
      </c>
      <c r="V164" s="17">
        <f t="shared" si="134"/>
        <v>1.9570551729626278E-3</v>
      </c>
      <c r="W164" s="31" t="str">
        <f t="shared" si="125"/>
        <v>1-0.00611580522348727i</v>
      </c>
      <c r="X164" s="17">
        <f t="shared" si="135"/>
        <v>1.0000187013618953</v>
      </c>
      <c r="Y164" s="17">
        <f t="shared" si="136"/>
        <v>-6.1157289752275879E-3</v>
      </c>
      <c r="Z164" s="31" t="str">
        <f t="shared" si="126"/>
        <v>0.99999477746583+0.0539502646899068i</v>
      </c>
      <c r="AA164" s="17">
        <f t="shared" si="137"/>
        <v>1.0014490431465026</v>
      </c>
      <c r="AB164" s="17">
        <f t="shared" si="138"/>
        <v>5.3898293746655383E-2</v>
      </c>
      <c r="AC164" s="66" t="str">
        <f t="shared" si="139"/>
        <v>-0.152762766314357-3.21638943105636i</v>
      </c>
      <c r="AD164" s="64">
        <f t="shared" si="140"/>
        <v>10.15715824568764</v>
      </c>
      <c r="AE164" s="61">
        <f t="shared" si="141"/>
        <v>-92.719225853069844</v>
      </c>
      <c r="AF164" s="31" t="str">
        <f t="shared" si="127"/>
        <v>-0.000495863624968664</v>
      </c>
      <c r="AG164" s="31" t="str">
        <f t="shared" si="128"/>
        <v>0.000399964601163883i</v>
      </c>
      <c r="AH164" s="31">
        <f t="shared" si="142"/>
        <v>3.9996460116388299E-4</v>
      </c>
      <c r="AI164" s="31">
        <f t="shared" si="143"/>
        <v>1.5707963267948966</v>
      </c>
      <c r="AJ164" s="31" t="str">
        <f t="shared" si="129"/>
        <v>1+0.00156053891893259i</v>
      </c>
      <c r="AK164" s="31">
        <f t="shared" si="144"/>
        <v>1.0000012176401174</v>
      </c>
      <c r="AL164" s="31">
        <f t="shared" si="145"/>
        <v>1.5605376521504748E-3</v>
      </c>
      <c r="AM164" s="31" t="str">
        <f t="shared" si="130"/>
        <v>1+0.478391875259448i</v>
      </c>
      <c r="AN164" s="31">
        <f t="shared" si="146"/>
        <v>1.1085390323819235</v>
      </c>
      <c r="AO164" s="31">
        <f t="shared" si="147"/>
        <v>0.44621216198702779</v>
      </c>
      <c r="AP164" s="58" t="str">
        <f t="shared" si="148"/>
        <v>-0.591159163695338+1.24069130523341i</v>
      </c>
      <c r="AQ164" s="49">
        <f t="shared" si="149"/>
        <v>2.7618231163909068</v>
      </c>
      <c r="AR164" s="61">
        <f t="shared" si="150"/>
        <v>115.47666142802505</v>
      </c>
      <c r="AS164" s="58" t="str">
        <f t="shared" si="151"/>
        <v>4.08085351053444+1.71186665025218i</v>
      </c>
      <c r="AT164" s="64">
        <f t="shared" si="152"/>
        <v>12.918981362078547</v>
      </c>
      <c r="AU164" s="61">
        <f t="shared" si="153"/>
        <v>22.757435574955274</v>
      </c>
    </row>
    <row r="165" spans="14:47" x14ac:dyDescent="0.25">
      <c r="N165" s="10">
        <v>47</v>
      </c>
      <c r="O165" s="50">
        <f t="shared" si="121"/>
        <v>295.12092266663871</v>
      </c>
      <c r="P165" s="48" t="str">
        <f t="shared" si="122"/>
        <v>304.285714285714</v>
      </c>
      <c r="Q165" s="17" t="str">
        <f t="shared" si="123"/>
        <v>1+96.5560211076635i</v>
      </c>
      <c r="R165" s="17">
        <f t="shared" si="131"/>
        <v>96.561199309782594</v>
      </c>
      <c r="S165" s="17">
        <f t="shared" si="132"/>
        <v>1.5604400151199826</v>
      </c>
      <c r="T165" s="17" t="str">
        <f t="shared" si="124"/>
        <v>1+0.00200264340075153i</v>
      </c>
      <c r="U165" s="17">
        <f t="shared" si="133"/>
        <v>1.0000020052882848</v>
      </c>
      <c r="V165" s="17">
        <f t="shared" si="134"/>
        <v>2.0026407235037218E-3</v>
      </c>
      <c r="W165" s="31" t="str">
        <f t="shared" si="125"/>
        <v>1-0.00625826062734855i</v>
      </c>
      <c r="X165" s="17">
        <f t="shared" si="135"/>
        <v>1.0000195827212985</v>
      </c>
      <c r="Y165" s="17">
        <f t="shared" si="136"/>
        <v>-6.2581789259527187E-3</v>
      </c>
      <c r="Z165" s="31" t="str">
        <f t="shared" si="126"/>
        <v>0.999994531335377+0.0552069277888733i</v>
      </c>
      <c r="AA165" s="17">
        <f t="shared" si="137"/>
        <v>1.0015172827148546</v>
      </c>
      <c r="AB165" s="17">
        <f t="shared" si="138"/>
        <v>5.515124447536645E-2</v>
      </c>
      <c r="AC165" s="66" t="str">
        <f t="shared" si="139"/>
        <v>-0.154276173765437-3.14273082215418i</v>
      </c>
      <c r="AD165" s="64">
        <f t="shared" si="140"/>
        <v>9.9565967926833636</v>
      </c>
      <c r="AE165" s="61">
        <f t="shared" si="141"/>
        <v>-92.810384971595084</v>
      </c>
      <c r="AF165" s="31" t="str">
        <f t="shared" si="127"/>
        <v>-0.000495863624968664</v>
      </c>
      <c r="AG165" s="31" t="str">
        <f t="shared" si="128"/>
        <v>0.000409280973531369i</v>
      </c>
      <c r="AH165" s="31">
        <f t="shared" si="142"/>
        <v>4.09280973531369E-4</v>
      </c>
      <c r="AI165" s="31">
        <f t="shared" si="143"/>
        <v>1.5707963267948966</v>
      </c>
      <c r="AJ165" s="31" t="str">
        <f t="shared" si="129"/>
        <v>1+0.0015968885399251i</v>
      </c>
      <c r="AK165" s="31">
        <f t="shared" si="144"/>
        <v>1.0000012750256917</v>
      </c>
      <c r="AL165" s="31">
        <f t="shared" si="145"/>
        <v>1.5968871825437015E-3</v>
      </c>
      <c r="AM165" s="31" t="str">
        <f t="shared" si="130"/>
        <v>1+0.489535053517042i</v>
      </c>
      <c r="AN165" s="31">
        <f t="shared" si="146"/>
        <v>1.1133932677279548</v>
      </c>
      <c r="AO165" s="31">
        <f t="shared" si="147"/>
        <v>0.45524065773178696</v>
      </c>
      <c r="AP165" s="58" t="str">
        <f t="shared" si="148"/>
        <v>-0.591159095847409+1.21249221076912i</v>
      </c>
      <c r="AQ165" s="49">
        <f t="shared" si="149"/>
        <v>2.599774646972187</v>
      </c>
      <c r="AR165" s="61">
        <f t="shared" si="150"/>
        <v>115.99187345487266</v>
      </c>
      <c r="AS165" s="58" t="str">
        <f t="shared" si="151"/>
        <v>3.90173840579995+1.67079525231859i</v>
      </c>
      <c r="AT165" s="64">
        <f t="shared" si="152"/>
        <v>12.55637143965555</v>
      </c>
      <c r="AU165" s="61">
        <f t="shared" si="153"/>
        <v>23.18148848327753</v>
      </c>
    </row>
    <row r="166" spans="14:47" x14ac:dyDescent="0.25">
      <c r="N166" s="10">
        <v>48</v>
      </c>
      <c r="O166" s="50">
        <f t="shared" si="121"/>
        <v>301.99517204020168</v>
      </c>
      <c r="P166" s="48" t="str">
        <f t="shared" si="122"/>
        <v>304.285714285714</v>
      </c>
      <c r="Q166" s="17" t="str">
        <f t="shared" si="123"/>
        <v>1+98.8050997619846i</v>
      </c>
      <c r="R166" s="17">
        <f t="shared" si="131"/>
        <v>98.810160099939765</v>
      </c>
      <c r="S166" s="17">
        <f t="shared" si="132"/>
        <v>1.5606757372700144</v>
      </c>
      <c r="T166" s="17" t="str">
        <f t="shared" si="124"/>
        <v>1+0.00204929095802634i</v>
      </c>
      <c r="U166" s="17">
        <f t="shared" si="133"/>
        <v>1.0000020997945107</v>
      </c>
      <c r="V166" s="17">
        <f t="shared" si="134"/>
        <v>2.0492880893039538E-3</v>
      </c>
      <c r="W166" s="31" t="str">
        <f t="shared" si="125"/>
        <v>1-0.00640403424383233i</v>
      </c>
      <c r="X166" s="17">
        <f t="shared" si="135"/>
        <v>1.0000205056170579</v>
      </c>
      <c r="Y166" s="17">
        <f t="shared" si="136"/>
        <v>-6.4039466993063834E-3</v>
      </c>
      <c r="Z166" s="31" t="str">
        <f t="shared" si="126"/>
        <v>0.999994273605154+0.0564928623317037i</v>
      </c>
      <c r="AA166" s="17">
        <f t="shared" si="137"/>
        <v>1.0015887333319642</v>
      </c>
      <c r="AB166" s="17">
        <f t="shared" si="138"/>
        <v>5.643320169663614E-2</v>
      </c>
      <c r="AC166" s="66" t="str">
        <f t="shared" si="139"/>
        <v>-0.155719150042973-3.07073722741187i</v>
      </c>
      <c r="AD166" s="64">
        <f t="shared" si="140"/>
        <v>9.7560069432241594</v>
      </c>
      <c r="AE166" s="61">
        <f t="shared" si="141"/>
        <v>-92.903020775241131</v>
      </c>
      <c r="AF166" s="31" t="str">
        <f t="shared" si="127"/>
        <v>-0.000495863624968664</v>
      </c>
      <c r="AG166" s="31" t="str">
        <f t="shared" si="128"/>
        <v>0.000418814352088494i</v>
      </c>
      <c r="AH166" s="31">
        <f t="shared" si="142"/>
        <v>4.1881435208849399E-4</v>
      </c>
      <c r="AI166" s="31">
        <f t="shared" si="143"/>
        <v>1.5707963267948966</v>
      </c>
      <c r="AJ166" s="31" t="str">
        <f t="shared" si="129"/>
        <v>1+0.0016340848523588i</v>
      </c>
      <c r="AK166" s="31">
        <f t="shared" si="144"/>
        <v>1.0000013351157611</v>
      </c>
      <c r="AL166" s="31">
        <f t="shared" si="145"/>
        <v>1.6340833978985318E-3</v>
      </c>
      <c r="AM166" s="31" t="str">
        <f t="shared" si="130"/>
        <v>1+0.500937789739773i</v>
      </c>
      <c r="AN166" s="31">
        <f t="shared" si="146"/>
        <v>1.1184536955946673</v>
      </c>
      <c r="AO166" s="31">
        <f t="shared" si="147"/>
        <v>0.46439755933368365</v>
      </c>
      <c r="AP166" s="58" t="str">
        <f t="shared" si="148"/>
        <v>-0.591159024801923+1.18493599571399i</v>
      </c>
      <c r="AQ166" s="49">
        <f t="shared" si="149"/>
        <v>2.4391624827667799</v>
      </c>
      <c r="AR166" s="61">
        <f t="shared" si="150"/>
        <v>116.5143940839243</v>
      </c>
      <c r="AS166" s="58" t="str">
        <f t="shared" si="151"/>
        <v>3.73068185502169+1.63077679867186i</v>
      </c>
      <c r="AT166" s="64">
        <f t="shared" si="152"/>
        <v>12.195169425990944</v>
      </c>
      <c r="AU166" s="61">
        <f t="shared" si="153"/>
        <v>23.61137330868322</v>
      </c>
    </row>
    <row r="167" spans="14:47" x14ac:dyDescent="0.25">
      <c r="N167" s="10">
        <v>49</v>
      </c>
      <c r="O167" s="50">
        <f t="shared" si="121"/>
        <v>309.02954325135937</v>
      </c>
      <c r="P167" s="48" t="str">
        <f t="shared" si="122"/>
        <v>304.285714285714</v>
      </c>
      <c r="Q167" s="17" t="str">
        <f t="shared" si="123"/>
        <v>1+101.10656618804i</v>
      </c>
      <c r="R167" s="17">
        <f t="shared" si="131"/>
        <v>101.11151134433958</v>
      </c>
      <c r="S167" s="17">
        <f t="shared" si="132"/>
        <v>1.5609060948156526</v>
      </c>
      <c r="T167" s="17" t="str">
        <f t="shared" si="124"/>
        <v>1+0.00209702507649267i</v>
      </c>
      <c r="U167" s="17">
        <f t="shared" si="133"/>
        <v>1.0000021987546686</v>
      </c>
      <c r="V167" s="17">
        <f t="shared" si="134"/>
        <v>2.0970220026016164E-3</v>
      </c>
      <c r="W167" s="31" t="str">
        <f t="shared" si="125"/>
        <v>1-0.0065532033640396i</v>
      </c>
      <c r="X167" s="17">
        <f t="shared" si="135"/>
        <v>1.0000214720066416</v>
      </c>
      <c r="Y167" s="17">
        <f t="shared" si="136"/>
        <v>-6.5531095584987634E-3</v>
      </c>
      <c r="Z167" s="31" t="str">
        <f t="shared" si="126"/>
        <v>0.999994003728479+0.0578087501379138i</v>
      </c>
      <c r="AA167" s="17">
        <f t="shared" si="137"/>
        <v>1.0016635458503125</v>
      </c>
      <c r="AB167" s="17">
        <f t="shared" si="138"/>
        <v>5.7744828348369581E-2</v>
      </c>
      <c r="AC167" s="66" t="str">
        <f t="shared" si="139"/>
        <v>-0.157094754976575-3.0003705799597i</v>
      </c>
      <c r="AD167" s="64">
        <f t="shared" si="140"/>
        <v>9.5553874583462957</v>
      </c>
      <c r="AE167" s="61">
        <f t="shared" si="141"/>
        <v>-92.997181412346649</v>
      </c>
      <c r="AF167" s="31" t="str">
        <f t="shared" si="127"/>
        <v>-0.000495863624968664</v>
      </c>
      <c r="AG167" s="31" t="str">
        <f t="shared" si="128"/>
        <v>0.000428569791558761i</v>
      </c>
      <c r="AH167" s="31">
        <f t="shared" si="142"/>
        <v>4.2856979155876098E-4</v>
      </c>
      <c r="AI167" s="31">
        <f t="shared" si="143"/>
        <v>1.5707963267948966</v>
      </c>
      <c r="AJ167" s="31" t="str">
        <f t="shared" si="129"/>
        <v>1+0.00167214757821089i</v>
      </c>
      <c r="AK167" s="31">
        <f t="shared" si="144"/>
        <v>1.0000013980377844</v>
      </c>
      <c r="AL167" s="31">
        <f t="shared" si="145"/>
        <v>1.6721460197287516E-3</v>
      </c>
      <c r="AM167" s="31" t="str">
        <f t="shared" si="130"/>
        <v>1+0.512606129809319i</v>
      </c>
      <c r="AN167" s="31">
        <f t="shared" si="146"/>
        <v>1.1237281896962843</v>
      </c>
      <c r="AO167" s="31">
        <f t="shared" si="147"/>
        <v>0.47368157858554705</v>
      </c>
      <c r="AP167" s="58" t="str">
        <f t="shared" si="148"/>
        <v>-0.591158950408188+1.15800804939733i</v>
      </c>
      <c r="AQ167" s="49">
        <f t="shared" si="149"/>
        <v>2.2800272723345878</v>
      </c>
      <c r="AR167" s="61">
        <f t="shared" si="150"/>
        <v>117.04414837638632</v>
      </c>
      <c r="AS167" s="58" t="str">
        <f t="shared" si="151"/>
        <v>3.56732125323485+1.59177893210361i</v>
      </c>
      <c r="AT167" s="64">
        <f t="shared" si="152"/>
        <v>11.835414730680881</v>
      </c>
      <c r="AU167" s="61">
        <f t="shared" si="153"/>
        <v>24.046966964039711</v>
      </c>
    </row>
    <row r="168" spans="14:47" x14ac:dyDescent="0.25">
      <c r="N168" s="10">
        <v>50</v>
      </c>
      <c r="O168" s="50">
        <f t="shared" si="121"/>
        <v>316.22776601683825</v>
      </c>
      <c r="P168" s="48" t="str">
        <f t="shared" si="122"/>
        <v>304.285714285714</v>
      </c>
      <c r="Q168" s="17" t="str">
        <f t="shared" si="123"/>
        <v>1+103.461640653791i</v>
      </c>
      <c r="R168" s="17">
        <f t="shared" si="131"/>
        <v>103.46647324990921</v>
      </c>
      <c r="S168" s="17">
        <f t="shared" si="132"/>
        <v>1.5611312097976702</v>
      </c>
      <c r="T168" s="17" t="str">
        <f t="shared" si="124"/>
        <v>1+0.00214587106541196i</v>
      </c>
      <c r="U168" s="17">
        <f t="shared" si="133"/>
        <v>1.0000023023786642</v>
      </c>
      <c r="V168" s="17">
        <f t="shared" si="134"/>
        <v>2.1458677716787635E-3</v>
      </c>
      <c r="W168" s="31" t="str">
        <f t="shared" si="125"/>
        <v>1-0.00670584707941237i</v>
      </c>
      <c r="X168" s="17">
        <f t="shared" si="135"/>
        <v>1.0000224839397625</v>
      </c>
      <c r="Y168" s="17">
        <f t="shared" si="136"/>
        <v>-6.7057465650864796E-3</v>
      </c>
      <c r="Z168" s="31" t="str">
        <f t="shared" si="126"/>
        <v>0.999993721132909+0.0591552889086361i</v>
      </c>
      <c r="AA168" s="17">
        <f t="shared" si="137"/>
        <v>1.0017418781857461</v>
      </c>
      <c r="AB168" s="17">
        <f t="shared" si="138"/>
        <v>5.9086801907896704E-2</v>
      </c>
      <c r="AC168" s="66" t="str">
        <f t="shared" si="139"/>
        <v>-0.158405905764964-2.9315936698291i</v>
      </c>
      <c r="AD168" s="64">
        <f t="shared" si="140"/>
        <v>9.354737037398154</v>
      </c>
      <c r="AE168" s="61">
        <f t="shared" si="141"/>
        <v>-93.092915771760261</v>
      </c>
      <c r="AF168" s="31" t="str">
        <f t="shared" si="127"/>
        <v>-0.000495863624968664</v>
      </c>
      <c r="AG168" s="31" t="str">
        <f t="shared" si="128"/>
        <v>0.000438552464405303i</v>
      </c>
      <c r="AH168" s="31">
        <f t="shared" si="142"/>
        <v>4.3855246440530299E-4</v>
      </c>
      <c r="AI168" s="31">
        <f t="shared" si="143"/>
        <v>1.5707963267948966</v>
      </c>
      <c r="AJ168" s="31" t="str">
        <f t="shared" si="129"/>
        <v>1+0.00171109689884244i</v>
      </c>
      <c r="AK168" s="31">
        <f t="shared" si="144"/>
        <v>1.000001463925227</v>
      </c>
      <c r="AL168" s="31">
        <f t="shared" si="145"/>
        <v>1.7110952288988737E-3</v>
      </c>
      <c r="AM168" s="31" t="str">
        <f t="shared" si="130"/>
        <v>1+0.524546260434034i</v>
      </c>
      <c r="AN168" s="31">
        <f t="shared" si="146"/>
        <v>1.1292248577388515</v>
      </c>
      <c r="AO168" s="31">
        <f t="shared" si="147"/>
        <v>0.48309123533883236</v>
      </c>
      <c r="AP168" s="58" t="str">
        <f t="shared" si="148"/>
        <v>-0.591158872508399+1.13169409426478i</v>
      </c>
      <c r="AQ168" s="49">
        <f t="shared" si="149"/>
        <v>2.1224097819105729</v>
      </c>
      <c r="AR168" s="61">
        <f t="shared" si="150"/>
        <v>117.58105036971546</v>
      </c>
      <c r="AS168" s="58" t="str">
        <f t="shared" si="151"/>
        <v>3.41131029958029+1.55377058045806i</v>
      </c>
      <c r="AT168" s="64">
        <f t="shared" si="152"/>
        <v>11.477146819308723</v>
      </c>
      <c r="AU168" s="61">
        <f t="shared" si="153"/>
        <v>24.488134597955245</v>
      </c>
    </row>
    <row r="169" spans="14:47" x14ac:dyDescent="0.25">
      <c r="N169" s="10">
        <v>51</v>
      </c>
      <c r="O169" s="50">
        <f t="shared" si="121"/>
        <v>323.59365692962825</v>
      </c>
      <c r="P169" s="48" t="str">
        <f t="shared" si="122"/>
        <v>304.285714285714</v>
      </c>
      <c r="Q169" s="17" t="str">
        <f t="shared" si="123"/>
        <v>1+105.871571850894i</v>
      </c>
      <c r="R169" s="17">
        <f t="shared" si="131"/>
        <v>105.8762944486584</v>
      </c>
      <c r="S169" s="17">
        <f t="shared" si="132"/>
        <v>1.5613512014836932</v>
      </c>
      <c r="T169" s="17" t="str">
        <f t="shared" si="124"/>
        <v>1+0.00219585482357409i</v>
      </c>
      <c r="U169" s="17">
        <f t="shared" si="133"/>
        <v>1.0000024108862968</v>
      </c>
      <c r="V169" s="17">
        <f t="shared" si="134"/>
        <v>2.1958512942758432E-3</v>
      </c>
      <c r="W169" s="31" t="str">
        <f t="shared" si="125"/>
        <v>1-0.00686204632366904i</v>
      </c>
      <c r="X169" s="17">
        <f t="shared" si="135"/>
        <v>1.0000235435627245</v>
      </c>
      <c r="Y169" s="17">
        <f t="shared" si="136"/>
        <v>-6.8619386207653425E-3</v>
      </c>
      <c r="Z169" s="31" t="str">
        <f t="shared" si="126"/>
        <v>0.999993425219019+0.0605331925965507i</v>
      </c>
      <c r="AA169" s="17">
        <f t="shared" si="137"/>
        <v>1.0018238956459349</v>
      </c>
      <c r="AB169" s="17">
        <f t="shared" si="138"/>
        <v>6.0459814666907065E-2</v>
      </c>
      <c r="AC169" s="66" t="str">
        <f t="shared" si="139"/>
        <v>-0.159655383158147-2.86437012469613i</v>
      </c>
      <c r="AD169" s="64">
        <f t="shared" si="140"/>
        <v>9.1540543153939637</v>
      </c>
      <c r="AE169" s="61">
        <f t="shared" si="141"/>
        <v>-93.190273503900087</v>
      </c>
      <c r="AF169" s="31" t="str">
        <f t="shared" si="127"/>
        <v>-0.000495863624968664</v>
      </c>
      <c r="AG169" s="31" t="str">
        <f t="shared" si="128"/>
        <v>0.000448767663573402i</v>
      </c>
      <c r="AH169" s="31">
        <f t="shared" si="142"/>
        <v>4.4876766357340199E-4</v>
      </c>
      <c r="AI169" s="31">
        <f t="shared" si="143"/>
        <v>1.5707963267948966</v>
      </c>
      <c r="AJ169" s="31" t="str">
        <f t="shared" si="129"/>
        <v>1+0.0017509534656988i</v>
      </c>
      <c r="AK169" s="31">
        <f t="shared" si="144"/>
        <v>1.0000015329178447</v>
      </c>
      <c r="AL169" s="31">
        <f t="shared" si="145"/>
        <v>1.7509516763221783E-3</v>
      </c>
      <c r="AM169" s="31" t="str">
        <f t="shared" si="130"/>
        <v>1+0.536764512429222i</v>
      </c>
      <c r="AN169" s="31">
        <f t="shared" si="146"/>
        <v>1.1349520438341791</v>
      </c>
      <c r="AO169" s="31">
        <f t="shared" si="147"/>
        <v>0.4926248526693916</v>
      </c>
      <c r="AP169" s="58" t="str">
        <f t="shared" si="148"/>
        <v>-0.59115879093733+1.10598017830819i</v>
      </c>
      <c r="AQ169" s="49">
        <f t="shared" si="149"/>
        <v>1.9663508132010281</v>
      </c>
      <c r="AR169" s="61">
        <f t="shared" si="150"/>
        <v>118.12500280002538</v>
      </c>
      <c r="AS169" s="58" t="str">
        <f t="shared" si="151"/>
        <v>3.26231826452648+1.51672189057926i</v>
      </c>
      <c r="AT169" s="64">
        <f t="shared" si="152"/>
        <v>11.120405128594978</v>
      </c>
      <c r="AU169" s="61">
        <f t="shared" si="153"/>
        <v>24.934729296125276</v>
      </c>
    </row>
    <row r="170" spans="14:47" x14ac:dyDescent="0.25">
      <c r="N170" s="10">
        <v>52</v>
      </c>
      <c r="O170" s="50">
        <f t="shared" si="121"/>
        <v>331.13112148259137</v>
      </c>
      <c r="P170" s="48" t="str">
        <f t="shared" si="122"/>
        <v>304.285714285714</v>
      </c>
      <c r="Q170" s="17" t="str">
        <f t="shared" si="123"/>
        <v>1+108.337637556768i</v>
      </c>
      <c r="R170" s="17">
        <f t="shared" si="131"/>
        <v>108.34225265971548</v>
      </c>
      <c r="S170" s="17">
        <f t="shared" si="132"/>
        <v>1.5615661864310024</v>
      </c>
      <c r="T170" s="17" t="str">
        <f t="shared" si="124"/>
        <v>1+0.00224700285302927i</v>
      </c>
      <c r="U170" s="17">
        <f t="shared" si="133"/>
        <v>1.0000025245077242</v>
      </c>
      <c r="V170" s="17">
        <f t="shared" si="134"/>
        <v>2.2469990713185803E-3</v>
      </c>
      <c r="W170" s="31" t="str">
        <f t="shared" si="125"/>
        <v>1-0.00702188391571646i</v>
      </c>
      <c r="X170" s="17">
        <f t="shared" si="135"/>
        <v>1.0000246531229746</v>
      </c>
      <c r="Y170" s="17">
        <f t="shared" si="136"/>
        <v>-7.0217685101295751E-3</v>
      </c>
      <c r="Z170" s="31" t="str">
        <f t="shared" si="126"/>
        <v>0.999993115359138+0.0619431917844318i</v>
      </c>
      <c r="AA170" s="17">
        <f t="shared" si="137"/>
        <v>1.0019097712738994</v>
      </c>
      <c r="AB170" s="17">
        <f t="shared" si="138"/>
        <v>6.1864574008325957E-2</v>
      </c>
      <c r="AC170" s="66" t="str">
        <f t="shared" si="139"/>
        <v>-0.16084583735238-2.79866439104369i</v>
      </c>
      <c r="AD170" s="64">
        <f t="shared" si="140"/>
        <v>8.9533378602412643</v>
      </c>
      <c r="AE170" s="61">
        <f t="shared" si="141"/>
        <v>-93.289305041879231</v>
      </c>
      <c r="AF170" s="31" t="str">
        <f t="shared" si="127"/>
        <v>-0.000495863624968664</v>
      </c>
      <c r="AG170" s="31" t="str">
        <f t="shared" si="128"/>
        <v>0.000459220805296869i</v>
      </c>
      <c r="AH170" s="31">
        <f t="shared" si="142"/>
        <v>4.5922080529686899E-4</v>
      </c>
      <c r="AI170" s="31">
        <f t="shared" si="143"/>
        <v>1.5707963267948966</v>
      </c>
      <c r="AJ170" s="31" t="str">
        <f t="shared" si="129"/>
        <v>1+0.00179173841125929i</v>
      </c>
      <c r="AK170" s="31">
        <f t="shared" si="144"/>
        <v>1.0000016051619789</v>
      </c>
      <c r="AL170" s="31">
        <f t="shared" si="145"/>
        <v>1.7917364939078618E-3</v>
      </c>
      <c r="AM170" s="31" t="str">
        <f t="shared" si="130"/>
        <v>1+0.54926736407382i</v>
      </c>
      <c r="AN170" s="31">
        <f t="shared" si="146"/>
        <v>1.1409183306602635</v>
      </c>
      <c r="AO170" s="31">
        <f t="shared" si="147"/>
        <v>0.50228055252330417</v>
      </c>
      <c r="AP170" s="58" t="str">
        <f t="shared" si="148"/>
        <v>-0.59115870552196+1.08085266766804i</v>
      </c>
      <c r="AQ170" s="49">
        <f t="shared" si="149"/>
        <v>1.8118911165148863</v>
      </c>
      <c r="AR170" s="61">
        <f t="shared" si="150"/>
        <v>118.67589685198384</v>
      </c>
      <c r="AS170" s="58" t="str">
        <f t="shared" si="151"/>
        <v>3.12002928996495+1.48060416621417i</v>
      </c>
      <c r="AT170" s="64">
        <f t="shared" si="152"/>
        <v>10.765228976756145</v>
      </c>
      <c r="AU170" s="61">
        <f t="shared" si="153"/>
        <v>25.386591810104591</v>
      </c>
    </row>
    <row r="171" spans="14:47" x14ac:dyDescent="0.25">
      <c r="N171" s="10">
        <v>53</v>
      </c>
      <c r="O171" s="50">
        <f t="shared" si="121"/>
        <v>338.84415613920277</v>
      </c>
      <c r="P171" s="48" t="str">
        <f t="shared" si="122"/>
        <v>304.285714285714</v>
      </c>
      <c r="Q171" s="17" t="str">
        <f t="shared" si="123"/>
        <v>1+110.861145312093i</v>
      </c>
      <c r="R171" s="17">
        <f t="shared" si="131"/>
        <v>110.86565536679517</v>
      </c>
      <c r="S171" s="17">
        <f t="shared" si="132"/>
        <v>1.5617762785479266</v>
      </c>
      <c r="T171" s="17" t="str">
        <f t="shared" si="124"/>
        <v>1+0.0022993422731397i</v>
      </c>
      <c r="U171" s="17">
        <f t="shared" si="133"/>
        <v>1.0000026434839504</v>
      </c>
      <c r="V171" s="17">
        <f t="shared" si="134"/>
        <v>2.2993382209642674E-3</v>
      </c>
      <c r="W171" s="31" t="str">
        <f t="shared" si="125"/>
        <v>1-0.00718544460356157i</v>
      </c>
      <c r="X171" s="17">
        <f t="shared" si="135"/>
        <v>1.000025814973869</v>
      </c>
      <c r="Y171" s="17">
        <f t="shared" si="136"/>
        <v>-7.1853209444196963E-3</v>
      </c>
      <c r="Z171" s="31" t="str">
        <f t="shared" si="126"/>
        <v>0.99999279089601+0.0633860340725116i</v>
      </c>
      <c r="AA171" s="17">
        <f t="shared" si="137"/>
        <v>1.0019996862072527</v>
      </c>
      <c r="AB171" s="17">
        <f t="shared" si="138"/>
        <v>6.3301802684872552E-2</v>
      </c>
      <c r="AC171" s="66" t="str">
        <f t="shared" si="139"/>
        <v>-0.161979793610418-2.73444171573467i</v>
      </c>
      <c r="AD171" s="64">
        <f t="shared" si="140"/>
        <v>8.7525861698374836</v>
      </c>
      <c r="AE171" s="61">
        <f t="shared" si="141"/>
        <v>-93.390061622685167</v>
      </c>
      <c r="AF171" s="31" t="str">
        <f t="shared" si="127"/>
        <v>-0.000495863624968664</v>
      </c>
      <c r="AG171" s="31" t="str">
        <f t="shared" si="128"/>
        <v>0.000469917431969811i</v>
      </c>
      <c r="AH171" s="31">
        <f t="shared" si="142"/>
        <v>4.6991743196981098E-4</v>
      </c>
      <c r="AI171" s="31">
        <f t="shared" si="143"/>
        <v>1.5707963267948966</v>
      </c>
      <c r="AJ171" s="31" t="str">
        <f t="shared" si="129"/>
        <v>1+0.00183347336024187i</v>
      </c>
      <c r="AK171" s="31">
        <f t="shared" si="144"/>
        <v>1.0000016808108687</v>
      </c>
      <c r="AL171" s="31">
        <f t="shared" si="145"/>
        <v>1.833471305762986E-3</v>
      </c>
      <c r="AM171" s="31" t="str">
        <f t="shared" si="130"/>
        <v>1+0.56206144454526i</v>
      </c>
      <c r="AN171" s="31">
        <f t="shared" si="146"/>
        <v>1.1471325413588025</v>
      </c>
      <c r="AO171" s="31">
        <f t="shared" si="147"/>
        <v>0.51205625189818205</v>
      </c>
      <c r="AP171" s="58" t="str">
        <f t="shared" si="148"/>
        <v>-0.591158616081114+1.05629823940464i</v>
      </c>
      <c r="AQ171" s="49">
        <f t="shared" si="149"/>
        <v>1.6590712994191485</v>
      </c>
      <c r="AR171" s="61">
        <f t="shared" si="150"/>
        <v>119.23361193937501</v>
      </c>
      <c r="AS171" s="58" t="str">
        <f t="shared" si="151"/>
        <v>2.98414172070897+1.44538980961836i</v>
      </c>
      <c r="AT171" s="64">
        <f t="shared" si="152"/>
        <v>10.411657469256619</v>
      </c>
      <c r="AU171" s="61">
        <f t="shared" si="153"/>
        <v>25.843550316689846</v>
      </c>
    </row>
    <row r="172" spans="14:47" x14ac:dyDescent="0.25">
      <c r="N172" s="10">
        <v>54</v>
      </c>
      <c r="O172" s="50">
        <f t="shared" si="121"/>
        <v>346.73685045253183</v>
      </c>
      <c r="P172" s="48" t="str">
        <f t="shared" si="122"/>
        <v>304.285714285714</v>
      </c>
      <c r="Q172" s="17" t="str">
        <f t="shared" si="123"/>
        <v>1+113.443433114083i</v>
      </c>
      <c r="R172" s="17">
        <f t="shared" si="131"/>
        <v>113.44784051144131</v>
      </c>
      <c r="S172" s="17">
        <f t="shared" si="132"/>
        <v>1.5619815891538587</v>
      </c>
      <c r="T172" s="17" t="str">
        <f t="shared" si="124"/>
        <v>1+0.00235290083495876i</v>
      </c>
      <c r="U172" s="17">
        <f t="shared" si="133"/>
        <v>1.0000027680673385</v>
      </c>
      <c r="V172" s="17">
        <f t="shared" si="134"/>
        <v>2.3528964929752051E-3</v>
      </c>
      <c r="W172" s="31" t="str">
        <f t="shared" si="125"/>
        <v>1-0.00735281510924612i</v>
      </c>
      <c r="X172" s="17">
        <f t="shared" si="135"/>
        <v>1.0000270315796622</v>
      </c>
      <c r="Y172" s="17">
        <f t="shared" si="136"/>
        <v>-7.3526826062817749E-3</v>
      </c>
      <c r="Z172" s="31" t="str">
        <f t="shared" si="126"/>
        <v>0.999992451141406+0.0648624844748703i</v>
      </c>
      <c r="AA172" s="17">
        <f t="shared" si="137"/>
        <v>1.002093830053878</v>
      </c>
      <c r="AB172" s="17">
        <f t="shared" si="138"/>
        <v>6.4772239099013071E-2</v>
      </c>
      <c r="AC172" s="66" t="str">
        <f t="shared" si="139"/>
        <v>-0.163059657618999-2.67166812798881i</v>
      </c>
      <c r="AD172" s="64">
        <f t="shared" si="140"/>
        <v>8.5517976690321973</v>
      </c>
      <c r="AE172" s="61">
        <f t="shared" si="141"/>
        <v>-93.492595308399686</v>
      </c>
      <c r="AF172" s="31" t="str">
        <f t="shared" si="127"/>
        <v>-0.000495863624968664</v>
      </c>
      <c r="AG172" s="31" t="str">
        <f t="shared" si="128"/>
        <v>0.000480863215085275i</v>
      </c>
      <c r="AH172" s="31">
        <f t="shared" si="142"/>
        <v>4.80863215085275E-4</v>
      </c>
      <c r="AI172" s="31">
        <f t="shared" si="143"/>
        <v>1.5707963267948966</v>
      </c>
      <c r="AJ172" s="31" t="str">
        <f t="shared" si="129"/>
        <v>1+0.00187618044106895i</v>
      </c>
      <c r="AK172" s="31">
        <f t="shared" si="144"/>
        <v>1.0000017600249749</v>
      </c>
      <c r="AL172" s="31">
        <f t="shared" si="145"/>
        <v>1.8761782396553731E-3</v>
      </c>
      <c r="AM172" s="31" t="str">
        <f t="shared" si="130"/>
        <v>1+0.575153537434362i</v>
      </c>
      <c r="AN172" s="31">
        <f t="shared" si="146"/>
        <v>1.1536037411621289</v>
      </c>
      <c r="AO172" s="31">
        <f t="shared" si="147"/>
        <v>0.52194965961524653</v>
      </c>
      <c r="AP172" s="58" t="str">
        <f t="shared" si="148"/>
        <v>-0.59115852242508+1.03230387443407i</v>
      </c>
      <c r="AQ172" s="49">
        <f t="shared" si="149"/>
        <v>1.5079317311548424</v>
      </c>
      <c r="AR172" s="61">
        <f t="shared" si="150"/>
        <v>119.79801551949706</v>
      </c>
      <c r="AS172" s="58" t="str">
        <f t="shared" si="151"/>
        <v>2.85436746599005+1.41105226662806i</v>
      </c>
      <c r="AT172" s="64">
        <f t="shared" si="152"/>
        <v>10.059729400187027</v>
      </c>
      <c r="AU172" s="61">
        <f t="shared" si="153"/>
        <v>26.30542021109742</v>
      </c>
    </row>
    <row r="173" spans="14:47" x14ac:dyDescent="0.25">
      <c r="N173" s="10">
        <v>55</v>
      </c>
      <c r="O173" s="50">
        <f t="shared" si="121"/>
        <v>354.81338923357566</v>
      </c>
      <c r="P173" s="48" t="str">
        <f t="shared" si="122"/>
        <v>304.285714285714</v>
      </c>
      <c r="Q173" s="17" t="str">
        <f t="shared" si="123"/>
        <v>1+116.085870125912i</v>
      </c>
      <c r="R173" s="17">
        <f t="shared" si="131"/>
        <v>116.09017720242358</v>
      </c>
      <c r="S173" s="17">
        <f t="shared" si="132"/>
        <v>1.5621822270379251</v>
      </c>
      <c r="T173" s="17" t="str">
        <f t="shared" si="124"/>
        <v>1+0.00240770693594483i</v>
      </c>
      <c r="U173" s="17">
        <f t="shared" si="133"/>
        <v>1.0000028985221441</v>
      </c>
      <c r="V173" s="17">
        <f t="shared" si="134"/>
        <v>2.407702283426356E-3</v>
      </c>
      <c r="W173" s="31" t="str">
        <f t="shared" si="125"/>
        <v>1-0.0075240841748276i</v>
      </c>
      <c r="X173" s="17">
        <f t="shared" si="135"/>
        <v>1.0000283055207337</v>
      </c>
      <c r="Y173" s="17">
        <f t="shared" si="136"/>
        <v>-7.5239421955603462E-3</v>
      </c>
      <c r="Z173" s="31" t="str">
        <f t="shared" si="126"/>
        <v>0.999992095374661+0.0663733258250539i</v>
      </c>
      <c r="AA173" s="17">
        <f t="shared" si="137"/>
        <v>1.0021924012847454</v>
      </c>
      <c r="AB173" s="17">
        <f t="shared" si="138"/>
        <v>6.6276637583984638E-2</v>
      </c>
      <c r="AC173" s="66" t="str">
        <f t="shared" si="139"/>
        <v>-0.164087720594849-2.61031042175452i</v>
      </c>
      <c r="AD173" s="64">
        <f t="shared" si="140"/>
        <v>8.3509707064465122</v>
      </c>
      <c r="AE173" s="61">
        <f t="shared" si="141"/>
        <v>-93.596959007442962</v>
      </c>
      <c r="AF173" s="31" t="str">
        <f t="shared" si="127"/>
        <v>-0.000495863624968664</v>
      </c>
      <c r="AG173" s="31" t="str">
        <f t="shared" si="128"/>
        <v>0.000492063958242355i</v>
      </c>
      <c r="AH173" s="31">
        <f t="shared" si="142"/>
        <v>4.9206395824235498E-4</v>
      </c>
      <c r="AI173" s="31">
        <f t="shared" si="143"/>
        <v>1.5707963267948966</v>
      </c>
      <c r="AJ173" s="31" t="str">
        <f t="shared" si="129"/>
        <v>1+0.00191988229760007i</v>
      </c>
      <c r="AK173" s="31">
        <f t="shared" si="144"/>
        <v>1.0000018429723201</v>
      </c>
      <c r="AL173" s="31">
        <f t="shared" si="145"/>
        <v>1.9198799387431583E-3</v>
      </c>
      <c r="AM173" s="31" t="str">
        <f t="shared" si="130"/>
        <v>1+0.588550584342069i</v>
      </c>
      <c r="AN173" s="31">
        <f t="shared" si="146"/>
        <v>1.1603412387437546</v>
      </c>
      <c r="AO173" s="31">
        <f t="shared" si="147"/>
        <v>0.53195827373664539</v>
      </c>
      <c r="AP173" s="58" t="str">
        <f t="shared" si="148"/>
        <v>-0.591158424355205+1.00885685062532i</v>
      </c>
      <c r="AQ173" s="49">
        <f t="shared" si="149"/>
        <v>1.3585124431039555</v>
      </c>
      <c r="AR173" s="61">
        <f t="shared" si="150"/>
        <v>120.3689629445129</v>
      </c>
      <c r="AS173" s="58" t="str">
        <f t="shared" si="151"/>
        <v>2.7304313896086+1.37756597497677i</v>
      </c>
      <c r="AT173" s="64">
        <f t="shared" si="152"/>
        <v>9.7094831495504632</v>
      </c>
      <c r="AU173" s="61">
        <f t="shared" si="153"/>
        <v>26.772003937070057</v>
      </c>
    </row>
    <row r="174" spans="14:47" x14ac:dyDescent="0.25">
      <c r="N174" s="10">
        <v>56</v>
      </c>
      <c r="O174" s="50">
        <f t="shared" si="121"/>
        <v>363.07805477010152</v>
      </c>
      <c r="P174" s="48" t="str">
        <f t="shared" si="122"/>
        <v>304.285714285714</v>
      </c>
      <c r="Q174" s="17" t="str">
        <f t="shared" si="123"/>
        <v>1+118.78985740266i</v>
      </c>
      <c r="R174" s="17">
        <f t="shared" si="131"/>
        <v>118.79406644165481</v>
      </c>
      <c r="S174" s="17">
        <f t="shared" si="132"/>
        <v>1.5623782985163366</v>
      </c>
      <c r="T174" s="17" t="str">
        <f t="shared" si="124"/>
        <v>1+0.00246378963501812i</v>
      </c>
      <c r="U174" s="17">
        <f t="shared" si="133"/>
        <v>1.0000030351250768</v>
      </c>
      <c r="V174" s="17">
        <f t="shared" si="134"/>
        <v>2.463784649755575E-3</v>
      </c>
      <c r="W174" s="31" t="str">
        <f t="shared" si="125"/>
        <v>1-0.00769934260943163i</v>
      </c>
      <c r="X174" s="17">
        <f t="shared" si="135"/>
        <v>1.0000296394990589</v>
      </c>
      <c r="Y174" s="17">
        <f t="shared" si="136"/>
        <v>-7.6991904761493507E-3</v>
      </c>
      <c r="Z174" s="31" t="str">
        <f t="shared" si="126"/>
        <v>0.999991722841146+0.0679193591911451i</v>
      </c>
      <c r="AA174" s="17">
        <f t="shared" si="137"/>
        <v>1.0022956076446405</v>
      </c>
      <c r="AB174" s="17">
        <f t="shared" si="138"/>
        <v>6.7815768685551184E-2</v>
      </c>
      <c r="AC174" s="66" t="str">
        <f t="shared" si="139"/>
        <v>-0.165066164150143-2.55033613846943i</v>
      </c>
      <c r="AD174" s="64">
        <f t="shared" si="140"/>
        <v>8.1501035511482698</v>
      </c>
      <c r="AE174" s="61">
        <f t="shared" si="141"/>
        <v>-93.703206495824844</v>
      </c>
      <c r="AF174" s="31" t="str">
        <f t="shared" si="127"/>
        <v>-0.000495863624968664</v>
      </c>
      <c r="AG174" s="31" t="str">
        <f t="shared" si="128"/>
        <v>0.000503525600223332i</v>
      </c>
      <c r="AH174" s="31">
        <f t="shared" si="142"/>
        <v>5.0352560022333198E-4</v>
      </c>
      <c r="AI174" s="31">
        <f t="shared" si="143"/>
        <v>1.5707963267948966</v>
      </c>
      <c r="AJ174" s="31" t="str">
        <f t="shared" si="129"/>
        <v>1+0.00196460210113804i</v>
      </c>
      <c r="AK174" s="31">
        <f t="shared" si="144"/>
        <v>1.0000019298288458</v>
      </c>
      <c r="AL174" s="31">
        <f t="shared" si="145"/>
        <v>1.9645995735775843E-3</v>
      </c>
      <c r="AM174" s="31" t="str">
        <f t="shared" si="130"/>
        <v>1+0.602259688559984i</v>
      </c>
      <c r="AN174" s="31">
        <f t="shared" si="146"/>
        <v>1.1673545872888704</v>
      </c>
      <c r="AO174" s="31">
        <f t="shared" si="147"/>
        <v>0.54207937968115538</v>
      </c>
      <c r="AP174" s="58" t="str">
        <f t="shared" si="148"/>
        <v>-0.591158321663475+0.985944736054816i</v>
      </c>
      <c r="AQ174" s="49">
        <f t="shared" si="149"/>
        <v>1.2108530256483137</v>
      </c>
      <c r="AR174" s="61">
        <f t="shared" si="150"/>
        <v>120.94629735280071</v>
      </c>
      <c r="AS174" s="58" t="str">
        <f t="shared" si="151"/>
        <v>2.61207072745673+1.3449063156507i</v>
      </c>
      <c r="AT174" s="64">
        <f t="shared" si="152"/>
        <v>9.3609565767965908</v>
      </c>
      <c r="AU174" s="61">
        <f t="shared" si="153"/>
        <v>27.24309085697578</v>
      </c>
    </row>
    <row r="175" spans="14:47" x14ac:dyDescent="0.25">
      <c r="N175" s="10">
        <v>57</v>
      </c>
      <c r="O175" s="50">
        <f t="shared" si="121"/>
        <v>371.53522909717265</v>
      </c>
      <c r="P175" s="48" t="str">
        <f t="shared" si="122"/>
        <v>304.285714285714</v>
      </c>
      <c r="Q175" s="17" t="str">
        <f t="shared" si="123"/>
        <v>1+121.556828634172i</v>
      </c>
      <c r="R175" s="17">
        <f t="shared" si="131"/>
        <v>121.56094186702182</v>
      </c>
      <c r="S175" s="17">
        <f t="shared" si="132"/>
        <v>1.5625699074884492</v>
      </c>
      <c r="T175" s="17" t="str">
        <f t="shared" si="124"/>
        <v>1+0.002521178667968i</v>
      </c>
      <c r="U175" s="17">
        <f t="shared" si="133"/>
        <v>1.0000031781658876</v>
      </c>
      <c r="V175" s="17">
        <f t="shared" si="134"/>
        <v>2.5211733261638583E-3</v>
      </c>
      <c r="W175" s="31" t="str">
        <f t="shared" si="125"/>
        <v>1-0.0078786833374i</v>
      </c>
      <c r="X175" s="17">
        <f t="shared" si="135"/>
        <v>1.0000310363439382</v>
      </c>
      <c r="Y175" s="17">
        <f t="shared" si="136"/>
        <v>-7.8785203239243092E-3</v>
      </c>
      <c r="Z175" s="31" t="str">
        <f t="shared" si="126"/>
        <v>0.999991332750667+0.0695014043004982i</v>
      </c>
      <c r="AA175" s="17">
        <f t="shared" si="137"/>
        <v>1.0024036665815808</v>
      </c>
      <c r="AB175" s="17">
        <f t="shared" si="138"/>
        <v>6.9390419444101806E-2</v>
      </c>
      <c r="AC175" s="66" t="str">
        <f t="shared" si="139"/>
        <v>-0.165997064927708-2.49171355020104i</v>
      </c>
      <c r="AD175" s="64">
        <f t="shared" si="140"/>
        <v>7.9491943891736296</v>
      </c>
      <c r="AE175" s="61">
        <f t="shared" si="141"/>
        <v>-93.811392438383919</v>
      </c>
      <c r="AF175" s="31" t="str">
        <f t="shared" si="127"/>
        <v>-0.000495863624968664</v>
      </c>
      <c r="AG175" s="31" t="str">
        <f t="shared" si="128"/>
        <v>0.000515254218142496i</v>
      </c>
      <c r="AH175" s="31">
        <f t="shared" si="142"/>
        <v>5.1525421814249597E-4</v>
      </c>
      <c r="AI175" s="31">
        <f t="shared" si="143"/>
        <v>1.5707963267948966</v>
      </c>
      <c r="AJ175" s="31" t="str">
        <f t="shared" si="129"/>
        <v>1+0.0020103635627146i</v>
      </c>
      <c r="AK175" s="31">
        <f t="shared" si="144"/>
        <v>1.0000020207787854</v>
      </c>
      <c r="AL175" s="31">
        <f t="shared" si="145"/>
        <v>2.0103608543850719E-3</v>
      </c>
      <c r="AM175" s="31" t="str">
        <f t="shared" si="130"/>
        <v>1+0.616288118836621i</v>
      </c>
      <c r="AN175" s="31">
        <f t="shared" si="146"/>
        <v>1.174653585283415</v>
      </c>
      <c r="AO175" s="31">
        <f t="shared" si="147"/>
        <v>0.55231004908922843</v>
      </c>
      <c r="AP175" s="58" t="str">
        <f t="shared" si="148"/>
        <v>-0.591158214132071+0.963555382414867i</v>
      </c>
      <c r="AQ175" s="49">
        <f t="shared" si="149"/>
        <v>1.0649925218159109</v>
      </c>
      <c r="AR175" s="61">
        <f t="shared" si="150"/>
        <v>121.52984960322159</v>
      </c>
      <c r="AS175" s="58" t="str">
        <f t="shared" si="151"/>
        <v>2.4990345311861+1.31304956708937i</v>
      </c>
      <c r="AT175" s="64">
        <f t="shared" si="152"/>
        <v>9.0141869109895492</v>
      </c>
      <c r="AU175" s="61">
        <f t="shared" si="153"/>
        <v>27.718457164837726</v>
      </c>
    </row>
    <row r="176" spans="14:47" x14ac:dyDescent="0.25">
      <c r="N176" s="10">
        <v>58</v>
      </c>
      <c r="O176" s="50">
        <f t="shared" si="121"/>
        <v>380.18939632056163</v>
      </c>
      <c r="P176" s="48" t="str">
        <f t="shared" si="122"/>
        <v>304.285714285714</v>
      </c>
      <c r="Q176" s="17" t="str">
        <f t="shared" si="123"/>
        <v>1+124.38825090522i</v>
      </c>
      <c r="R176" s="17">
        <f t="shared" si="131"/>
        <v>124.39227051252004</v>
      </c>
      <c r="S176" s="17">
        <f t="shared" si="132"/>
        <v>1.5627571554915658</v>
      </c>
      <c r="T176" s="17" t="str">
        <f t="shared" si="124"/>
        <v>1+0.00257990446321938i</v>
      </c>
      <c r="U176" s="17">
        <f t="shared" si="133"/>
        <v>1.0000033279479821</v>
      </c>
      <c r="V176" s="17">
        <f t="shared" si="134"/>
        <v>2.5798987393741458E-3</v>
      </c>
      <c r="W176" s="31" t="str">
        <f t="shared" si="125"/>
        <v>1-0.00806220144756056i</v>
      </c>
      <c r="X176" s="17">
        <f t="shared" si="135"/>
        <v>1.0000324990179974</v>
      </c>
      <c r="Y176" s="17">
        <f t="shared" si="136"/>
        <v>-8.0620267757809221E-3</v>
      </c>
      <c r="Z176" s="31" t="str">
        <f t="shared" si="126"/>
        <v>0.999990924275791+0.0711202999743713i</v>
      </c>
      <c r="AA176" s="17">
        <f t="shared" si="137"/>
        <v>1.0025168056957425</v>
      </c>
      <c r="AB176" s="17">
        <f t="shared" si="138"/>
        <v>7.1001393676683983E-2</v>
      </c>
      <c r="AC176" s="66" t="str">
        <f t="shared" si="139"/>
        <v>-0.166882399015947-2.4344116431611i</v>
      </c>
      <c r="AD176" s="64">
        <f t="shared" si="140"/>
        <v>7.7482413198922586</v>
      </c>
      <c r="AE176" s="61">
        <f t="shared" si="141"/>
        <v>-93.921572409993757</v>
      </c>
      <c r="AF176" s="31" t="str">
        <f t="shared" si="127"/>
        <v>-0.000495863624968664</v>
      </c>
      <c r="AG176" s="31" t="str">
        <f t="shared" si="128"/>
        <v>0.000527256030668315i</v>
      </c>
      <c r="AH176" s="31">
        <f t="shared" si="142"/>
        <v>5.2725603066831504E-4</v>
      </c>
      <c r="AI176" s="31">
        <f t="shared" si="143"/>
        <v>1.5707963267948966</v>
      </c>
      <c r="AJ176" s="31" t="str">
        <f t="shared" si="129"/>
        <v>1+0.00205719094566242i</v>
      </c>
      <c r="AK176" s="31">
        <f t="shared" si="144"/>
        <v>1.0000021160150547</v>
      </c>
      <c r="AL176" s="31">
        <f t="shared" si="145"/>
        <v>2.0571880436353776E-3</v>
      </c>
      <c r="AM176" s="31" t="str">
        <f t="shared" si="130"/>
        <v>1+0.630643313231403i</v>
      </c>
      <c r="AN176" s="31">
        <f t="shared" si="146"/>
        <v>1.1822482770228433</v>
      </c>
      <c r="AO176" s="31">
        <f t="shared" si="147"/>
        <v>0.56264713948557543</v>
      </c>
      <c r="AP176" s="58" t="str">
        <f t="shared" si="148"/>
        <v>-0.591158101532906+0.941676918572461i</v>
      </c>
      <c r="AQ176" s="49">
        <f t="shared" si="149"/>
        <v>0.92096931816199068</v>
      </c>
      <c r="AR176" s="61">
        <f t="shared" si="150"/>
        <v>122.11943825506677</v>
      </c>
      <c r="AS176" s="58" t="str">
        <f t="shared" si="151"/>
        <v>2.39108313685039+1.2819728620514i</v>
      </c>
      <c r="AT176" s="64">
        <f t="shared" si="152"/>
        <v>8.6692106380542491</v>
      </c>
      <c r="AU176" s="61">
        <f t="shared" si="153"/>
        <v>28.19786584507299</v>
      </c>
    </row>
    <row r="177" spans="14:47" x14ac:dyDescent="0.25">
      <c r="N177" s="10">
        <v>59</v>
      </c>
      <c r="O177" s="50">
        <f t="shared" si="121"/>
        <v>389.04514499428063</v>
      </c>
      <c r="P177" s="48" t="str">
        <f t="shared" si="122"/>
        <v>304.285714285714</v>
      </c>
      <c r="Q177" s="17" t="str">
        <f t="shared" si="123"/>
        <v>1+127.285625473372i</v>
      </c>
      <c r="R177" s="17">
        <f t="shared" si="131"/>
        <v>127.28955358609568</v>
      </c>
      <c r="S177" s="17">
        <f t="shared" si="132"/>
        <v>1.5629401417545044</v>
      </c>
      <c r="T177" s="17" t="str">
        <f t="shared" si="124"/>
        <v>1+0.00263999815796623i</v>
      </c>
      <c r="U177" s="17">
        <f t="shared" si="133"/>
        <v>1.0000034847890651</v>
      </c>
      <c r="V177" s="17">
        <f t="shared" si="134"/>
        <v>2.6399920247567161E-3</v>
      </c>
      <c r="W177" s="31" t="str">
        <f t="shared" si="125"/>
        <v>1-0.00824999424364448i</v>
      </c>
      <c r="X177" s="17">
        <f t="shared" si="135"/>
        <v>1.0000340306234685</v>
      </c>
      <c r="Y177" s="17">
        <f t="shared" si="136"/>
        <v>-8.2498070798045046E-3</v>
      </c>
      <c r="Z177" s="31" t="str">
        <f t="shared" si="126"/>
        <v>0.999990496550086+0.0727769045726792i</v>
      </c>
      <c r="AA177" s="17">
        <f t="shared" si="137"/>
        <v>1.0026352632087445</v>
      </c>
      <c r="AB177" s="17">
        <f t="shared" si="138"/>
        <v>7.264951225851124E-2</v>
      </c>
      <c r="AC177" s="66" t="str">
        <f t="shared" si="139"/>
        <v>-0.167724046152816-2.3784001015858i</v>
      </c>
      <c r="AD177" s="64">
        <f t="shared" si="140"/>
        <v>7.5472423522077232</v>
      </c>
      <c r="AE177" s="61">
        <f t="shared" si="141"/>
        <v>-94.033802916711537</v>
      </c>
      <c r="AF177" s="31" t="str">
        <f t="shared" si="127"/>
        <v>-0.000495863624968664</v>
      </c>
      <c r="AG177" s="31" t="str">
        <f t="shared" si="128"/>
        <v>0.000539537401320653i</v>
      </c>
      <c r="AH177" s="31">
        <f t="shared" si="142"/>
        <v>5.3953740132065301E-4</v>
      </c>
      <c r="AI177" s="31">
        <f t="shared" si="143"/>
        <v>1.5707963267948966</v>
      </c>
      <c r="AJ177" s="31" t="str">
        <f t="shared" si="129"/>
        <v>1+0.00210510907847977i</v>
      </c>
      <c r="AK177" s="31">
        <f t="shared" si="144"/>
        <v>1.0000022157396613</v>
      </c>
      <c r="AL177" s="31">
        <f t="shared" si="145"/>
        <v>2.1051059689021416E-3</v>
      </c>
      <c r="AM177" s="31" t="str">
        <f t="shared" si="130"/>
        <v>1+0.645332883058411i</v>
      </c>
      <c r="AN177" s="31">
        <f t="shared" si="146"/>
        <v>1.1901489528443407</v>
      </c>
      <c r="AO177" s="31">
        <f t="shared" si="147"/>
        <v>0.57308729478384157</v>
      </c>
      <c r="AP177" s="58" t="str">
        <f t="shared" si="148"/>
        <v>-0.591157983627158+0.920297744275003i</v>
      </c>
      <c r="AQ177" s="49">
        <f t="shared" si="149"/>
        <v>0.77882103338444364</v>
      </c>
      <c r="AR177" s="61">
        <f t="shared" si="150"/>
        <v>122.71486959623802</v>
      </c>
      <c r="AS177" s="58" t="str">
        <f t="shared" si="151"/>
        <v>2.28798765740234+1.25165414697698i</v>
      </c>
      <c r="AT177" s="64">
        <f t="shared" si="152"/>
        <v>8.3260633855921835</v>
      </c>
      <c r="AU177" s="61">
        <f t="shared" si="153"/>
        <v>28.681066679526527</v>
      </c>
    </row>
    <row r="178" spans="14:47" x14ac:dyDescent="0.25">
      <c r="N178" s="10">
        <v>60</v>
      </c>
      <c r="O178" s="50">
        <f t="shared" si="121"/>
        <v>398.10717055349761</v>
      </c>
      <c r="P178" s="48" t="str">
        <f t="shared" si="122"/>
        <v>304.285714285714</v>
      </c>
      <c r="Q178" s="17" t="str">
        <f t="shared" si="123"/>
        <v>1+130.250488564974i</v>
      </c>
      <c r="R178" s="17">
        <f t="shared" si="131"/>
        <v>130.25432726560149</v>
      </c>
      <c r="S178" s="17">
        <f t="shared" si="132"/>
        <v>1.5631189632499582</v>
      </c>
      <c r="T178" s="17" t="str">
        <f t="shared" si="124"/>
        <v>1+0.00270149161468094i</v>
      </c>
      <c r="U178" s="17">
        <f t="shared" si="133"/>
        <v>1.0000036490218143</v>
      </c>
      <c r="V178" s="17">
        <f t="shared" si="134"/>
        <v>2.7014850428298378E-3</v>
      </c>
      <c r="W178" s="31" t="str">
        <f t="shared" si="125"/>
        <v>1-0.00844216129587793i</v>
      </c>
      <c r="X178" s="17">
        <f t="shared" si="135"/>
        <v>1.0000356344087673</v>
      </c>
      <c r="Y178" s="17">
        <f t="shared" si="136"/>
        <v>-8.4419607465961114E-3</v>
      </c>
      <c r="Z178" s="31" t="str">
        <f t="shared" si="126"/>
        <v>0.99999004866629+0.0744720964491077i</v>
      </c>
      <c r="AA178" s="17">
        <f t="shared" si="137"/>
        <v>1.0027592884541805</v>
      </c>
      <c r="AB178" s="17">
        <f t="shared" si="138"/>
        <v>7.4335613403455861E-2</v>
      </c>
      <c r="AC178" s="66" t="str">
        <f t="shared" si="139"/>
        <v>-0.168523793727982-2.32364929197548i</v>
      </c>
      <c r="AD178" s="64">
        <f t="shared" si="140"/>
        <v>7.3461954005894512</v>
      </c>
      <c r="AE178" s="61">
        <f t="shared" si="141"/>
        <v>-94.148141416844737</v>
      </c>
      <c r="AF178" s="31" t="str">
        <f t="shared" si="127"/>
        <v>-0.000495863624968664</v>
      </c>
      <c r="AG178" s="31" t="str">
        <f t="shared" si="128"/>
        <v>0.000552104841844794i</v>
      </c>
      <c r="AH178" s="31">
        <f t="shared" si="142"/>
        <v>5.5210484184479395E-4</v>
      </c>
      <c r="AI178" s="31">
        <f t="shared" si="143"/>
        <v>1.5707963267948966</v>
      </c>
      <c r="AJ178" s="31" t="str">
        <f t="shared" si="129"/>
        <v>1+0.00215414336799494i</v>
      </c>
      <c r="AK178" s="31">
        <f t="shared" si="144"/>
        <v>1.0000023201641333</v>
      </c>
      <c r="AL178" s="31">
        <f t="shared" si="145"/>
        <v>2.1541400360228979E-3</v>
      </c>
      <c r="AM178" s="31" t="str">
        <f t="shared" si="130"/>
        <v>1+0.660364616922006i</v>
      </c>
      <c r="AN178" s="31">
        <f t="shared" si="146"/>
        <v>1.1983661490890618</v>
      </c>
      <c r="AO178" s="31">
        <f t="shared" si="147"/>
        <v>0.5836269466736439</v>
      </c>
      <c r="AP178" s="58" t="str">
        <f t="shared" si="148"/>
        <v>-0.591157860164727+0.899406523999743i</v>
      </c>
      <c r="AQ178" s="49">
        <f t="shared" si="149"/>
        <v>0.6385844052231836</v>
      </c>
      <c r="AR178" s="61">
        <f t="shared" si="150"/>
        <v>123.3159377219623</v>
      </c>
      <c r="AS178" s="58" t="str">
        <f t="shared" si="151"/>
        <v>2.18952949797721+1.22207214368937i</v>
      </c>
      <c r="AT178" s="64">
        <f t="shared" si="152"/>
        <v>7.984779805812642</v>
      </c>
      <c r="AU178" s="61">
        <f t="shared" si="153"/>
        <v>29.167796305117452</v>
      </c>
    </row>
    <row r="179" spans="14:47" x14ac:dyDescent="0.25">
      <c r="N179" s="10">
        <v>61</v>
      </c>
      <c r="O179" s="50">
        <f t="shared" si="121"/>
        <v>407.38027780411272</v>
      </c>
      <c r="P179" s="48" t="str">
        <f t="shared" si="122"/>
        <v>304.285714285714</v>
      </c>
      <c r="Q179" s="17" t="str">
        <f t="shared" si="123"/>
        <v>1+133.284412189682i</v>
      </c>
      <c r="R179" s="17">
        <f t="shared" si="131"/>
        <v>133.2881635133032</v>
      </c>
      <c r="S179" s="17">
        <f t="shared" si="132"/>
        <v>1.56329371474568</v>
      </c>
      <c r="T179" s="17" t="str">
        <f t="shared" si="124"/>
        <v>1+0.00276441743800822i</v>
      </c>
      <c r="U179" s="17">
        <f t="shared" si="133"/>
        <v>1.0000038209945858</v>
      </c>
      <c r="V179" s="17">
        <f t="shared" si="134"/>
        <v>2.7644103961443458E-3</v>
      </c>
      <c r="W179" s="31" t="str">
        <f t="shared" si="125"/>
        <v>1-0.00863880449377571i</v>
      </c>
      <c r="X179" s="17">
        <f t="shared" si="135"/>
        <v>1.000037313775382</v>
      </c>
      <c r="Y179" s="17">
        <f t="shared" si="136"/>
        <v>-8.6385896017816387E-3</v>
      </c>
      <c r="Z179" s="31" t="str">
        <f t="shared" si="126"/>
        <v>0.999989579674382+0.0762067744168284i</v>
      </c>
      <c r="AA179" s="17">
        <f t="shared" si="137"/>
        <v>1.0028891423903066</v>
      </c>
      <c r="AB179" s="17">
        <f t="shared" si="138"/>
        <v>7.6060552942989731E-2</v>
      </c>
      <c r="AC179" s="66" t="str">
        <f t="shared" si="139"/>
        <v>-0.16928334059169-2.27013024768621i</v>
      </c>
      <c r="AD179" s="64">
        <f t="shared" si="140"/>
        <v>7.1450982809274333</v>
      </c>
      <c r="AE179" s="61">
        <f t="shared" si="141"/>
        <v>-94.264646341907067</v>
      </c>
      <c r="AF179" s="31" t="str">
        <f t="shared" si="127"/>
        <v>-0.000495863624968664</v>
      </c>
      <c r="AG179" s="31" t="str">
        <f t="shared" si="128"/>
        <v>0.000564965015664051i</v>
      </c>
      <c r="AH179" s="31">
        <f t="shared" si="142"/>
        <v>5.6496501566405096E-4</v>
      </c>
      <c r="AI179" s="31">
        <f t="shared" si="143"/>
        <v>1.5707963267948966</v>
      </c>
      <c r="AJ179" s="31" t="str">
        <f t="shared" si="129"/>
        <v>1+0.00220431981283729i</v>
      </c>
      <c r="AK179" s="31">
        <f t="shared" si="144"/>
        <v>1.0000024295099674</v>
      </c>
      <c r="AL179" s="31">
        <f t="shared" si="145"/>
        <v>2.2043162425653905E-3</v>
      </c>
      <c r="AM179" s="31" t="str">
        <f t="shared" si="130"/>
        <v>1+0.675746484846454i</v>
      </c>
      <c r="AN179" s="31">
        <f t="shared" si="146"/>
        <v>1.2069106478038625</v>
      </c>
      <c r="AO179" s="31">
        <f t="shared" si="147"/>
        <v>0.59426231692512466</v>
      </c>
      <c r="AP179" s="58" t="str">
        <f t="shared" si="148"/>
        <v>-0.591157730883752+0.87899218094349i</v>
      </c>
      <c r="AQ179" s="49">
        <f t="shared" si="149"/>
        <v>0.50029517623974462</v>
      </c>
      <c r="AR179" s="61">
        <f t="shared" si="150"/>
        <v>123.92242466606425</v>
      </c>
      <c r="AS179" s="58" t="str">
        <f t="shared" si="151"/>
        <v>2.09549989294009+1.19320631328866i</v>
      </c>
      <c r="AT179" s="64">
        <f t="shared" si="152"/>
        <v>7.6453934571671684</v>
      </c>
      <c r="AU179" s="61">
        <f t="shared" si="153"/>
        <v>29.657778324157182</v>
      </c>
    </row>
    <row r="180" spans="14:47" x14ac:dyDescent="0.25">
      <c r="N180" s="10">
        <v>62</v>
      </c>
      <c r="O180" s="50">
        <f t="shared" si="121"/>
        <v>416.86938347033572</v>
      </c>
      <c r="P180" s="48" t="str">
        <f t="shared" si="122"/>
        <v>304.285714285714</v>
      </c>
      <c r="Q180" s="17" t="str">
        <f t="shared" si="123"/>
        <v>1+136.389004973962i</v>
      </c>
      <c r="R180" s="17">
        <f t="shared" si="131"/>
        <v>136.39267090935431</v>
      </c>
      <c r="S180" s="17">
        <f t="shared" si="132"/>
        <v>1.5634644888545082</v>
      </c>
      <c r="T180" s="17" t="str">
        <f t="shared" si="124"/>
        <v>1+0.00282880899205254i</v>
      </c>
      <c r="U180" s="17">
        <f t="shared" si="133"/>
        <v>1.0000040010721525</v>
      </c>
      <c r="V180" s="17">
        <f t="shared" si="134"/>
        <v>2.8288014465610843E-3</v>
      </c>
      <c r="W180" s="31" t="str">
        <f t="shared" si="125"/>
        <v>1-0.00884002810016418i</v>
      </c>
      <c r="X180" s="17">
        <f t="shared" si="135"/>
        <v>1.0000390722850843</v>
      </c>
      <c r="Y180" s="17">
        <f t="shared" si="136"/>
        <v>-8.8397978397298793E-3</v>
      </c>
      <c r="Z180" s="31" t="str">
        <f t="shared" si="126"/>
        <v>0.999989088579565+0.0779818582250609i</v>
      </c>
      <c r="AA180" s="17">
        <f t="shared" si="137"/>
        <v>1.0030250981358455</v>
      </c>
      <c r="AB180" s="17">
        <f t="shared" si="138"/>
        <v>7.7825204602989764E-2</v>
      </c>
      <c r="AC180" s="66" t="str">
        <f t="shared" si="139"/>
        <v>-0.170004300678564-2.21781465386691i</v>
      </c>
      <c r="AD180" s="64">
        <f t="shared" si="140"/>
        <v>6.9439487062046057</v>
      </c>
      <c r="AE180" s="61">
        <f t="shared" si="141"/>
        <v>-94.383377117432218</v>
      </c>
      <c r="AF180" s="31" t="str">
        <f t="shared" si="127"/>
        <v>-0.000495863624968664</v>
      </c>
      <c r="AG180" s="31" t="str">
        <f t="shared" si="128"/>
        <v>0.00057812474141281i</v>
      </c>
      <c r="AH180" s="31">
        <f t="shared" si="142"/>
        <v>5.7812474141281001E-4</v>
      </c>
      <c r="AI180" s="31">
        <f t="shared" si="143"/>
        <v>1.5707963267948966</v>
      </c>
      <c r="AJ180" s="31" t="str">
        <f t="shared" si="129"/>
        <v>1+0.00225566501722202i</v>
      </c>
      <c r="AK180" s="31">
        <f t="shared" si="144"/>
        <v>1.0000025440090989</v>
      </c>
      <c r="AL180" s="31">
        <f t="shared" si="145"/>
        <v>2.2556611916072803E-3</v>
      </c>
      <c r="AM180" s="31" t="str">
        <f t="shared" si="130"/>
        <v>1+0.691486642501731i</v>
      </c>
      <c r="AN180" s="31">
        <f t="shared" si="146"/>
        <v>1.2157934761949978</v>
      </c>
      <c r="AO180" s="31">
        <f t="shared" si="147"/>
        <v>0.60498942064034167</v>
      </c>
      <c r="AP180" s="58" t="str">
        <f t="shared" si="148"/>
        <v>-0.591157595510012+0.859043891149538i</v>
      </c>
      <c r="AQ180" s="49">
        <f t="shared" si="149"/>
        <v>0.3639879791172107</v>
      </c>
      <c r="AR180" s="61">
        <f t="shared" si="150"/>
        <v>124.53410058646588</v>
      </c>
      <c r="AS180" s="58" t="str">
        <f t="shared" si="151"/>
        <v>2.0056994637218+1.16503682209976i</v>
      </c>
      <c r="AT180" s="64">
        <f t="shared" si="152"/>
        <v>7.3079366853218204</v>
      </c>
      <c r="AU180" s="61">
        <f t="shared" si="153"/>
        <v>30.15072346903359</v>
      </c>
    </row>
    <row r="181" spans="14:47" x14ac:dyDescent="0.25">
      <c r="N181" s="10">
        <v>63</v>
      </c>
      <c r="O181" s="50">
        <f t="shared" si="121"/>
        <v>426.57951880159294</v>
      </c>
      <c r="P181" s="48" t="str">
        <f t="shared" si="122"/>
        <v>304.285714285714</v>
      </c>
      <c r="Q181" s="17" t="str">
        <f t="shared" si="123"/>
        <v>1+139.565913014i</v>
      </c>
      <c r="R181" s="17">
        <f t="shared" si="131"/>
        <v>139.56949550468187</v>
      </c>
      <c r="S181" s="17">
        <f t="shared" si="132"/>
        <v>1.5636313760832696</v>
      </c>
      <c r="T181" s="17" t="str">
        <f t="shared" si="124"/>
        <v>1+0.00289470041806814i</v>
      </c>
      <c r="U181" s="17">
        <f t="shared" si="133"/>
        <v>1.0000041896364786</v>
      </c>
      <c r="V181" s="17">
        <f t="shared" si="134"/>
        <v>2.8946923329302076E-3</v>
      </c>
      <c r="W181" s="31" t="str">
        <f t="shared" si="125"/>
        <v>1-0.00904593880646296i</v>
      </c>
      <c r="X181" s="17">
        <f t="shared" si="135"/>
        <v>1.000040913667481</v>
      </c>
      <c r="Y181" s="17">
        <f t="shared" si="136"/>
        <v>-9.0456920785075452E-3</v>
      </c>
      <c r="Z181" s="31" t="str">
        <f t="shared" si="126"/>
        <v>0.999988574340163+0.0797982890467361i</v>
      </c>
      <c r="AA181" s="17">
        <f t="shared" si="137"/>
        <v>1.0031674415299063</v>
      </c>
      <c r="AB181" s="17">
        <f t="shared" si="138"/>
        <v>7.9630460277778523E-2</v>
      </c>
      <c r="AC181" s="66" t="str">
        <f t="shared" si="139"/>
        <v>-0.170688206454239-2.16667483273537i</v>
      </c>
      <c r="AD181" s="64">
        <f t="shared" si="140"/>
        <v>6.7427442819803662</v>
      </c>
      <c r="AE181" s="61">
        <f t="shared" si="141"/>
        <v>-94.504394183612959</v>
      </c>
      <c r="AF181" s="31" t="str">
        <f t="shared" si="127"/>
        <v>-0.000495863624968664</v>
      </c>
      <c r="AG181" s="31" t="str">
        <f t="shared" si="128"/>
        <v>0.000591590996551852i</v>
      </c>
      <c r="AH181" s="31">
        <f t="shared" si="142"/>
        <v>5.9159099655185202E-4</v>
      </c>
      <c r="AI181" s="31">
        <f t="shared" si="143"/>
        <v>1.5707963267948966</v>
      </c>
      <c r="AJ181" s="31" t="str">
        <f t="shared" si="129"/>
        <v>1+0.00230820620505614i</v>
      </c>
      <c r="AK181" s="31">
        <f t="shared" si="144"/>
        <v>1.0000026639043944</v>
      </c>
      <c r="AL181" s="31">
        <f t="shared" si="145"/>
        <v>2.3082021058366824E-3</v>
      </c>
      <c r="AM181" s="31" t="str">
        <f t="shared" si="130"/>
        <v>1+0.707593435527768i</v>
      </c>
      <c r="AN181" s="31">
        <f t="shared" si="146"/>
        <v>1.2250259058493373</v>
      </c>
      <c r="AO181" s="31">
        <f t="shared" si="147"/>
        <v>0.61580407047430552</v>
      </c>
      <c r="AP181" s="58" t="str">
        <f t="shared" si="148"/>
        <v>-0.591157453756367+0.839551077768671i</v>
      </c>
      <c r="AQ181" s="49">
        <f t="shared" si="149"/>
        <v>0.2296962221601887</v>
      </c>
      <c r="AR181" s="61">
        <f t="shared" si="150"/>
        <v>125.15072400622678</v>
      </c>
      <c r="AS181" s="58" t="str">
        <f t="shared" si="151"/>
        <v>1.91993779651096+1.13754450954679i</v>
      </c>
      <c r="AT181" s="64">
        <f t="shared" si="152"/>
        <v>6.9724405041405522</v>
      </c>
      <c r="AU181" s="61">
        <f t="shared" si="153"/>
        <v>30.646329822613954</v>
      </c>
    </row>
    <row r="182" spans="14:47" x14ac:dyDescent="0.25">
      <c r="N182" s="10">
        <v>64</v>
      </c>
      <c r="O182" s="50">
        <f t="shared" si="121"/>
        <v>436.51583224016622</v>
      </c>
      <c r="P182" s="48" t="str">
        <f t="shared" si="122"/>
        <v>304.285714285714</v>
      </c>
      <c r="Q182" s="17" t="str">
        <f t="shared" si="123"/>
        <v>1+142.816820748491i</v>
      </c>
      <c r="R182" s="17">
        <f t="shared" si="131"/>
        <v>142.82032169375131</v>
      </c>
      <c r="S182" s="17">
        <f t="shared" si="132"/>
        <v>1.5637944648805764</v>
      </c>
      <c r="T182" s="17" t="str">
        <f t="shared" si="124"/>
        <v>1+0.00296212665256129i</v>
      </c>
      <c r="U182" s="17">
        <f t="shared" si="133"/>
        <v>1.0000043870875297</v>
      </c>
      <c r="V182" s="17">
        <f t="shared" si="134"/>
        <v>2.9621179891819623E-3</v>
      </c>
      <c r="W182" s="31" t="str">
        <f t="shared" si="125"/>
        <v>1-0.00925664578925405i</v>
      </c>
      <c r="X182" s="17">
        <f t="shared" si="135"/>
        <v>1.0000428418279228</v>
      </c>
      <c r="Y182" s="17">
        <f t="shared" si="136"/>
        <v>-9.2563814160983686E-3</v>
      </c>
      <c r="Z182" s="31" t="str">
        <f t="shared" si="126"/>
        <v>0.999988035865404+0.0816570299775189i</v>
      </c>
      <c r="AA182" s="17">
        <f t="shared" si="137"/>
        <v>1.003316471717024</v>
      </c>
      <c r="AB182" s="17">
        <f t="shared" si="138"/>
        <v>8.1477230300718032E-2</v>
      </c>
      <c r="AC182" s="66" t="str">
        <f t="shared" si="139"/>
        <v>-0.171336512192263-2.11668372918639i</v>
      </c>
      <c r="AD182" s="64">
        <f t="shared" si="140"/>
        <v>6.5414825016772138</v>
      </c>
      <c r="AE182" s="61">
        <f t="shared" si="141"/>
        <v>-94.627759015728472</v>
      </c>
      <c r="AF182" s="31" t="str">
        <f t="shared" si="127"/>
        <v>-0.000495863624968664</v>
      </c>
      <c r="AG182" s="31" t="str">
        <f t="shared" si="128"/>
        <v>0.000605370921067898i</v>
      </c>
      <c r="AH182" s="31">
        <f t="shared" si="142"/>
        <v>6.0537092106789799E-4</v>
      </c>
      <c r="AI182" s="31">
        <f t="shared" si="143"/>
        <v>1.5707963267948966</v>
      </c>
      <c r="AJ182" s="31" t="str">
        <f t="shared" si="129"/>
        <v>1+0.0023619712343729i</v>
      </c>
      <c r="AK182" s="31">
        <f t="shared" si="144"/>
        <v>1.0000027894501655</v>
      </c>
      <c r="AL182" s="31">
        <f t="shared" si="145"/>
        <v>2.3619668419807764E-3</v>
      </c>
      <c r="AM182" s="31" t="str">
        <f t="shared" si="130"/>
        <v>1+0.724075403959427i</v>
      </c>
      <c r="AN182" s="31">
        <f t="shared" si="146"/>
        <v>1.2346194517417128</v>
      </c>
      <c r="AO182" s="31">
        <f t="shared" si="147"/>
        <v>0.62670188184125875</v>
      </c>
      <c r="AP182" s="58" t="str">
        <f t="shared" si="148"/>
        <v>-0.591157305322155+0.820503405451167i</v>
      </c>
      <c r="AQ182" s="49">
        <f t="shared" si="149"/>
        <v>9.7451975706947538E-2</v>
      </c>
      <c r="AR182" s="61">
        <f t="shared" si="150"/>
        <v>125.77204211101522</v>
      </c>
      <c r="AS182" s="58" t="str">
        <f t="shared" si="151"/>
        <v>1.83803303891138+1.1107108578332i</v>
      </c>
      <c r="AT182" s="64">
        <f t="shared" si="152"/>
        <v>6.6389344773841508</v>
      </c>
      <c r="AU182" s="61">
        <f t="shared" si="153"/>
        <v>31.144283095286809</v>
      </c>
    </row>
    <row r="183" spans="14:47" x14ac:dyDescent="0.25">
      <c r="N183" s="10">
        <v>65</v>
      </c>
      <c r="O183" s="50">
        <f t="shared" si="121"/>
        <v>446.68359215096331</v>
      </c>
      <c r="P183" s="48" t="str">
        <f t="shared" si="122"/>
        <v>304.285714285714</v>
      </c>
      <c r="Q183" s="17" t="str">
        <f t="shared" si="123"/>
        <v>1+146.143451851748i</v>
      </c>
      <c r="R183" s="17">
        <f t="shared" si="131"/>
        <v>146.1468731076522</v>
      </c>
      <c r="S183" s="17">
        <f t="shared" si="132"/>
        <v>1.563953841683545</v>
      </c>
      <c r="T183" s="17" t="str">
        <f t="shared" si="124"/>
        <v>1+0.00303112344581402i</v>
      </c>
      <c r="U183" s="17">
        <f t="shared" si="133"/>
        <v>1.0000045938441202</v>
      </c>
      <c r="V183" s="17">
        <f t="shared" si="134"/>
        <v>3.031114162838125E-3</v>
      </c>
      <c r="W183" s="31" t="str">
        <f t="shared" si="125"/>
        <v>1-0.00947226076816882i</v>
      </c>
      <c r="X183" s="17">
        <f t="shared" si="135"/>
        <v>1.0000448608557819</v>
      </c>
      <c r="Y183" s="17">
        <f t="shared" si="136"/>
        <v>-9.4719774879150429E-3</v>
      </c>
      <c r="Z183" s="31" t="str">
        <f t="shared" si="126"/>
        <v>0.999987472013112+0.0835590665464545i</v>
      </c>
      <c r="AA183" s="17">
        <f t="shared" si="137"/>
        <v>1.0034725017584136</v>
      </c>
      <c r="AB183" s="17">
        <f t="shared" si="138"/>
        <v>8.3366443710616717E-2</v>
      </c>
      <c r="AC183" s="66" t="str">
        <f t="shared" si="139"/>
        <v>-0.171950597088437-2.06781489672597i</v>
      </c>
      <c r="AD183" s="64">
        <f t="shared" si="140"/>
        <v>6.3401607416645671</v>
      </c>
      <c r="AE183" s="61">
        <f t="shared" si="141"/>
        <v>-94.753534144319232</v>
      </c>
      <c r="AF183" s="31" t="str">
        <f t="shared" si="127"/>
        <v>-0.000495863624968664</v>
      </c>
      <c r="AG183" s="31" t="str">
        <f t="shared" si="128"/>
        <v>0.000619471821259325i</v>
      </c>
      <c r="AH183" s="31">
        <f t="shared" si="142"/>
        <v>6.19471821259325E-4</v>
      </c>
      <c r="AI183" s="31">
        <f t="shared" si="143"/>
        <v>1.5707963267948966</v>
      </c>
      <c r="AJ183" s="31" t="str">
        <f t="shared" si="129"/>
        <v>1+0.00241698861210251i</v>
      </c>
      <c r="AK183" s="31">
        <f t="shared" si="144"/>
        <v>1.0000029209127097</v>
      </c>
      <c r="AL183" s="31">
        <f t="shared" si="145"/>
        <v>2.4169839055702956E-3</v>
      </c>
      <c r="AM183" s="31" t="str">
        <f t="shared" si="130"/>
        <v>1+0.740941286754538i</v>
      </c>
      <c r="AN183" s="31">
        <f t="shared" si="146"/>
        <v>1.2445858710500737</v>
      </c>
      <c r="AO183" s="31">
        <f t="shared" si="147"/>
        <v>0.63767827911399722</v>
      </c>
      <c r="AP183" s="58" t="str">
        <f t="shared" si="148"/>
        <v>-0.591157149892531+0.80189077486682i</v>
      </c>
      <c r="AQ183" s="49">
        <f t="shared" si="149"/>
        <v>-3.2714139806457487E-2</v>
      </c>
      <c r="AR183" s="61">
        <f t="shared" si="150"/>
        <v>126.39779110345715</v>
      </c>
      <c r="AS183" s="58" t="str">
        <f t="shared" si="151"/>
        <v>1.75981151471386+1.08451796331578i</v>
      </c>
      <c r="AT183" s="64">
        <f t="shared" si="152"/>
        <v>6.307446601858099</v>
      </c>
      <c r="AU183" s="61">
        <f t="shared" si="153"/>
        <v>31.644256959137834</v>
      </c>
    </row>
    <row r="184" spans="14:47" x14ac:dyDescent="0.25">
      <c r="N184" s="10">
        <v>66</v>
      </c>
      <c r="O184" s="50">
        <f t="shared" ref="O184:O218" si="154">10^(2+(N184/100))</f>
        <v>457.0881896148756</v>
      </c>
      <c r="P184" s="48" t="str">
        <f t="shared" si="122"/>
        <v>304.285714285714</v>
      </c>
      <c r="Q184" s="17" t="str">
        <f t="shared" si="123"/>
        <v>1+149.547570147613i</v>
      </c>
      <c r="R184" s="17">
        <f t="shared" si="131"/>
        <v>149.55091352798627</v>
      </c>
      <c r="S184" s="17">
        <f t="shared" si="132"/>
        <v>1.5641095909634608</v>
      </c>
      <c r="T184" s="17" t="str">
        <f t="shared" si="124"/>
        <v>1+0.00310172738083938i</v>
      </c>
      <c r="U184" s="17">
        <f t="shared" si="133"/>
        <v>1.0000048103448029</v>
      </c>
      <c r="V184" s="17">
        <f t="shared" si="134"/>
        <v>3.1017174339540827E-3</v>
      </c>
      <c r="W184" s="31" t="str">
        <f t="shared" si="125"/>
        <v>1-0.00969289806512307i</v>
      </c>
      <c r="X184" s="17">
        <f t="shared" si="135"/>
        <v>1.0000469750331236</v>
      </c>
      <c r="Y184" s="17">
        <f t="shared" si="136"/>
        <v>-9.6925945256324166E-3</v>
      </c>
      <c r="Z184" s="31" t="str">
        <f t="shared" si="126"/>
        <v>0.99998688158728+0.0855054072385082i</v>
      </c>
      <c r="AA184" s="17">
        <f t="shared" si="137"/>
        <v>1.0036358592705203</v>
      </c>
      <c r="AB184" s="17">
        <f t="shared" si="138"/>
        <v>8.5299048513153577E-2</v>
      </c>
      <c r="AC184" s="66" t="str">
        <f t="shared" si="139"/>
        <v>-0.172531768219457-2.02004248372522i</v>
      </c>
      <c r="AD184" s="64">
        <f t="shared" si="140"/>
        <v>6.1387762561322035</v>
      </c>
      <c r="AE184" s="61">
        <f t="shared" si="141"/>
        <v>-94.881783175067781</v>
      </c>
      <c r="AF184" s="31" t="str">
        <f t="shared" si="127"/>
        <v>-0.000495863624968664</v>
      </c>
      <c r="AG184" s="31" t="str">
        <f t="shared" si="128"/>
        <v>0.000633901173610064i</v>
      </c>
      <c r="AH184" s="31">
        <f t="shared" si="142"/>
        <v>6.3390117361006402E-4</v>
      </c>
      <c r="AI184" s="31">
        <f t="shared" si="143"/>
        <v>1.5707963267948966</v>
      </c>
      <c r="AJ184" s="31" t="str">
        <f t="shared" si="129"/>
        <v>1+0.00247328750918688i</v>
      </c>
      <c r="AK184" s="31">
        <f t="shared" si="144"/>
        <v>1.0000030585708741</v>
      </c>
      <c r="AL184" s="31">
        <f t="shared" si="145"/>
        <v>2.4732824660475849E-3</v>
      </c>
      <c r="AM184" s="31" t="str">
        <f t="shared" si="130"/>
        <v>1+0.758200026427404i</v>
      </c>
      <c r="AN184" s="31">
        <f t="shared" si="146"/>
        <v>1.2549371618031384</v>
      </c>
      <c r="AO184" s="31">
        <f t="shared" si="147"/>
        <v>0.6487285028157318</v>
      </c>
      <c r="AP184" s="58" t="str">
        <f t="shared" si="148"/>
        <v>-0.591156987137822+0.78370331735017i</v>
      </c>
      <c r="AQ184" s="49">
        <f t="shared" si="149"/>
        <v>-0.16077306336884781</v>
      </c>
      <c r="AR184" s="61">
        <f t="shared" si="150"/>
        <v>127.02769661433385</v>
      </c>
      <c r="AS184" s="58" t="str">
        <f t="shared" si="151"/>
        <v>1.68510735596991+1.05894850946752i</v>
      </c>
      <c r="AT184" s="64">
        <f t="shared" si="152"/>
        <v>5.9780031927633539</v>
      </c>
      <c r="AU184" s="61">
        <f t="shared" si="153"/>
        <v>32.145913439265883</v>
      </c>
    </row>
    <row r="185" spans="14:47" x14ac:dyDescent="0.25">
      <c r="N185" s="10">
        <v>67</v>
      </c>
      <c r="O185" s="50">
        <f t="shared" si="154"/>
        <v>467.7351412871983</v>
      </c>
      <c r="P185" s="48" t="str">
        <f t="shared" si="122"/>
        <v>304.285714285714</v>
      </c>
      <c r="Q185" s="17" t="str">
        <f t="shared" si="123"/>
        <v>1+153.030980544667i</v>
      </c>
      <c r="R185" s="17">
        <f t="shared" si="131"/>
        <v>153.03424782205533</v>
      </c>
      <c r="S185" s="17">
        <f t="shared" si="132"/>
        <v>1.564261795270411</v>
      </c>
      <c r="T185" s="17" t="str">
        <f t="shared" si="124"/>
        <v>1+0.00317397589277827i</v>
      </c>
      <c r="U185" s="17">
        <f t="shared" si="133"/>
        <v>1.0000050370487981</v>
      </c>
      <c r="V185" s="17">
        <f t="shared" si="134"/>
        <v>3.1739652345015466E-3</v>
      </c>
      <c r="W185" s="31" t="str">
        <f t="shared" si="125"/>
        <v>1-0.00991867466493211i</v>
      </c>
      <c r="X185" s="17">
        <f t="shared" si="135"/>
        <v>1.0000491888437832</v>
      </c>
      <c r="Y185" s="17">
        <f t="shared" si="136"/>
        <v>-9.9183494173719911E-3</v>
      </c>
      <c r="Z185" s="31" t="str">
        <f t="shared" si="126"/>
        <v>0.999986263335535+0.0874970840292774i</v>
      </c>
      <c r="AA185" s="17">
        <f t="shared" si="137"/>
        <v>1.0038068870920305</v>
      </c>
      <c r="AB185" s="17">
        <f t="shared" si="138"/>
        <v>8.7276011936460077E-2</v>
      </c>
      <c r="AC185" s="66" t="str">
        <f t="shared" si="139"/>
        <v>-0.173081263352359-1.97334121998782i</v>
      </c>
      <c r="AD185" s="64">
        <f t="shared" si="140"/>
        <v>5.9373261717454682</v>
      </c>
      <c r="AE185" s="61">
        <f t="shared" si="141"/>
        <v>-95.0125708083376</v>
      </c>
      <c r="AF185" s="31" t="str">
        <f t="shared" si="127"/>
        <v>-0.000495863624968664</v>
      </c>
      <c r="AG185" s="31" t="str">
        <f t="shared" si="128"/>
        <v>0.000648666628753723i</v>
      </c>
      <c r="AH185" s="31">
        <f t="shared" si="142"/>
        <v>6.4866662875372302E-4</v>
      </c>
      <c r="AI185" s="31">
        <f t="shared" si="143"/>
        <v>1.5707963267948966</v>
      </c>
      <c r="AJ185" s="31" t="str">
        <f t="shared" si="129"/>
        <v>1+0.00253089777604646i</v>
      </c>
      <c r="AK185" s="31">
        <f t="shared" si="144"/>
        <v>1.0000032027166477</v>
      </c>
      <c r="AL185" s="31">
        <f t="shared" si="145"/>
        <v>2.5308923722262809E-3</v>
      </c>
      <c r="AM185" s="31" t="str">
        <f t="shared" si="130"/>
        <v>1+0.775860773790244i</v>
      </c>
      <c r="AN185" s="31">
        <f t="shared" si="146"/>
        <v>1.2656855613881342</v>
      </c>
      <c r="AO185" s="31">
        <f t="shared" si="147"/>
        <v>0.65984761779525913</v>
      </c>
      <c r="AP185" s="58" t="str">
        <f t="shared" si="148"/>
        <v>-0.591156816712816+0.765931389667967i</v>
      </c>
      <c r="AQ185" s="49">
        <f t="shared" si="149"/>
        <v>-0.28669739973229197</v>
      </c>
      <c r="AR185" s="61">
        <f t="shared" si="150"/>
        <v>127.6614741700992</v>
      </c>
      <c r="AS185" s="58" t="str">
        <f t="shared" si="151"/>
        <v>1.61376215159037+1.03398574133122i</v>
      </c>
      <c r="AT185" s="64">
        <f t="shared" si="152"/>
        <v>5.6506287720131816</v>
      </c>
      <c r="AU185" s="61">
        <f t="shared" si="153"/>
        <v>32.648903361761384</v>
      </c>
    </row>
    <row r="186" spans="14:47" x14ac:dyDescent="0.25">
      <c r="N186" s="10">
        <v>68</v>
      </c>
      <c r="O186" s="50">
        <f t="shared" si="154"/>
        <v>478.63009232263886</v>
      </c>
      <c r="P186" s="48" t="str">
        <f t="shared" si="122"/>
        <v>304.285714285714</v>
      </c>
      <c r="Q186" s="17" t="str">
        <f t="shared" si="123"/>
        <v>1+156.59552999321i</v>
      </c>
      <c r="R186" s="17">
        <f t="shared" si="131"/>
        <v>156.59872289981911</v>
      </c>
      <c r="S186" s="17">
        <f t="shared" si="132"/>
        <v>1.56441053527691</v>
      </c>
      <c r="T186" s="17" t="str">
        <f t="shared" si="124"/>
        <v>1+0.00324790728874806i</v>
      </c>
      <c r="U186" s="17">
        <f t="shared" si="133"/>
        <v>1.0000052744369683</v>
      </c>
      <c r="V186" s="17">
        <f t="shared" si="134"/>
        <v>3.2478958682020439E-3</v>
      </c>
      <c r="W186" s="31" t="str">
        <f t="shared" si="125"/>
        <v>1-0.0101497102773377i</v>
      </c>
      <c r="X186" s="17">
        <f t="shared" si="135"/>
        <v>1.0000515069828724</v>
      </c>
      <c r="Y186" s="17">
        <f t="shared" si="136"/>
        <v>-1.0149361769267489E-2</v>
      </c>
      <c r="Z186" s="31" t="str">
        <f t="shared" si="126"/>
        <v>0.999985615946484+0.0895351529321599i</v>
      </c>
      <c r="AA186" s="17">
        <f t="shared" si="137"/>
        <v>1.0039859439805194</v>
      </c>
      <c r="AB186" s="17">
        <f t="shared" si="138"/>
        <v>8.9298320679935539E-2</v>
      </c>
      <c r="AC186" s="66" t="str">
        <f t="shared" si="139"/>
        <v>-0.173600253611044-1.92768640362547i</v>
      </c>
      <c r="AD186" s="64">
        <f t="shared" si="140"/>
        <v>5.7358074820763738</v>
      </c>
      <c r="AE186" s="61">
        <f t="shared" si="141"/>
        <v>-95.14596285831955</v>
      </c>
      <c r="AF186" s="31" t="str">
        <f t="shared" si="127"/>
        <v>-0.000495863624968664</v>
      </c>
      <c r="AG186" s="31" t="str">
        <f t="shared" si="128"/>
        <v>0.000663776015530067i</v>
      </c>
      <c r="AH186" s="31">
        <f t="shared" si="142"/>
        <v>6.6377601553006696E-4</v>
      </c>
      <c r="AI186" s="31">
        <f t="shared" si="143"/>
        <v>1.5707963267948966</v>
      </c>
      <c r="AJ186" s="31" t="str">
        <f t="shared" si="129"/>
        <v>1+0.00258984995840729i</v>
      </c>
      <c r="AK186" s="31">
        <f t="shared" si="144"/>
        <v>1.00000335365578</v>
      </c>
      <c r="AL186" s="31">
        <f t="shared" si="145"/>
        <v>2.5898441681106951E-3</v>
      </c>
      <c r="AM186" s="31" t="str">
        <f t="shared" si="130"/>
        <v>1+0.793932892805081i</v>
      </c>
      <c r="AN186" s="31">
        <f t="shared" si="146"/>
        <v>1.2768435449489668</v>
      </c>
      <c r="AO186" s="31">
        <f t="shared" si="147"/>
        <v>0.67103052236714511</v>
      </c>
      <c r="AP186" s="58" t="str">
        <f t="shared" si="148"/>
        <v>-0.591156638256035+0.748565568906197i</v>
      </c>
      <c r="AQ186" s="49">
        <f t="shared" si="149"/>
        <v>-0.41046152178887263</v>
      </c>
      <c r="AR186" s="61">
        <f t="shared" si="150"/>
        <v>128.29882971566701</v>
      </c>
      <c r="AS186" s="58" t="str">
        <f t="shared" si="151"/>
        <v>1.54562461172774+1.00961344137249i</v>
      </c>
      <c r="AT186" s="64">
        <f t="shared" si="152"/>
        <v>5.3253459602875033</v>
      </c>
      <c r="AU186" s="61">
        <f t="shared" si="153"/>
        <v>33.15286685734754</v>
      </c>
    </row>
    <row r="187" spans="14:47" x14ac:dyDescent="0.25">
      <c r="N187" s="10">
        <v>69</v>
      </c>
      <c r="O187" s="50">
        <f t="shared" si="154"/>
        <v>489.77881936844625</v>
      </c>
      <c r="P187" s="48" t="str">
        <f t="shared" si="122"/>
        <v>304.285714285714</v>
      </c>
      <c r="Q187" s="17" t="str">
        <f t="shared" si="123"/>
        <v>1+160.243108464543i</v>
      </c>
      <c r="R187" s="17">
        <f t="shared" si="131"/>
        <v>160.24622869315616</v>
      </c>
      <c r="S187" s="17">
        <f t="shared" si="132"/>
        <v>1.5645558898205372</v>
      </c>
      <c r="T187" s="17" t="str">
        <f t="shared" si="124"/>
        <v>1+0.00332356076815348i</v>
      </c>
      <c r="U187" s="17">
        <f t="shared" si="133"/>
        <v>1.000005523012838</v>
      </c>
      <c r="V187" s="17">
        <f t="shared" si="134"/>
        <v>3.3235485308215976E-3</v>
      </c>
      <c r="W187" s="31" t="str">
        <f t="shared" si="125"/>
        <v>1-0.0103861274004796i</v>
      </c>
      <c r="X187" s="17">
        <f t="shared" si="135"/>
        <v>1.0000539343667316</v>
      </c>
      <c r="Y187" s="17">
        <f t="shared" si="136"/>
        <v>-1.0385753968442055E-2</v>
      </c>
      <c r="Z187" s="31" t="str">
        <f t="shared" si="126"/>
        <v>0.999984938046927+0.091620694558265i</v>
      </c>
      <c r="AA187" s="17">
        <f t="shared" si="137"/>
        <v>1.004173405339962</v>
      </c>
      <c r="AB187" s="17">
        <f t="shared" si="138"/>
        <v>9.1366981155296026E-2</v>
      </c>
      <c r="AC187" s="66" t="str">
        <f t="shared" si="139"/>
        <v>-0.174089846005819-1.88305388823492i</v>
      </c>
      <c r="AD187" s="64">
        <f t="shared" si="140"/>
        <v>5.5342170418001828</v>
      </c>
      <c r="AE187" s="61">
        <f t="shared" si="141"/>
        <v>-95.282026271731624</v>
      </c>
      <c r="AF187" s="31" t="str">
        <f t="shared" si="127"/>
        <v>-0.000495863624968664</v>
      </c>
      <c r="AG187" s="31" t="str">
        <f t="shared" si="128"/>
        <v>0.000679237345135958i</v>
      </c>
      <c r="AH187" s="31">
        <f t="shared" si="142"/>
        <v>6.7923734513595797E-4</v>
      </c>
      <c r="AI187" s="31">
        <f t="shared" si="143"/>
        <v>1.5707963267948966</v>
      </c>
      <c r="AJ187" s="31" t="str">
        <f t="shared" si="129"/>
        <v>1+0.00265017531349678i</v>
      </c>
      <c r="AK187" s="31">
        <f t="shared" si="144"/>
        <v>1.00000351170843</v>
      </c>
      <c r="AL187" s="31">
        <f t="shared" si="145"/>
        <v>2.6501691090833721E-3</v>
      </c>
      <c r="AM187" s="31" t="str">
        <f t="shared" si="130"/>
        <v>1+0.812425965548627i</v>
      </c>
      <c r="AN187" s="31">
        <f t="shared" si="146"/>
        <v>1.2884238237077188</v>
      </c>
      <c r="AO187" s="31">
        <f t="shared" si="147"/>
        <v>0.6822719583893655</v>
      </c>
      <c r="AP187" s="58" t="str">
        <f t="shared" si="148"/>
        <v>-0.59115645138896+0.731596647473928i</v>
      </c>
      <c r="AQ187" s="49">
        <f t="shared" si="149"/>
        <v>-0.5320416682150777</v>
      </c>
      <c r="AR187" s="61">
        <f t="shared" si="150"/>
        <v>128.93946019088938</v>
      </c>
      <c r="AS187" s="58" t="str">
        <f t="shared" si="151"/>
        <v>1.48055024723306+0.985815906646029i</v>
      </c>
      <c r="AT187" s="64">
        <f t="shared" si="152"/>
        <v>5.0021753735850929</v>
      </c>
      <c r="AU187" s="61">
        <f t="shared" si="153"/>
        <v>33.657433919157796</v>
      </c>
    </row>
    <row r="188" spans="14:47" x14ac:dyDescent="0.25">
      <c r="N188" s="10">
        <v>70</v>
      </c>
      <c r="O188" s="50">
        <f t="shared" si="154"/>
        <v>501.18723362727269</v>
      </c>
      <c r="P188" s="48" t="str">
        <f t="shared" si="122"/>
        <v>304.285714285714</v>
      </c>
      <c r="Q188" s="17" t="str">
        <f t="shared" si="123"/>
        <v>1+163.975649953051i</v>
      </c>
      <c r="R188" s="17">
        <f t="shared" si="131"/>
        <v>163.97869915792575</v>
      </c>
      <c r="S188" s="17">
        <f t="shared" si="132"/>
        <v>1.5646979359456135</v>
      </c>
      <c r="T188" s="17" t="str">
        <f t="shared" si="124"/>
        <v>1+0.00340097644347069i</v>
      </c>
      <c r="U188" s="17">
        <f t="shared" si="133"/>
        <v>1.0000057833036611</v>
      </c>
      <c r="V188" s="17">
        <f t="shared" si="134"/>
        <v>3.4009633309374288E-3</v>
      </c>
      <c r="W188" s="31" t="str">
        <f t="shared" si="125"/>
        <v>1-0.0106280513858459i</v>
      </c>
      <c r="X188" s="17">
        <f t="shared" si="135"/>
        <v>1.0000564761433528</v>
      </c>
      <c r="Y188" s="17">
        <f t="shared" si="136"/>
        <v>-1.0627651247428909E-2</v>
      </c>
      <c r="Z188" s="31" t="str">
        <f t="shared" si="126"/>
        <v>0.999984228198948+0.0937548146893679i</v>
      </c>
      <c r="AA188" s="17">
        <f t="shared" si="137"/>
        <v>1.004369663980391</v>
      </c>
      <c r="AB188" s="17">
        <f t="shared" si="138"/>
        <v>9.3483019718787794E-2</v>
      </c>
      <c r="AC188" s="66" t="str">
        <f t="shared" si="139"/>
        <v>-0.174551085831727-1.8394200703718i</v>
      </c>
      <c r="AD188" s="64">
        <f t="shared" si="140"/>
        <v>5.3325515606535321</v>
      </c>
      <c r="AE188" s="61">
        <f t="shared" si="141"/>
        <v>-95.420829146012807</v>
      </c>
      <c r="AF188" s="31" t="str">
        <f t="shared" si="127"/>
        <v>-0.000495863624968664</v>
      </c>
      <c r="AG188" s="31" t="str">
        <f t="shared" si="128"/>
        <v>0.00069505881537301i</v>
      </c>
      <c r="AH188" s="31">
        <f t="shared" si="142"/>
        <v>6.9505881537301002E-4</v>
      </c>
      <c r="AI188" s="31">
        <f t="shared" si="143"/>
        <v>1.5707963267948966</v>
      </c>
      <c r="AJ188" s="31" t="str">
        <f t="shared" si="129"/>
        <v>1+0.00271190582661671i</v>
      </c>
      <c r="AK188" s="31">
        <f t="shared" si="144"/>
        <v>1.0000036772098453</v>
      </c>
      <c r="AL188" s="31">
        <f t="shared" si="145"/>
        <v>2.711899178469286E-3</v>
      </c>
      <c r="AM188" s="31" t="str">
        <f t="shared" si="130"/>
        <v>1+0.831349797292835i</v>
      </c>
      <c r="AN188" s="31">
        <f t="shared" si="146"/>
        <v>1.3004393432447503</v>
      </c>
      <c r="AO188" s="31">
        <f t="shared" si="147"/>
        <v>0.69356652224157134</v>
      </c>
      <c r="AP188" s="58" t="str">
        <f t="shared" si="148"/>
        <v>-0.591156255715238+0.715015628221279i</v>
      </c>
      <c r="AQ188" s="49">
        <f t="shared" si="149"/>
        <v>-0.65141603562730621</v>
      </c>
      <c r="AR188" s="61">
        <f t="shared" si="150"/>
        <v>129.58305415861713</v>
      </c>
      <c r="AS188" s="58" t="str">
        <f t="shared" si="151"/>
        <v>1.41840106351103+0.962577927195774i</v>
      </c>
      <c r="AT188" s="64">
        <f t="shared" si="152"/>
        <v>4.6811355250262068</v>
      </c>
      <c r="AU188" s="61">
        <f t="shared" si="153"/>
        <v>34.162225012604395</v>
      </c>
    </row>
    <row r="189" spans="14:47" x14ac:dyDescent="0.25">
      <c r="N189" s="10">
        <v>71</v>
      </c>
      <c r="O189" s="50">
        <f t="shared" si="154"/>
        <v>512.86138399136519</v>
      </c>
      <c r="P189" s="48" t="str">
        <f t="shared" si="122"/>
        <v>304.285714285714</v>
      </c>
      <c r="Q189" s="17" t="str">
        <f t="shared" si="123"/>
        <v>1+167.795133501639i</v>
      </c>
      <c r="R189" s="17">
        <f t="shared" si="131"/>
        <v>167.79811329938383</v>
      </c>
      <c r="S189" s="17">
        <f t="shared" si="132"/>
        <v>1.5648367489439325</v>
      </c>
      <c r="T189" s="17" t="str">
        <f t="shared" si="124"/>
        <v>1+0.00348019536151548i</v>
      </c>
      <c r="U189" s="17">
        <f t="shared" si="133"/>
        <v>1.0000060558615405</v>
      </c>
      <c r="V189" s="17">
        <f t="shared" si="134"/>
        <v>3.4801813111875455E-3</v>
      </c>
      <c r="W189" s="31" t="str">
        <f t="shared" si="125"/>
        <v>1-0.0108756105047359i</v>
      </c>
      <c r="X189" s="17">
        <f t="shared" si="135"/>
        <v>1.0000591377032915</v>
      </c>
      <c r="Y189" s="17">
        <f t="shared" si="136"/>
        <v>-1.0875181750066666E-2</v>
      </c>
      <c r="Z189" s="31" t="str">
        <f t="shared" si="126"/>
        <v>0.999983484896864+0.0959386448642108i</v>
      </c>
      <c r="AA189" s="17">
        <f t="shared" si="137"/>
        <v>1.0045751309110023</v>
      </c>
      <c r="AB189" s="17">
        <f t="shared" si="138"/>
        <v>9.5647482893415653E-2</v>
      </c>
      <c r="AC189" s="66" t="str">
        <f t="shared" si="139"/>
        <v>-0.174984958941082-1.7967618773149i</v>
      </c>
      <c r="AD189" s="64">
        <f t="shared" si="140"/>
        <v>5.1308075971423817</v>
      </c>
      <c r="AE189" s="61">
        <f t="shared" si="141"/>
        <v>-95.562440746947715</v>
      </c>
      <c r="AF189" s="31" t="str">
        <f t="shared" si="127"/>
        <v>-0.000495863624968664</v>
      </c>
      <c r="AG189" s="31" t="str">
        <f t="shared" si="128"/>
        <v>0.000711248814994164i</v>
      </c>
      <c r="AH189" s="31">
        <f t="shared" si="142"/>
        <v>7.11248814994164E-4</v>
      </c>
      <c r="AI189" s="31">
        <f t="shared" si="143"/>
        <v>1.5707963267948966</v>
      </c>
      <c r="AJ189" s="31" t="str">
        <f t="shared" si="129"/>
        <v>1+0.00277507422810222i</v>
      </c>
      <c r="AK189" s="31">
        <f t="shared" si="144"/>
        <v>1.0000038505110724</v>
      </c>
      <c r="AL189" s="31">
        <f t="shared" si="145"/>
        <v>2.7750671044853925E-3</v>
      </c>
      <c r="AM189" s="31" t="str">
        <f t="shared" si="130"/>
        <v>1+0.850714421703783i</v>
      </c>
      <c r="AN189" s="31">
        <f t="shared" si="146"/>
        <v>1.3129032817747093</v>
      </c>
      <c r="AO189" s="31">
        <f t="shared" si="147"/>
        <v>0.70490867665786572</v>
      </c>
      <c r="AP189" s="58" t="str">
        <f t="shared" si="148"/>
        <v>-0.591156050819836+0.698813719669039i</v>
      </c>
      <c r="AQ189" s="49">
        <f t="shared" si="149"/>
        <v>-0.76856486451521677</v>
      </c>
      <c r="AR189" s="61">
        <f t="shared" si="150"/>
        <v>130.2292924816951</v>
      </c>
      <c r="AS189" s="58" t="str">
        <f t="shared" si="151"/>
        <v>1.35904526812643+0.939884765613359i</v>
      </c>
      <c r="AT189" s="64">
        <f t="shared" si="152"/>
        <v>4.3622427326271538</v>
      </c>
      <c r="AU189" s="61">
        <f t="shared" si="153"/>
        <v>34.666851734747411</v>
      </c>
    </row>
    <row r="190" spans="14:47" x14ac:dyDescent="0.25">
      <c r="N190" s="10">
        <v>72</v>
      </c>
      <c r="O190" s="50">
        <f t="shared" si="154"/>
        <v>524.80746024977248</v>
      </c>
      <c r="P190" s="48" t="str">
        <f t="shared" si="122"/>
        <v>304.285714285714</v>
      </c>
      <c r="Q190" s="17" t="str">
        <f t="shared" si="123"/>
        <v>1+171.703584251042i</v>
      </c>
      <c r="R190" s="17">
        <f t="shared" si="131"/>
        <v>171.70649622147286</v>
      </c>
      <c r="S190" s="17">
        <f t="shared" si="132"/>
        <v>1.5649724023945732</v>
      </c>
      <c r="T190" s="17" t="str">
        <f t="shared" si="124"/>
        <v>1+0.00356125952520678i</v>
      </c>
      <c r="U190" s="17">
        <f t="shared" si="133"/>
        <v>1.000006341264597</v>
      </c>
      <c r="V190" s="17">
        <f t="shared" si="134"/>
        <v>3.5612444700143095E-3</v>
      </c>
      <c r="W190" s="31" t="str">
        <f t="shared" si="125"/>
        <v>1-0.0111289360162712i</v>
      </c>
      <c r="X190" s="17">
        <f t="shared" si="135"/>
        <v>1.0000619246910933</v>
      </c>
      <c r="Y190" s="17">
        <f t="shared" si="136"/>
        <v>-1.1128476598902315E-2</v>
      </c>
      <c r="Z190" s="31" t="str">
        <f t="shared" si="126"/>
        <v>0.999982706564032+0.098173342978459i</v>
      </c>
      <c r="AA190" s="17">
        <f t="shared" si="137"/>
        <v>1.0047902361680736</v>
      </c>
      <c r="AB190" s="17">
        <f t="shared" si="138"/>
        <v>9.7861437579947946E-2</v>
      </c>
      <c r="AC190" s="66" t="str">
        <f t="shared" si="139"/>
        <v>-0.175392393895488-1.75505675511627i</v>
      </c>
      <c r="AD190" s="64">
        <f t="shared" si="140"/>
        <v>4.928981551994994</v>
      </c>
      <c r="AE190" s="61">
        <f t="shared" si="141"/>
        <v>-95.706931525653246</v>
      </c>
      <c r="AF190" s="31" t="str">
        <f t="shared" si="127"/>
        <v>-0.000495863624968664</v>
      </c>
      <c r="AG190" s="31" t="str">
        <f t="shared" si="128"/>
        <v>0.000727815928151518i</v>
      </c>
      <c r="AH190" s="31">
        <f t="shared" si="142"/>
        <v>7.2781592815151803E-4</v>
      </c>
      <c r="AI190" s="31">
        <f t="shared" si="143"/>
        <v>1.5707963267948966</v>
      </c>
      <c r="AJ190" s="31" t="str">
        <f t="shared" si="129"/>
        <v>1+0.00283971401067593i</v>
      </c>
      <c r="AK190" s="31">
        <f t="shared" si="144"/>
        <v>1.0000040319797028</v>
      </c>
      <c r="AL190" s="31">
        <f t="shared" si="145"/>
        <v>2.839706377584638E-3</v>
      </c>
      <c r="AM190" s="31" t="str">
        <f t="shared" si="130"/>
        <v>1+0.870530106161657i</v>
      </c>
      <c r="AN190" s="31">
        <f t="shared" si="146"/>
        <v>1.3258290484575399</v>
      </c>
      <c r="AO190" s="31">
        <f t="shared" si="147"/>
        <v>0.71629276335897796</v>
      </c>
      <c r="AP190" s="58" t="str">
        <f t="shared" si="148"/>
        <v>-0.591155836268165+0.682982331347251i</v>
      </c>
      <c r="AQ190" s="49">
        <f t="shared" si="149"/>
        <v>-0.88347051825494027</v>
      </c>
      <c r="AR190" s="61">
        <f t="shared" si="150"/>
        <v>130.87784904574048</v>
      </c>
      <c r="AS190" s="58" t="str">
        <f t="shared" si="151"/>
        <v>1.30235699154441+0.917722137685535i</v>
      </c>
      <c r="AT190" s="64">
        <f t="shared" si="152"/>
        <v>4.045511033740036</v>
      </c>
      <c r="AU190" s="61">
        <f t="shared" si="153"/>
        <v>35.170917520087308</v>
      </c>
    </row>
    <row r="191" spans="14:47" x14ac:dyDescent="0.25">
      <c r="N191" s="10">
        <v>73</v>
      </c>
      <c r="O191" s="50">
        <f t="shared" si="154"/>
        <v>537.03179637025301</v>
      </c>
      <c r="P191" s="48" t="str">
        <f t="shared" si="122"/>
        <v>304.285714285714</v>
      </c>
      <c r="Q191" s="17" t="str">
        <f t="shared" si="123"/>
        <v>1+175.703074513579i</v>
      </c>
      <c r="R191" s="17">
        <f t="shared" si="131"/>
        <v>175.70592020055639</v>
      </c>
      <c r="S191" s="17">
        <f t="shared" si="132"/>
        <v>1.5651049682028086</v>
      </c>
      <c r="T191" s="17" t="str">
        <f t="shared" si="124"/>
        <v>1+0.00364421191583718i</v>
      </c>
      <c r="U191" s="17">
        <f t="shared" si="133"/>
        <v>1.0000066401181982</v>
      </c>
      <c r="V191" s="17">
        <f t="shared" si="134"/>
        <v>3.6441957839135888E-3</v>
      </c>
      <c r="W191" s="31" t="str">
        <f t="shared" si="125"/>
        <v>1-0.0113881622369912i</v>
      </c>
      <c r="X191" s="17">
        <f t="shared" si="135"/>
        <v>1.0000648430172596</v>
      </c>
      <c r="Y191" s="17">
        <f t="shared" si="136"/>
        <v>-1.1387669964135145E-2</v>
      </c>
      <c r="Z191" s="31" t="str">
        <f t="shared" si="126"/>
        <v>0.999981891549504+0.100460093898632i</v>
      </c>
      <c r="AA191" s="17">
        <f t="shared" si="137"/>
        <v>1.0050154296790901</v>
      </c>
      <c r="AB191" s="17">
        <f t="shared" si="138"/>
        <v>0.10012597125537738</v>
      </c>
      <c r="AC191" s="66" t="str">
        <f t="shared" si="139"/>
        <v>-0.175774264002375-1.71428265693168i</v>
      </c>
      <c r="AD191" s="64">
        <f t="shared" si="140"/>
        <v>4.7270696613508392</v>
      </c>
      <c r="AE191" s="61">
        <f t="shared" si="141"/>
        <v>-95.854373134854384</v>
      </c>
      <c r="AF191" s="31" t="str">
        <f t="shared" si="127"/>
        <v>-0.000495863624968664</v>
      </c>
      <c r="AG191" s="31" t="str">
        <f t="shared" si="128"/>
        <v>0.000744768938947761i</v>
      </c>
      <c r="AH191" s="31">
        <f t="shared" si="142"/>
        <v>7.4476893894776105E-4</v>
      </c>
      <c r="AI191" s="31">
        <f t="shared" si="143"/>
        <v>1.5707963267948966</v>
      </c>
      <c r="AJ191" s="31" t="str">
        <f t="shared" si="129"/>
        <v>1+0.00290585944720615i</v>
      </c>
      <c r="AK191" s="31">
        <f t="shared" si="144"/>
        <v>1.0000042220006509</v>
      </c>
      <c r="AL191" s="31">
        <f t="shared" si="145"/>
        <v>2.9058512682033372E-3</v>
      </c>
      <c r="AM191" s="31" t="str">
        <f t="shared" si="130"/>
        <v>1+0.890807357204643i</v>
      </c>
      <c r="AN191" s="31">
        <f t="shared" si="146"/>
        <v>1.3392302817849961</v>
      </c>
      <c r="AO191" s="31">
        <f t="shared" si="147"/>
        <v>0.7277130164200587</v>
      </c>
      <c r="AP191" s="58" t="str">
        <f t="shared" si="148"/>
        <v>-0.591155611605149+0.667513069240438i</v>
      </c>
      <c r="AQ191" s="49">
        <f t="shared" si="149"/>
        <v>-0.99611755454527873</v>
      </c>
      <c r="AR191" s="61">
        <f t="shared" si="150"/>
        <v>131.52839152404303</v>
      </c>
      <c r="AS191" s="58" t="str">
        <f t="shared" si="151"/>
        <v>1.24821602041489+0.896076194064843i</v>
      </c>
      <c r="AT191" s="64">
        <f t="shared" si="152"/>
        <v>3.7309521068055718</v>
      </c>
      <c r="AU191" s="61">
        <f t="shared" si="153"/>
        <v>35.67401838918861</v>
      </c>
    </row>
    <row r="192" spans="14:47" x14ac:dyDescent="0.25">
      <c r="N192" s="10">
        <v>74</v>
      </c>
      <c r="O192" s="50">
        <f t="shared" si="154"/>
        <v>549.54087385762534</v>
      </c>
      <c r="P192" s="48" t="str">
        <f t="shared" si="122"/>
        <v>304.285714285714</v>
      </c>
      <c r="Q192" s="17" t="str">
        <f t="shared" si="123"/>
        <v>1+179.795724871928i</v>
      </c>
      <c r="R192" s="17">
        <f t="shared" si="131"/>
        <v>179.79850578417506</v>
      </c>
      <c r="S192" s="17">
        <f t="shared" si="132"/>
        <v>1.565234516638137</v>
      </c>
      <c r="T192" s="17" t="str">
        <f t="shared" si="124"/>
        <v>1+0.00372909651586221i</v>
      </c>
      <c r="U192" s="17">
        <f t="shared" si="133"/>
        <v>1.0000069530562399</v>
      </c>
      <c r="V192" s="17">
        <f t="shared" si="134"/>
        <v>3.7290792302011426E-3</v>
      </c>
      <c r="W192" s="31" t="str">
        <f t="shared" si="125"/>
        <v>1-0.0116534266120694i</v>
      </c>
      <c r="X192" s="17">
        <f t="shared" si="135"/>
        <v>1.0000678988707732</v>
      </c>
      <c r="Y192" s="17">
        <f t="shared" si="136"/>
        <v>-1.1652899134134885E-2</v>
      </c>
      <c r="Z192" s="31" t="str">
        <f t="shared" si="126"/>
        <v>0.999981038124525+0.102800110090337i</v>
      </c>
      <c r="AA192" s="17">
        <f t="shared" si="137"/>
        <v>1.0052511821645316</v>
      </c>
      <c r="AB192" s="17">
        <f t="shared" si="138"/>
        <v>0.10244219215742158</v>
      </c>
      <c r="AC192" s="66" t="str">
        <f t="shared" si="139"/>
        <v>-0.176131389240856-1.67441803162626i</v>
      </c>
      <c r="AD192" s="64">
        <f t="shared" si="140"/>
        <v>4.5250679896765877</v>
      </c>
      <c r="AE192" s="61">
        <f t="shared" si="141"/>
        <v>-96.004838444370264</v>
      </c>
      <c r="AF192" s="31" t="str">
        <f t="shared" si="127"/>
        <v>-0.000495863624968664</v>
      </c>
      <c r="AG192" s="31" t="str">
        <f t="shared" si="128"/>
        <v>0.000762116836093618i</v>
      </c>
      <c r="AH192" s="31">
        <f t="shared" si="142"/>
        <v>7.6211683609361802E-4</v>
      </c>
      <c r="AI192" s="31">
        <f t="shared" si="143"/>
        <v>1.5707963267948966</v>
      </c>
      <c r="AJ192" s="31" t="str">
        <f t="shared" si="129"/>
        <v>1+0.00297354560887888i</v>
      </c>
      <c r="AK192" s="31">
        <f t="shared" si="144"/>
        <v>1.0000044209769714</v>
      </c>
      <c r="AL192" s="31">
        <f t="shared" si="145"/>
        <v>2.9735368449215612E-3</v>
      </c>
      <c r="AM192" s="31" t="str">
        <f t="shared" si="130"/>
        <v>1+0.911556926099651i</v>
      </c>
      <c r="AN192" s="31">
        <f t="shared" si="146"/>
        <v>1.3531208480842518</v>
      </c>
      <c r="AO192" s="31">
        <f t="shared" si="147"/>
        <v>0.73916357630219698</v>
      </c>
      <c r="AP192" s="58" t="str">
        <f t="shared" si="148"/>
        <v>-0.591155376354276+0.652397731336966i</v>
      </c>
      <c r="AQ192" s="49">
        <f t="shared" si="149"/>
        <v>-1.1064927886636633</v>
      </c>
      <c r="AR192" s="61">
        <f t="shared" si="150"/>
        <v>132.18058218047159</v>
      </c>
      <c r="AS192" s="58" t="str">
        <f t="shared" si="151"/>
        <v>1.19650754283716+0.874933502902445i</v>
      </c>
      <c r="AT192" s="64">
        <f t="shared" si="152"/>
        <v>3.4185752010129238</v>
      </c>
      <c r="AU192" s="61">
        <f t="shared" si="153"/>
        <v>36.175743736101317</v>
      </c>
    </row>
    <row r="193" spans="14:47" x14ac:dyDescent="0.25">
      <c r="N193" s="10">
        <v>75</v>
      </c>
      <c r="O193" s="50">
        <f t="shared" si="154"/>
        <v>562.34132519034927</v>
      </c>
      <c r="P193" s="48" t="str">
        <f t="shared" si="122"/>
        <v>304.285714285714</v>
      </c>
      <c r="Q193" s="17" t="str">
        <f t="shared" si="123"/>
        <v>1+183.983705303483i</v>
      </c>
      <c r="R193" s="17">
        <f t="shared" si="131"/>
        <v>183.98642291538494</v>
      </c>
      <c r="S193" s="17">
        <f t="shared" si="132"/>
        <v>1.56536111637145</v>
      </c>
      <c r="T193" s="17" t="str">
        <f t="shared" si="124"/>
        <v>1+0.00381595833222037i</v>
      </c>
      <c r="U193" s="17">
        <f t="shared" si="133"/>
        <v>1.000007280742492</v>
      </c>
      <c r="V193" s="17">
        <f t="shared" si="134"/>
        <v>3.8159398103081157E-3</v>
      </c>
      <c r="W193" s="31" t="str">
        <f t="shared" si="125"/>
        <v>1-0.0119248697881887i</v>
      </c>
      <c r="X193" s="17">
        <f t="shared" si="135"/>
        <v>1.0000710987322179</v>
      </c>
      <c r="Y193" s="17">
        <f t="shared" si="136"/>
        <v>-1.1924304587568962E-2</v>
      </c>
      <c r="Z193" s="31" t="str">
        <f t="shared" si="126"/>
        <v>0.999980144478866+0.105194632261132i</v>
      </c>
      <c r="AA193" s="17">
        <f t="shared" si="137"/>
        <v>1.0054979860788027</v>
      </c>
      <c r="AB193" s="17">
        <f t="shared" si="138"/>
        <v>0.10481122945354135</v>
      </c>
      <c r="AC193" s="66" t="str">
        <f t="shared" si="139"/>
        <v>-0.176464538081573-1.63544181265082i</v>
      </c>
      <c r="AD193" s="64">
        <f t="shared" si="140"/>
        <v>4.3229724224030939</v>
      </c>
      <c r="AE193" s="61">
        <f t="shared" si="141"/>
        <v>-96.15840155572576</v>
      </c>
      <c r="AF193" s="31" t="str">
        <f t="shared" si="127"/>
        <v>-0.000495863624968664</v>
      </c>
      <c r="AG193" s="31" t="str">
        <f t="shared" si="128"/>
        <v>0.000779868817673778i</v>
      </c>
      <c r="AH193" s="31">
        <f t="shared" si="142"/>
        <v>7.7986881767377805E-4</v>
      </c>
      <c r="AI193" s="31">
        <f t="shared" si="143"/>
        <v>1.5707963267948966</v>
      </c>
      <c r="AJ193" s="31" t="str">
        <f t="shared" si="129"/>
        <v>1+0.00304280838379297i</v>
      </c>
      <c r="AK193" s="31">
        <f t="shared" si="144"/>
        <v>1.0000046293307148</v>
      </c>
      <c r="AL193" s="31">
        <f t="shared" si="145"/>
        <v>3.0427989930458606E-3</v>
      </c>
      <c r="AM193" s="31" t="str">
        <f t="shared" si="130"/>
        <v>1+0.932789814542757i</v>
      </c>
      <c r="AN193" s="31">
        <f t="shared" si="146"/>
        <v>1.3675148401807971</v>
      </c>
      <c r="AO193" s="31">
        <f t="shared" si="147"/>
        <v>0.75063850446821567</v>
      </c>
      <c r="AP193" s="58" t="str">
        <f t="shared" si="148"/>
        <v>-0.59115513001657+0.637628303280205i</v>
      </c>
      <c r="AQ193" s="49">
        <f t="shared" si="149"/>
        <v>-1.21458534799913</v>
      </c>
      <c r="AR193" s="61">
        <f t="shared" si="150"/>
        <v>132.83407870583264</v>
      </c>
      <c r="AS193" s="58" t="str">
        <f t="shared" si="151"/>
        <v>1.14712190506697+0.854281033386052i</v>
      </c>
      <c r="AT193" s="64">
        <f t="shared" si="152"/>
        <v>3.1083870744039603</v>
      </c>
      <c r="AU193" s="61">
        <f t="shared" si="153"/>
        <v>36.6756771501069</v>
      </c>
    </row>
    <row r="194" spans="14:47" x14ac:dyDescent="0.25">
      <c r="N194" s="10">
        <v>76</v>
      </c>
      <c r="O194" s="50">
        <f t="shared" si="154"/>
        <v>575.43993733715706</v>
      </c>
      <c r="P194" s="48" t="str">
        <f t="shared" si="122"/>
        <v>304.285714285714</v>
      </c>
      <c r="Q194" s="17" t="str">
        <f t="shared" si="123"/>
        <v>1+188.269236330901i</v>
      </c>
      <c r="R194" s="17">
        <f t="shared" si="131"/>
        <v>188.27189208328645</v>
      </c>
      <c r="S194" s="17">
        <f t="shared" si="132"/>
        <v>1.5654848345113601</v>
      </c>
      <c r="T194" s="17" t="str">
        <f t="shared" si="124"/>
        <v>1+0.00390484342019646i</v>
      </c>
      <c r="U194" s="17">
        <f t="shared" si="133"/>
        <v>1.0000076238720064</v>
      </c>
      <c r="V194" s="17">
        <f t="shared" si="134"/>
        <v>3.9048235736180814E-3</v>
      </c>
      <c r="W194" s="31" t="str">
        <f t="shared" si="125"/>
        <v>1-0.012202635688114i</v>
      </c>
      <c r="X194" s="17">
        <f t="shared" si="135"/>
        <v>1.0000744493875127</v>
      </c>
      <c r="Y194" s="17">
        <f t="shared" si="136"/>
        <v>-1.220203006717358E-2</v>
      </c>
      <c r="Z194" s="31" t="str">
        <f t="shared" si="126"/>
        <v>0.999979208716984+0.107644930018367i</v>
      </c>
      <c r="AA194" s="17">
        <f t="shared" si="137"/>
        <v>1.0057563565918459</v>
      </c>
      <c r="AB194" s="17">
        <f t="shared" si="138"/>
        <v>0.10723423339286324</v>
      </c>
      <c r="AC194" s="66" t="str">
        <f t="shared" si="139"/>
        <v>-0.176774429204991-1.59733340718395i</v>
      </c>
      <c r="AD194" s="64">
        <f t="shared" si="140"/>
        <v>4.1207786582746015</v>
      </c>
      <c r="AE194" s="61">
        <f t="shared" si="141"/>
        <v>-96.315137815798238</v>
      </c>
      <c r="AF194" s="31" t="str">
        <f t="shared" si="127"/>
        <v>-0.000495863624968664</v>
      </c>
      <c r="AG194" s="31" t="str">
        <f t="shared" si="128"/>
        <v>0.000798034296023854i</v>
      </c>
      <c r="AH194" s="31">
        <f t="shared" si="142"/>
        <v>7.9803429602385396E-4</v>
      </c>
      <c r="AI194" s="31">
        <f t="shared" si="143"/>
        <v>1.5707963267948966</v>
      </c>
      <c r="AJ194" s="31" t="str">
        <f t="shared" si="129"/>
        <v>1+0.00311368449598847i</v>
      </c>
      <c r="AK194" s="31">
        <f t="shared" si="144"/>
        <v>1.0000048475038212</v>
      </c>
      <c r="AL194" s="31">
        <f t="shared" si="145"/>
        <v>3.1136744336242861E-3</v>
      </c>
      <c r="AM194" s="31" t="str">
        <f t="shared" si="130"/>
        <v>1+0.954517280492468i</v>
      </c>
      <c r="AN194" s="31">
        <f t="shared" si="146"/>
        <v>1.3824265762631796</v>
      </c>
      <c r="AO194" s="31">
        <f t="shared" si="147"/>
        <v>0.76213179849667878</v>
      </c>
      <c r="AP194" s="58" t="str">
        <f t="shared" si="148"/>
        <v>-0.591154872069548+0.623196954119179i</v>
      </c>
      <c r="AQ194" s="49">
        <f t="shared" si="149"/>
        <v>-1.3203867173876942</v>
      </c>
      <c r="AR194" s="61">
        <f t="shared" si="150"/>
        <v>133.48853508275033</v>
      </c>
      <c r="AS194" s="58" t="str">
        <f t="shared" si="151"/>
        <v>1.09995437915169+0.834106140129536i</v>
      </c>
      <c r="AT194" s="64">
        <f t="shared" si="152"/>
        <v>2.8003919408868971</v>
      </c>
      <c r="AU194" s="61">
        <f t="shared" si="153"/>
        <v>37.173397266952115</v>
      </c>
    </row>
    <row r="195" spans="14:47" x14ac:dyDescent="0.25">
      <c r="N195" s="10">
        <v>77</v>
      </c>
      <c r="O195" s="50">
        <f t="shared" si="154"/>
        <v>588.84365535558959</v>
      </c>
      <c r="P195" s="48" t="str">
        <f t="shared" si="122"/>
        <v>304.285714285714</v>
      </c>
      <c r="Q195" s="17" t="str">
        <f t="shared" si="123"/>
        <v>1+192.654590199461i</v>
      </c>
      <c r="R195" s="17">
        <f t="shared" si="131"/>
        <v>192.65718550036553</v>
      </c>
      <c r="S195" s="17">
        <f t="shared" si="132"/>
        <v>1.5656057366397049</v>
      </c>
      <c r="T195" s="17" t="str">
        <f t="shared" si="124"/>
        <v>1+0.00399579890784065i</v>
      </c>
      <c r="U195" s="17">
        <f t="shared" si="133"/>
        <v>1.0000079831725903</v>
      </c>
      <c r="V195" s="17">
        <f t="shared" si="134"/>
        <v>3.9957776418579434E-3</v>
      </c>
      <c r="W195" s="31" t="str">
        <f t="shared" si="125"/>
        <v>1-0.0124868715870021i</v>
      </c>
      <c r="X195" s="17">
        <f t="shared" si="135"/>
        <v>1.0000779579422947</v>
      </c>
      <c r="Y195" s="17">
        <f t="shared" si="136"/>
        <v>-1.2486222655204828E-2</v>
      </c>
      <c r="Z195" s="31" t="str">
        <f t="shared" si="126"/>
        <v>0.999978228854003+0.110152302542347i</v>
      </c>
      <c r="AA195" s="17">
        <f t="shared" si="137"/>
        <v>1.0060268326130122</v>
      </c>
      <c r="AB195" s="17">
        <f t="shared" si="138"/>
        <v>0.10971237543927002</v>
      </c>
      <c r="AC195" s="66" t="str">
        <f t="shared" si="139"/>
        <v>-0.177061733122442-1.56007268553528i</v>
      </c>
      <c r="AD195" s="64">
        <f t="shared" si="140"/>
        <v>3.9184822014020053</v>
      </c>
      <c r="AE195" s="61">
        <f t="shared" si="141"/>
        <v>-96.475123829402946</v>
      </c>
      <c r="AF195" s="31" t="str">
        <f t="shared" si="127"/>
        <v>-0.000495863624968664</v>
      </c>
      <c r="AG195" s="31" t="str">
        <f t="shared" si="128"/>
        <v>0.000816622902720916i</v>
      </c>
      <c r="AH195" s="31">
        <f t="shared" si="142"/>
        <v>8.1662290272091595E-4</v>
      </c>
      <c r="AI195" s="31">
        <f t="shared" si="143"/>
        <v>1.5707963267948966</v>
      </c>
      <c r="AJ195" s="31" t="str">
        <f t="shared" si="129"/>
        <v>1+0.00318621152491823i</v>
      </c>
      <c r="AK195" s="31">
        <f t="shared" si="144"/>
        <v>1.0000050759590582</v>
      </c>
      <c r="AL195" s="31">
        <f t="shared" si="145"/>
        <v>3.1862007429037066E-3</v>
      </c>
      <c r="AM195" s="31" t="str">
        <f t="shared" si="130"/>
        <v>1+0.976750844138826i</v>
      </c>
      <c r="AN195" s="31">
        <f t="shared" si="146"/>
        <v>1.3978705989918769</v>
      </c>
      <c r="AO195" s="31">
        <f t="shared" si="147"/>
        <v>0.77363740760216437</v>
      </c>
      <c r="AP195" s="58" t="str">
        <f t="shared" si="148"/>
        <v>-0.591154601966095+0.609096032156496i</v>
      </c>
      <c r="AQ195" s="49">
        <f t="shared" si="149"/>
        <v>-1.4238907748516527</v>
      </c>
      <c r="AR195" s="61">
        <f t="shared" si="150"/>
        <v>134.14360247379625</v>
      </c>
      <c r="AS195" s="58" t="str">
        <f t="shared" si="151"/>
        <v>1.05490494100269+0.814396548364154i</v>
      </c>
      <c r="AT195" s="64">
        <f t="shared" si="152"/>
        <v>2.4945914265503424</v>
      </c>
      <c r="AU195" s="61">
        <f t="shared" si="153"/>
        <v>37.668478644393375</v>
      </c>
    </row>
    <row r="196" spans="14:47" x14ac:dyDescent="0.25">
      <c r="N196" s="10">
        <v>78</v>
      </c>
      <c r="O196" s="50">
        <f t="shared" si="154"/>
        <v>602.55958607435832</v>
      </c>
      <c r="P196" s="48" t="str">
        <f t="shared" si="122"/>
        <v>304.285714285714</v>
      </c>
      <c r="Q196" s="17" t="str">
        <f t="shared" si="123"/>
        <v>1+197.142092081828i</v>
      </c>
      <c r="R196" s="17">
        <f t="shared" si="131"/>
        <v>197.14462830724034</v>
      </c>
      <c r="S196" s="17">
        <f t="shared" si="132"/>
        <v>1.5657238868462466</v>
      </c>
      <c r="T196" s="17" t="str">
        <f t="shared" si="124"/>
        <v>1+0.00408887302095643i</v>
      </c>
      <c r="U196" s="17">
        <f t="shared" si="133"/>
        <v>1.0000083594063509</v>
      </c>
      <c r="V196" s="17">
        <f t="shared" si="134"/>
        <v>4.0888502340557034E-3</v>
      </c>
      <c r="W196" s="31" t="str">
        <f t="shared" si="125"/>
        <v>1-0.0127777281904889i</v>
      </c>
      <c r="X196" s="17">
        <f t="shared" si="135"/>
        <v>1.0000816318369765</v>
      </c>
      <c r="Y196" s="17">
        <f t="shared" si="136"/>
        <v>-1.2777032850605712E-2</v>
      </c>
      <c r="Z196" s="31" t="str">
        <f t="shared" si="126"/>
        <v>0.999977202811503+0.112718079275173i</v>
      </c>
      <c r="AA196" s="17">
        <f t="shared" si="137"/>
        <v>1.0063099778588116</v>
      </c>
      <c r="AB196" s="17">
        <f t="shared" si="138"/>
        <v>0.11224684838381235</v>
      </c>
      <c r="AC196" s="66" t="str">
        <f t="shared" si="139"/>
        <v>-0.177327073704078-1.52363997080557i</v>
      </c>
      <c r="AD196" s="64">
        <f t="shared" si="140"/>
        <v>3.7160783530129331</v>
      </c>
      <c r="AE196" s="61">
        <f t="shared" si="141"/>
        <v>-96.638437470713342</v>
      </c>
      <c r="AF196" s="31" t="str">
        <f t="shared" si="127"/>
        <v>-0.000495863624968664</v>
      </c>
      <c r="AG196" s="31" t="str">
        <f t="shared" si="128"/>
        <v>0.000835644493690281i</v>
      </c>
      <c r="AH196" s="31">
        <f t="shared" si="142"/>
        <v>8.3564449369028101E-4</v>
      </c>
      <c r="AI196" s="31">
        <f t="shared" si="143"/>
        <v>1.5707963267948966</v>
      </c>
      <c r="AJ196" s="31" t="str">
        <f t="shared" si="129"/>
        <v>1+0.003260427925373i</v>
      </c>
      <c r="AK196" s="31">
        <f t="shared" si="144"/>
        <v>1.0000053151810027</v>
      </c>
      <c r="AL196" s="31">
        <f t="shared" si="145"/>
        <v>3.2604163722396049E-3</v>
      </c>
      <c r="AM196" s="31" t="str">
        <f t="shared" si="130"/>
        <v>1+0.999502294011571i</v>
      </c>
      <c r="AN196" s="31">
        <f t="shared" si="146"/>
        <v>1.4138616748941153</v>
      </c>
      <c r="AO196" s="31">
        <f t="shared" si="147"/>
        <v>0.78514924846514711</v>
      </c>
      <c r="AP196" s="58" t="str">
        <f t="shared" si="148"/>
        <v>-0.591154319133323+0.595318060891256i</v>
      </c>
      <c r="AQ196" s="49">
        <f t="shared" si="149"/>
        <v>-1.5250938174261481</v>
      </c>
      <c r="AR196" s="61">
        <f t="shared" si="150"/>
        <v>134.79893012733658</v>
      </c>
      <c r="AS196" s="58" t="str">
        <f t="shared" si="151"/>
        <v>1.01187805843582+0.79514033988485i</v>
      </c>
      <c r="AT196" s="64">
        <f t="shared" si="152"/>
        <v>2.1909845355867805</v>
      </c>
      <c r="AU196" s="61">
        <f t="shared" si="153"/>
        <v>38.160492656623248</v>
      </c>
    </row>
    <row r="197" spans="14:47" x14ac:dyDescent="0.25">
      <c r="N197" s="10">
        <v>79</v>
      </c>
      <c r="O197" s="50">
        <f t="shared" si="154"/>
        <v>616.59500186148273</v>
      </c>
      <c r="P197" s="48" t="str">
        <f t="shared" si="122"/>
        <v>304.285714285714</v>
      </c>
      <c r="Q197" s="17" t="str">
        <f t="shared" si="123"/>
        <v>1+201.734121310902i</v>
      </c>
      <c r="R197" s="17">
        <f t="shared" si="131"/>
        <v>201.73659980549323</v>
      </c>
      <c r="S197" s="17">
        <f t="shared" si="132"/>
        <v>1.5658393477625869</v>
      </c>
      <c r="T197" s="17" t="str">
        <f t="shared" si="124"/>
        <v>1+0.00418411510867056i</v>
      </c>
      <c r="U197" s="17">
        <f t="shared" si="133"/>
        <v>1.0000087533713105</v>
      </c>
      <c r="V197" s="17">
        <f t="shared" si="134"/>
        <v>4.1840906920780673E-3</v>
      </c>
      <c r="W197" s="31" t="str">
        <f t="shared" si="125"/>
        <v>1-0.0130753597145955i</v>
      </c>
      <c r="X197" s="17">
        <f t="shared" si="135"/>
        <v>1.0000854788625151</v>
      </c>
      <c r="Y197" s="17">
        <f t="shared" si="136"/>
        <v>-1.3074614647926332E-2</v>
      </c>
      <c r="Z197" s="31" t="str">
        <f t="shared" si="126"/>
        <v>0.999976128413109+0.115343620625631i</v>
      </c>
      <c r="AA197" s="17">
        <f t="shared" si="137"/>
        <v>1.0066063819662083</v>
      </c>
      <c r="AB197" s="17">
        <f t="shared" si="138"/>
        <v>0.1148388664344776</v>
      </c>
      <c r="AC197" s="66" t="str">
        <f t="shared" si="139"/>
        <v>-0.177571029617766-1.48801602879944i</v>
      </c>
      <c r="AD197" s="64">
        <f t="shared" si="140"/>
        <v>3.5135622028914355</v>
      </c>
      <c r="AE197" s="61">
        <f t="shared" si="141"/>
        <v>-96.80515789340599</v>
      </c>
      <c r="AF197" s="31" t="str">
        <f t="shared" si="127"/>
        <v>-0.000495863624968664</v>
      </c>
      <c r="AG197" s="31" t="str">
        <f t="shared" si="128"/>
        <v>0.000855109154431263i</v>
      </c>
      <c r="AH197" s="31">
        <f t="shared" si="142"/>
        <v>8.5510915443126297E-4</v>
      </c>
      <c r="AI197" s="31">
        <f t="shared" si="143"/>
        <v>1.5707963267948966</v>
      </c>
      <c r="AJ197" s="31" t="str">
        <f t="shared" si="129"/>
        <v>1+0.00333637304787067i</v>
      </c>
      <c r="AK197" s="31">
        <f t="shared" si="144"/>
        <v>1.000005565677069</v>
      </c>
      <c r="AL197" s="31">
        <f t="shared" si="145"/>
        <v>3.3363606684689226E-3</v>
      </c>
      <c r="AM197" s="31" t="str">
        <f t="shared" si="130"/>
        <v>1+1.02278369323058i</v>
      </c>
      <c r="AN197" s="31">
        <f t="shared" si="146"/>
        <v>1.4304147940854028</v>
      </c>
      <c r="AO197" s="31">
        <f t="shared" si="147"/>
        <v>0.79666122127112216</v>
      </c>
      <c r="AP197" s="58" t="str">
        <f t="shared" si="148"/>
        <v>-0.59115402297135+0.581855735054928i</v>
      </c>
      <c r="AQ197" s="49">
        <f t="shared" si="149"/>
        <v>-1.6239945768418662</v>
      </c>
      <c r="AR197" s="61">
        <f t="shared" si="150"/>
        <v>135.45416629533642</v>
      </c>
      <c r="AS197" s="58" t="str">
        <f t="shared" si="151"/>
        <v>0.97078248873232+0.776325939707936i</v>
      </c>
      <c r="AT197" s="64">
        <f t="shared" si="152"/>
        <v>1.889567626049572</v>
      </c>
      <c r="AU197" s="61">
        <f t="shared" si="153"/>
        <v>38.649008401930445</v>
      </c>
    </row>
    <row r="198" spans="14:47" x14ac:dyDescent="0.25">
      <c r="N198" s="10">
        <v>80</v>
      </c>
      <c r="O198" s="50">
        <f t="shared" si="154"/>
        <v>630.95734448019323</v>
      </c>
      <c r="P198" s="48" t="str">
        <f t="shared" si="122"/>
        <v>304.285714285714</v>
      </c>
      <c r="Q198" s="17" t="str">
        <f t="shared" si="123"/>
        <v>1+206.433112641362i</v>
      </c>
      <c r="R198" s="17">
        <f t="shared" si="131"/>
        <v>206.4355347191981</v>
      </c>
      <c r="S198" s="17">
        <f t="shared" si="132"/>
        <v>1.5659521805953109</v>
      </c>
      <c r="T198" s="17" t="str">
        <f t="shared" si="124"/>
        <v>1+0.0042815756695986i</v>
      </c>
      <c r="U198" s="17">
        <f t="shared" si="133"/>
        <v>1.0000091659031003</v>
      </c>
      <c r="V198" s="17">
        <f t="shared" si="134"/>
        <v>4.2815495067613273E-3</v>
      </c>
      <c r="W198" s="31" t="str">
        <f t="shared" si="125"/>
        <v>1-0.0133799239674956i</v>
      </c>
      <c r="X198" s="17">
        <f t="shared" si="135"/>
        <v>1.0000895071769207</v>
      </c>
      <c r="Y198" s="17">
        <f t="shared" si="136"/>
        <v>-1.3379125618034886E-2</v>
      </c>
      <c r="Z198" s="31" t="str">
        <f t="shared" si="126"/>
        <v>0.999975003379879+0.118030318690498i</v>
      </c>
      <c r="AA198" s="17">
        <f t="shared" si="137"/>
        <v>1.0069166616531724</v>
      </c>
      <c r="AB198" s="17">
        <f t="shared" si="138"/>
        <v>0.11748966528121459</v>
      </c>
      <c r="AC198" s="66" t="str">
        <f t="shared" si="139"/>
        <v>-0.177794135682829-1.45318205818658i</v>
      </c>
      <c r="AD198" s="64">
        <f t="shared" si="140"/>
        <v>3.3109286204997366</v>
      </c>
      <c r="AE198" s="61">
        <f t="shared" si="141"/>
        <v>-96.975365539412721</v>
      </c>
      <c r="AF198" s="31" t="str">
        <f t="shared" si="127"/>
        <v>-0.000495863624968664</v>
      </c>
      <c r="AG198" s="31" t="str">
        <f t="shared" si="128"/>
        <v>0.000875027205364632i</v>
      </c>
      <c r="AH198" s="31">
        <f t="shared" si="142"/>
        <v>8.7502720536463199E-4</v>
      </c>
      <c r="AI198" s="31">
        <f t="shared" si="143"/>
        <v>1.5707963267948966</v>
      </c>
      <c r="AJ198" s="31" t="str">
        <f t="shared" si="129"/>
        <v>1+0.00341408715952044i</v>
      </c>
      <c r="AK198" s="31">
        <f t="shared" si="144"/>
        <v>1.0000058279785837</v>
      </c>
      <c r="AL198" s="31">
        <f t="shared" si="145"/>
        <v>3.4140738947566556E-3</v>
      </c>
      <c r="AM198" s="31" t="str">
        <f t="shared" si="130"/>
        <v>1+1.04660738590188i</v>
      </c>
      <c r="AN198" s="31">
        <f t="shared" si="146"/>
        <v>1.4475451703571696</v>
      </c>
      <c r="AO198" s="31">
        <f t="shared" si="147"/>
        <v>0.80816722585610579</v>
      </c>
      <c r="AP198" s="58" t="str">
        <f t="shared" si="148"/>
        <v>-0.591153712852006+0.568701916737935i</v>
      </c>
      <c r="AQ198" s="49">
        <f t="shared" si="149"/>
        <v>-1.7205942249244777</v>
      </c>
      <c r="AR198" s="61">
        <f t="shared" si="150"/>
        <v>136.10895915723563</v>
      </c>
      <c r="AS198" s="58" t="str">
        <f t="shared" si="151"/>
        <v>0.931531085292103+0.757942103399327i</v>
      </c>
      <c r="AT198" s="64">
        <f t="shared" si="152"/>
        <v>1.5903343955752569</v>
      </c>
      <c r="AU198" s="61">
        <f t="shared" si="153"/>
        <v>39.133593617822882</v>
      </c>
    </row>
    <row r="199" spans="14:47" x14ac:dyDescent="0.25">
      <c r="N199" s="10">
        <v>81</v>
      </c>
      <c r="O199" s="50">
        <f t="shared" si="154"/>
        <v>645.65422903465594</v>
      </c>
      <c r="P199" s="48" t="str">
        <f t="shared" si="122"/>
        <v>304.285714285714</v>
      </c>
      <c r="Q199" s="17" t="str">
        <f t="shared" si="123"/>
        <v>1+211.241557540609i</v>
      </c>
      <c r="R199" s="17">
        <f t="shared" si="131"/>
        <v>211.24392448584743</v>
      </c>
      <c r="S199" s="17">
        <f t="shared" si="132"/>
        <v>1.5660624451583813</v>
      </c>
      <c r="T199" s="17" t="str">
        <f t="shared" si="124"/>
        <v>1+0.00438130637862002i</v>
      </c>
      <c r="U199" s="17">
        <f t="shared" si="133"/>
        <v>1.000009597876732</v>
      </c>
      <c r="V199" s="17">
        <f t="shared" si="134"/>
        <v>4.3812783446493348E-3</v>
      </c>
      <c r="W199" s="31" t="str">
        <f t="shared" si="125"/>
        <v>1-0.0136915824331876i</v>
      </c>
      <c r="X199" s="17">
        <f t="shared" si="135"/>
        <v>1.0000937253225444</v>
      </c>
      <c r="Y199" s="17">
        <f t="shared" si="136"/>
        <v>-1.3690726990657928E-2</v>
      </c>
      <c r="Z199" s="31" t="str">
        <f t="shared" si="126"/>
        <v>0.999973825325467+0.120779597992651i</v>
      </c>
      <c r="AA199" s="17">
        <f t="shared" si="137"/>
        <v>1.0072414619282282</v>
      </c>
      <c r="AB199" s="17">
        <f t="shared" si="138"/>
        <v>0.12020050213398958</v>
      </c>
      <c r="AC199" s="66" t="str">
        <f t="shared" si="139"/>
        <v>-0.177996884142414-1.41911968090744i</v>
      </c>
      <c r="AD199" s="64">
        <f t="shared" si="140"/>
        <v>3.1081722457747238</v>
      </c>
      <c r="AE199" s="61">
        <f t="shared" si="141"/>
        <v>-97.149142146154119</v>
      </c>
      <c r="AF199" s="31" t="str">
        <f t="shared" si="127"/>
        <v>-0.000495863624968664</v>
      </c>
      <c r="AG199" s="31" t="str">
        <f t="shared" si="128"/>
        <v>0.000895409207304641i</v>
      </c>
      <c r="AH199" s="31">
        <f t="shared" si="142"/>
        <v>8.9540920730464102E-4</v>
      </c>
      <c r="AI199" s="31">
        <f t="shared" si="143"/>
        <v>1.5707963267948966</v>
      </c>
      <c r="AJ199" s="31" t="str">
        <f t="shared" si="129"/>
        <v>1+0.00349361146537297i</v>
      </c>
      <c r="AK199" s="31">
        <f t="shared" si="144"/>
        <v>1.0000061026419143</v>
      </c>
      <c r="AL199" s="31">
        <f t="shared" si="145"/>
        <v>3.4935972519271803E-3</v>
      </c>
      <c r="AM199" s="31" t="str">
        <f t="shared" si="130"/>
        <v>1+1.07098600366267i</v>
      </c>
      <c r="AN199" s="31">
        <f t="shared" si="146"/>
        <v>1.4652682416681719</v>
      </c>
      <c r="AO199" s="31">
        <f t="shared" si="147"/>
        <v>0.81966117785440673</v>
      </c>
      <c r="AP199" s="58" t="str">
        <f t="shared" si="148"/>
        <v>-0.591153388117533+0.555849631605038i</v>
      </c>
      <c r="AQ199" s="49">
        <f t="shared" si="149"/>
        <v>-1.8148963686608002</v>
      </c>
      <c r="AR199" s="61">
        <f t="shared" si="150"/>
        <v>136.7629577439254</v>
      </c>
      <c r="AS199" s="58" t="str">
        <f t="shared" si="151"/>
        <v>0.894040612971012+0.7399779050353i</v>
      </c>
      <c r="AT199" s="64">
        <f t="shared" si="152"/>
        <v>1.2932758771139239</v>
      </c>
      <c r="AU199" s="61">
        <f t="shared" si="153"/>
        <v>39.613815597771278</v>
      </c>
    </row>
    <row r="200" spans="14:47" x14ac:dyDescent="0.25">
      <c r="N200" s="10">
        <v>82</v>
      </c>
      <c r="O200" s="50">
        <f t="shared" si="154"/>
        <v>660.69344800759643</v>
      </c>
      <c r="P200" s="48" t="str">
        <f t="shared" si="122"/>
        <v>304.285714285714</v>
      </c>
      <c r="Q200" s="17" t="str">
        <f t="shared" si="123"/>
        <v>1+216.162005509777i</v>
      </c>
      <c r="R200" s="17">
        <f t="shared" si="131"/>
        <v>216.16431857734722</v>
      </c>
      <c r="S200" s="17">
        <f t="shared" si="132"/>
        <v>1.5661701999047977</v>
      </c>
      <c r="T200" s="17" t="str">
        <f t="shared" si="124"/>
        <v>1+0.00448336011427684i</v>
      </c>
      <c r="U200" s="17">
        <f t="shared" si="133"/>
        <v>1.0000100502084539</v>
      </c>
      <c r="V200" s="17">
        <f t="shared" si="134"/>
        <v>4.4833300753523535E-3</v>
      </c>
      <c r="W200" s="31" t="str">
        <f t="shared" si="125"/>
        <v>1-0.0140105003571151i</v>
      </c>
      <c r="X200" s="17">
        <f t="shared" si="135"/>
        <v>1.0000981422441784</v>
      </c>
      <c r="Y200" s="17">
        <f t="shared" si="136"/>
        <v>-1.4009583738788099E-2</v>
      </c>
      <c r="Z200" s="31" t="str">
        <f t="shared" si="126"/>
        <v>0.99997259175106+0.123592916236366i</v>
      </c>
      <c r="AA200" s="17">
        <f t="shared" si="137"/>
        <v>1.0075814573507897</v>
      </c>
      <c r="AB200" s="17">
        <f t="shared" si="138"/>
        <v>0.12297265573149906</v>
      </c>
      <c r="AC200" s="66" t="str">
        <f t="shared" si="139"/>
        <v>-0.178179725858206-1.38581093281975i</v>
      </c>
      <c r="AD200" s="64">
        <f t="shared" si="140"/>
        <v>2.9052874795934147</v>
      </c>
      <c r="AE200" s="61">
        <f t="shared" si="141"/>
        <v>-97.326570752121384</v>
      </c>
      <c r="AF200" s="31" t="str">
        <f t="shared" si="127"/>
        <v>-0.000495863624968664</v>
      </c>
      <c r="AG200" s="31" t="str">
        <f t="shared" si="128"/>
        <v>0.000916265967058504i</v>
      </c>
      <c r="AH200" s="31">
        <f t="shared" si="142"/>
        <v>9.1626596705850401E-4</v>
      </c>
      <c r="AI200" s="31">
        <f t="shared" si="143"/>
        <v>1.5707963267948966</v>
      </c>
      <c r="AJ200" s="31" t="str">
        <f t="shared" si="129"/>
        <v>1+0.00357498813026786i</v>
      </c>
      <c r="AK200" s="31">
        <f t="shared" si="144"/>
        <v>1.0000063902496481</v>
      </c>
      <c r="AL200" s="31">
        <f t="shared" si="145"/>
        <v>3.5749729002915588E-3</v>
      </c>
      <c r="AM200" s="31" t="str">
        <f t="shared" si="130"/>
        <v>1+1.09593247237878i</v>
      </c>
      <c r="AN200" s="31">
        <f t="shared" si="146"/>
        <v>1.4835996710751405</v>
      </c>
      <c r="AO200" s="31">
        <f t="shared" si="147"/>
        <v>0.83113702474448681</v>
      </c>
      <c r="AP200" s="58" t="str">
        <f t="shared" si="148"/>
        <v>-0.591153048079181+0.543292065197393i</v>
      </c>
      <c r="AQ200" s="49">
        <f t="shared" si="149"/>
        <v>-1.9069070349777086</v>
      </c>
      <c r="AR200" s="61">
        <f t="shared" si="150"/>
        <v>137.41581285585892</v>
      </c>
      <c r="AS200" s="58" t="str">
        <f t="shared" si="151"/>
        <v>0.858231571711759+0.722422725760038i</v>
      </c>
      <c r="AT200" s="64">
        <f t="shared" si="152"/>
        <v>0.99838044461570252</v>
      </c>
      <c r="AU200" s="61">
        <f t="shared" si="153"/>
        <v>40.089242103737512</v>
      </c>
    </row>
    <row r="201" spans="14:47" x14ac:dyDescent="0.25">
      <c r="N201" s="10">
        <v>83</v>
      </c>
      <c r="O201" s="50">
        <f t="shared" si="154"/>
        <v>676.08297539198213</v>
      </c>
      <c r="P201" s="48" t="str">
        <f t="shared" si="122"/>
        <v>304.285714285714</v>
      </c>
      <c r="Q201" s="17" t="str">
        <f t="shared" si="123"/>
        <v>1+221.197065435508i</v>
      </c>
      <c r="R201" s="17">
        <f t="shared" si="131"/>
        <v>221.19932585177648</v>
      </c>
      <c r="S201" s="17">
        <f t="shared" si="132"/>
        <v>1.5662755019575381</v>
      </c>
      <c r="T201" s="17" t="str">
        <f t="shared" si="124"/>
        <v>1+0.00458779098681053i</v>
      </c>
      <c r="U201" s="17">
        <f t="shared" si="133"/>
        <v>1.0000105238576935</v>
      </c>
      <c r="V201" s="17">
        <f t="shared" si="134"/>
        <v>4.5877587995413281E-3</v>
      </c>
      <c r="W201" s="31" t="str">
        <f t="shared" si="125"/>
        <v>1-0.0143368468337829i</v>
      </c>
      <c r="X201" s="17">
        <f t="shared" si="135"/>
        <v>1.0001027673080078</v>
      </c>
      <c r="Y201" s="17">
        <f t="shared" si="136"/>
        <v>-1.4335864665000753E-2</v>
      </c>
      <c r="Z201" s="31" t="str">
        <f t="shared" si="126"/>
        <v>0.999971300040083+0.126471765080216i</v>
      </c>
      <c r="AA201" s="17">
        <f t="shared" si="137"/>
        <v>1.0079373533441247</v>
      </c>
      <c r="AB201" s="17">
        <f t="shared" si="138"/>
        <v>0.1258074263180318</v>
      </c>
      <c r="AC201" s="66" t="str">
        <f t="shared" si="139"/>
        <v>-0.178343071431098-1.35323825458203i</v>
      </c>
      <c r="AD201" s="64">
        <f t="shared" si="140"/>
        <v>2.7022684738999758</v>
      </c>
      <c r="AE201" s="61">
        <f t="shared" si="141"/>
        <v>-97.507735700665265</v>
      </c>
      <c r="AF201" s="31" t="str">
        <f t="shared" si="127"/>
        <v>-0.000495863624968664</v>
      </c>
      <c r="AG201" s="31" t="str">
        <f t="shared" si="128"/>
        <v>0.000937608543156316i</v>
      </c>
      <c r="AH201" s="31">
        <f t="shared" si="142"/>
        <v>9.3760854315631597E-4</v>
      </c>
      <c r="AI201" s="31">
        <f t="shared" si="143"/>
        <v>1.5707963267948966</v>
      </c>
      <c r="AJ201" s="31" t="str">
        <f t="shared" si="129"/>
        <v>1+0.00365826030118997i</v>
      </c>
      <c r="AK201" s="31">
        <f t="shared" si="144"/>
        <v>1.0000066914118282</v>
      </c>
      <c r="AL201" s="31">
        <f t="shared" si="145"/>
        <v>3.6582439819822423E-3</v>
      </c>
      <c r="AM201" s="31" t="str">
        <f t="shared" si="130"/>
        <v>1+1.12146001899813i</v>
      </c>
      <c r="AN201" s="31">
        <f t="shared" si="146"/>
        <v>1.5025553481357303</v>
      </c>
      <c r="AO201" s="31">
        <f t="shared" si="147"/>
        <v>0.8425887616899842</v>
      </c>
      <c r="AP201" s="58" t="str">
        <f t="shared" si="148"/>
        <v>-0.591152692015742+0.531022559319426i</v>
      </c>
      <c r="AQ201" s="49">
        <f t="shared" si="149"/>
        <v>-1.9966346453693182</v>
      </c>
      <c r="AR201" s="61">
        <f t="shared" si="150"/>
        <v>138.06717796939384</v>
      </c>
      <c r="AS201" s="58" t="str">
        <f t="shared" si="151"/>
        <v>0.824028028095952+0.705266242906622i</v>
      </c>
      <c r="AT201" s="64">
        <f t="shared" si="152"/>
        <v>0.70563382853065626</v>
      </c>
      <c r="AU201" s="61">
        <f t="shared" si="153"/>
        <v>40.559442268728567</v>
      </c>
    </row>
    <row r="202" spans="14:47" x14ac:dyDescent="0.25">
      <c r="N202" s="10">
        <v>84</v>
      </c>
      <c r="O202" s="50">
        <f t="shared" si="154"/>
        <v>691.83097091893671</v>
      </c>
      <c r="P202" s="48" t="str">
        <f t="shared" si="122"/>
        <v>304.285714285714</v>
      </c>
      <c r="Q202" s="17" t="str">
        <f t="shared" si="123"/>
        <v>1+226.349406973223i</v>
      </c>
      <c r="R202" s="17">
        <f t="shared" si="131"/>
        <v>226.35161593664344</v>
      </c>
      <c r="S202" s="17">
        <f t="shared" si="132"/>
        <v>1.5663784071397984</v>
      </c>
      <c r="T202" s="17" t="str">
        <f t="shared" si="124"/>
        <v>1+0.00469465436685202i</v>
      </c>
      <c r="U202" s="17">
        <f t="shared" si="133"/>
        <v>1.0000110198290939</v>
      </c>
      <c r="V202" s="17">
        <f t="shared" si="134"/>
        <v>4.6946198775922139E-3</v>
      </c>
      <c r="W202" s="31" t="str">
        <f t="shared" si="125"/>
        <v>1-0.0146707948964126i</v>
      </c>
      <c r="X202" s="17">
        <f t="shared" si="135"/>
        <v>1.0001076103214557</v>
      </c>
      <c r="Y202" s="17">
        <f t="shared" si="136"/>
        <v>-1.4669742489717304E-2</v>
      </c>
      <c r="Z202" s="31" t="str">
        <f t="shared" si="126"/>
        <v>0.999969947452643+0.129417670927963i</v>
      </c>
      <c r="AA202" s="17">
        <f t="shared" si="137"/>
        <v>1.008309887562777</v>
      </c>
      <c r="AB202" s="17">
        <f t="shared" si="138"/>
        <v>0.12870613558580063</v>
      </c>
      <c r="AC202" s="66" t="str">
        <f t="shared" si="139"/>
        <v>-0.178487292251366-1.32138448277083i</v>
      </c>
      <c r="AD202" s="64">
        <f t="shared" si="140"/>
        <v>2.4991091214900623</v>
      </c>
      <c r="AE202" s="61">
        <f t="shared" si="141"/>
        <v>-97.69272264184012</v>
      </c>
      <c r="AF202" s="31" t="str">
        <f t="shared" si="127"/>
        <v>-0.000495863624968664</v>
      </c>
      <c r="AG202" s="31" t="str">
        <f t="shared" si="128"/>
        <v>0.000959448251714425i</v>
      </c>
      <c r="AH202" s="31">
        <f t="shared" si="142"/>
        <v>9.5944825171442503E-4</v>
      </c>
      <c r="AI202" s="31">
        <f t="shared" si="143"/>
        <v>1.5707963267948966</v>
      </c>
      <c r="AJ202" s="31" t="str">
        <f t="shared" si="129"/>
        <v>1+0.00374347213014658i</v>
      </c>
      <c r="AK202" s="31">
        <f t="shared" si="144"/>
        <v>1.0000070067672471</v>
      </c>
      <c r="AL202" s="31">
        <f t="shared" si="145"/>
        <v>3.7434546438070708E-3</v>
      </c>
      <c r="AM202" s="31" t="str">
        <f t="shared" si="130"/>
        <v>1+1.14758217856383i</v>
      </c>
      <c r="AN202" s="31">
        <f t="shared" si="146"/>
        <v>1.5221513908141024</v>
      </c>
      <c r="AO202" s="31">
        <f t="shared" si="147"/>
        <v>0.85401044707541041</v>
      </c>
      <c r="AP202" s="58" t="str">
        <f t="shared" si="148"/>
        <v>-0.591152319171999+0.51903460850852i</v>
      </c>
      <c r="AQ202" s="49">
        <f t="shared" si="149"/>
        <v>-2.0840899805999711</v>
      </c>
      <c r="AR202" s="61">
        <f t="shared" si="150"/>
        <v>138.71671012561254</v>
      </c>
      <c r="AS202" s="58" t="str">
        <f t="shared" si="151"/>
        <v>0.791357454461316+0.688498419650435i</v>
      </c>
      <c r="AT202" s="64">
        <f t="shared" si="152"/>
        <v>0.41501914089009029</v>
      </c>
      <c r="AU202" s="61">
        <f t="shared" si="153"/>
        <v>41.023987483772423</v>
      </c>
    </row>
    <row r="203" spans="14:47" x14ac:dyDescent="0.25">
      <c r="N203" s="10">
        <v>85</v>
      </c>
      <c r="O203" s="50">
        <f t="shared" si="154"/>
        <v>707.94578438413873</v>
      </c>
      <c r="P203" s="48" t="str">
        <f t="shared" si="122"/>
        <v>304.285714285714</v>
      </c>
      <c r="Q203" s="17" t="str">
        <f t="shared" si="123"/>
        <v>1+231.621761962604i</v>
      </c>
      <c r="R203" s="17">
        <f t="shared" si="131"/>
        <v>231.62392064435227</v>
      </c>
      <c r="S203" s="17">
        <f t="shared" si="132"/>
        <v>1.5664789700045452</v>
      </c>
      <c r="T203" s="17" t="str">
        <f t="shared" si="124"/>
        <v>1+0.00480400691477992i</v>
      </c>
      <c r="U203" s="17">
        <f t="shared" si="133"/>
        <v>1.0000115391746425</v>
      </c>
      <c r="V203" s="17">
        <f t="shared" si="134"/>
        <v>4.8039699588952461E-3</v>
      </c>
      <c r="W203" s="31" t="str">
        <f t="shared" si="125"/>
        <v>1-0.0150125216086873i</v>
      </c>
      <c r="X203" s="17">
        <f t="shared" si="135"/>
        <v>1.0001126815539594</v>
      </c>
      <c r="Y203" s="17">
        <f t="shared" si="136"/>
        <v>-1.5011393941458248E-2</v>
      </c>
      <c r="Z203" s="31" t="str">
        <f t="shared" si="126"/>
        <v>0.999968531119721+0.132432195737881i</v>
      </c>
      <c r="AA203" s="17">
        <f t="shared" si="137"/>
        <v>1.0086998313163775</v>
      </c>
      <c r="AB203" s="17">
        <f t="shared" si="138"/>
        <v>0.13167012657993263</v>
      </c>
      <c r="AC203" s="66" t="str">
        <f t="shared" si="139"/>
        <v>-0.178612721481867-1.29023284122819i</v>
      </c>
      <c r="AD203" s="64">
        <f t="shared" si="140"/>
        <v>2.2958030454463785</v>
      </c>
      <c r="AE203" s="61">
        <f t="shared" si="141"/>
        <v>-97.881618532145666</v>
      </c>
      <c r="AF203" s="31" t="str">
        <f t="shared" si="127"/>
        <v>-0.000495863624968664</v>
      </c>
      <c r="AG203" s="31" t="str">
        <f t="shared" si="128"/>
        <v>0.000981796672435393i</v>
      </c>
      <c r="AH203" s="31">
        <f t="shared" si="142"/>
        <v>9.8179667243539302E-4</v>
      </c>
      <c r="AI203" s="31">
        <f t="shared" si="143"/>
        <v>1.5707963267948966</v>
      </c>
      <c r="AJ203" s="31" t="str">
        <f t="shared" si="129"/>
        <v>1+0.00383066879757731i</v>
      </c>
      <c r="AK203" s="31">
        <f t="shared" si="144"/>
        <v>1.0000073369848028</v>
      </c>
      <c r="AL203" s="31">
        <f t="shared" si="145"/>
        <v>3.8306500606343726E-3</v>
      </c>
      <c r="AM203" s="31" t="str">
        <f t="shared" si="130"/>
        <v>1+1.17431280139065i</v>
      </c>
      <c r="AN203" s="31">
        <f t="shared" si="146"/>
        <v>1.5424041479164778</v>
      </c>
      <c r="AO203" s="31">
        <f t="shared" si="147"/>
        <v>0.86539621763965913</v>
      </c>
      <c r="AP203" s="58" t="str">
        <f t="shared" si="148"/>
        <v>-0.591151928757186+0.507321856585685i</v>
      </c>
      <c r="AQ203" s="49">
        <f t="shared" si="149"/>
        <v>-2.1692861357952351</v>
      </c>
      <c r="AR203" s="61">
        <f t="shared" si="150"/>
        <v>139.36407079607159</v>
      </c>
      <c r="AS203" s="58" t="str">
        <f t="shared" si="151"/>
        <v>0.760150575244284+0.672109495165906i</v>
      </c>
      <c r="AT203" s="64">
        <f t="shared" si="152"/>
        <v>0.12651690965114049</v>
      </c>
      <c r="AU203" s="61">
        <f t="shared" si="153"/>
        <v>41.482452263925921</v>
      </c>
    </row>
    <row r="204" spans="14:47" x14ac:dyDescent="0.25">
      <c r="N204" s="10">
        <v>86</v>
      </c>
      <c r="O204" s="50">
        <f t="shared" si="154"/>
        <v>724.43596007499025</v>
      </c>
      <c r="P204" s="48" t="str">
        <f t="shared" si="122"/>
        <v>304.285714285714</v>
      </c>
      <c r="Q204" s="17" t="str">
        <f t="shared" si="123"/>
        <v>1+237.016925876053i</v>
      </c>
      <c r="R204" s="17">
        <f t="shared" si="131"/>
        <v>237.01903542064804</v>
      </c>
      <c r="S204" s="17">
        <f t="shared" si="132"/>
        <v>1.5665772438634005</v>
      </c>
      <c r="T204" s="17" t="str">
        <f t="shared" si="124"/>
        <v>1+0.00491590661076258i</v>
      </c>
      <c r="U204" s="17">
        <f t="shared" si="133"/>
        <v>1.0000120829959034</v>
      </c>
      <c r="V204" s="17">
        <f t="shared" si="134"/>
        <v>4.9158670118445514E-3</v>
      </c>
      <c r="W204" s="31" t="str">
        <f t="shared" si="125"/>
        <v>1-0.0153622081586331i</v>
      </c>
      <c r="X204" s="17">
        <f t="shared" si="135"/>
        <v>1.0001179917587271</v>
      </c>
      <c r="Y204" s="17">
        <f t="shared" si="136"/>
        <v>-1.5360999849126375E-2</v>
      </c>
      <c r="Z204" s="31" t="str">
        <f t="shared" si="126"/>
        <v>0.999967048037085+0.135516937850927i</v>
      </c>
      <c r="AA204" s="17">
        <f t="shared" si="137"/>
        <v>1.0091079910517475</v>
      </c>
      <c r="AB204" s="17">
        <f t="shared" si="138"/>
        <v>0.13470076356311933</v>
      </c>
      <c r="AC204" s="66" t="str">
        <f t="shared" si="139"/>
        <v>-0.178719654977694-1.25976693263615i</v>
      </c>
      <c r="AD204" s="64">
        <f t="shared" si="140"/>
        <v>2.0923435882212207</v>
      </c>
      <c r="AE204" s="61">
        <f t="shared" si="141"/>
        <v>-98.074511631995662</v>
      </c>
      <c r="AF204" s="31" t="str">
        <f t="shared" si="127"/>
        <v>-0.000495863624968664</v>
      </c>
      <c r="AG204" s="31" t="str">
        <f t="shared" si="128"/>
        <v>0.0010046656547477i</v>
      </c>
      <c r="AH204" s="31">
        <f t="shared" si="142"/>
        <v>1.0046656547476999E-3</v>
      </c>
      <c r="AI204" s="31">
        <f t="shared" si="143"/>
        <v>1.5707963267948966</v>
      </c>
      <c r="AJ204" s="31" t="str">
        <f t="shared" si="129"/>
        <v>1+0.0039198965363094i</v>
      </c>
      <c r="AK204" s="31">
        <f t="shared" si="144"/>
        <v>1.0000076827649151</v>
      </c>
      <c r="AL204" s="31">
        <f t="shared" si="145"/>
        <v>3.919876459321652E-3</v>
      </c>
      <c r="AM204" s="31" t="str">
        <f t="shared" si="130"/>
        <v>1+1.20166606040863i</v>
      </c>
      <c r="AN204" s="31">
        <f t="shared" si="146"/>
        <v>1.5633302020808006</v>
      </c>
      <c r="AO204" s="31">
        <f t="shared" si="147"/>
        <v>0.8767403031151777</v>
      </c>
      <c r="AP204" s="58" t="str">
        <f t="shared" si="148"/>
        <v>-0.591151519943233+0.495878093285412i</v>
      </c>
      <c r="AQ204" s="49">
        <f t="shared" si="149"/>
        <v>-2.2522384663176842</v>
      </c>
      <c r="AR204" s="61">
        <f t="shared" si="150"/>
        <v>140.00892672018841</v>
      </c>
      <c r="AS204" s="58" t="str">
        <f t="shared" si="151"/>
        <v>0.73034122022342+0.656089975259119i</v>
      </c>
      <c r="AT204" s="64">
        <f t="shared" si="152"/>
        <v>-0.15989487809646274</v>
      </c>
      <c r="AU204" s="61">
        <f t="shared" si="153"/>
        <v>41.934415088192758</v>
      </c>
    </row>
    <row r="205" spans="14:47" x14ac:dyDescent="0.25">
      <c r="N205" s="10">
        <v>87</v>
      </c>
      <c r="O205" s="50">
        <f t="shared" si="154"/>
        <v>741.31024130091828</v>
      </c>
      <c r="P205" s="48" t="str">
        <f t="shared" si="122"/>
        <v>304.285714285714</v>
      </c>
      <c r="Q205" s="17" t="str">
        <f t="shared" si="123"/>
        <v>1+242.537759300892i</v>
      </c>
      <c r="R205" s="17">
        <f t="shared" si="131"/>
        <v>242.53982082680241</v>
      </c>
      <c r="S205" s="17">
        <f t="shared" si="132"/>
        <v>1.5666732808148673</v>
      </c>
      <c r="T205" s="17" t="str">
        <f t="shared" si="124"/>
        <v>1+0.00503041278549997i</v>
      </c>
      <c r="U205" s="17">
        <f t="shared" si="133"/>
        <v>1.000012652446354</v>
      </c>
      <c r="V205" s="17">
        <f t="shared" si="134"/>
        <v>5.0303703545238306E-3</v>
      </c>
      <c r="W205" s="31" t="str">
        <f t="shared" si="125"/>
        <v>1-0.0157200399546874i</v>
      </c>
      <c r="X205" s="17">
        <f t="shared" si="135"/>
        <v>1.0001235521955161</v>
      </c>
      <c r="Y205" s="17">
        <f t="shared" si="136"/>
        <v>-1.5718745236362623E-2</v>
      </c>
      <c r="Z205" s="31" t="str">
        <f t="shared" si="126"/>
        <v>0.999965495058917+0.1386735328382i</v>
      </c>
      <c r="AA205" s="17">
        <f t="shared" si="137"/>
        <v>1.0095352098952528</v>
      </c>
      <c r="AB205" s="17">
        <f t="shared" si="138"/>
        <v>0.13779943183676571</v>
      </c>
      <c r="AC205" s="66" t="str">
        <f t="shared" si="139"/>
        <v>-0.178808352145728-1.22997073031517i</v>
      </c>
      <c r="AD205" s="64">
        <f t="shared" si="140"/>
        <v>1.888723800361837</v>
      </c>
      <c r="AE205" s="61">
        <f t="shared" si="141"/>
        <v>-98.271491500736289</v>
      </c>
      <c r="AF205" s="31" t="str">
        <f t="shared" si="127"/>
        <v>-0.000495863624968664</v>
      </c>
      <c r="AG205" s="31" t="str">
        <f t="shared" si="128"/>
        <v>0.00102806732408848i</v>
      </c>
      <c r="AH205" s="31">
        <f t="shared" si="142"/>
        <v>1.0280673240884799E-3</v>
      </c>
      <c r="AI205" s="31">
        <f t="shared" si="143"/>
        <v>1.5707963267948966</v>
      </c>
      <c r="AJ205" s="31" t="str">
        <f t="shared" si="129"/>
        <v>1+0.00401120265607101i</v>
      </c>
      <c r="AK205" s="31">
        <f t="shared" si="144"/>
        <v>1.0000080448410142</v>
      </c>
      <c r="AL205" s="31">
        <f t="shared" si="145"/>
        <v>4.0111811432003951E-3</v>
      </c>
      <c r="AM205" s="31" t="str">
        <f t="shared" si="130"/>
        <v>1+1.22965645867777i</v>
      </c>
      <c r="AN205" s="31">
        <f t="shared" si="146"/>
        <v>1.5849463733413678</v>
      </c>
      <c r="AO205" s="31">
        <f t="shared" si="147"/>
        <v>0.88803704028644004</v>
      </c>
      <c r="AP205" s="58" t="str">
        <f t="shared" si="148"/>
        <v>-0.59115109186308+0.484697250962835i</v>
      </c>
      <c r="AQ205" s="49">
        <f t="shared" si="149"/>
        <v>-2.3329645248969282</v>
      </c>
      <c r="AR205" s="61">
        <f t="shared" si="150"/>
        <v>140.65095070933427</v>
      </c>
      <c r="AS205" s="58" t="str">
        <f t="shared" si="151"/>
        <v>0.701866184353699+0.640430623451214i</v>
      </c>
      <c r="AT205" s="64">
        <f t="shared" si="152"/>
        <v>-0.44424072453508623</v>
      </c>
      <c r="AU205" s="61">
        <f t="shared" si="153"/>
        <v>42.379459208597993</v>
      </c>
    </row>
    <row r="206" spans="14:47" x14ac:dyDescent="0.25">
      <c r="N206" s="10">
        <v>88</v>
      </c>
      <c r="O206" s="50">
        <f t="shared" si="154"/>
        <v>758.57757502918378</v>
      </c>
      <c r="P206" s="48" t="str">
        <f t="shared" si="122"/>
        <v>304.285714285714</v>
      </c>
      <c r="Q206" s="17" t="str">
        <f t="shared" si="123"/>
        <v>1+248.187189456079i</v>
      </c>
      <c r="R206" s="17">
        <f t="shared" si="131"/>
        <v>248.18920405631602</v>
      </c>
      <c r="S206" s="17">
        <f t="shared" si="132"/>
        <v>1.5667671317719187</v>
      </c>
      <c r="T206" s="17" t="str">
        <f t="shared" si="124"/>
        <v>1+0.00514758615168163i</v>
      </c>
      <c r="U206" s="17">
        <f t="shared" si="133"/>
        <v>1.00001324873383</v>
      </c>
      <c r="V206" s="17">
        <f t="shared" si="134"/>
        <v>5.1475406861040893E-3</v>
      </c>
      <c r="W206" s="31" t="str">
        <f t="shared" si="125"/>
        <v>1-0.0160862067240051i</v>
      </c>
      <c r="X206" s="17">
        <f t="shared" si="135"/>
        <v>1.000129374654483</v>
      </c>
      <c r="Y206" s="17">
        <f t="shared" si="136"/>
        <v>-1.6084819418017527E-2</v>
      </c>
      <c r="Z206" s="31" t="str">
        <f t="shared" si="126"/>
        <v>0.999963868891143+0.141903654368145i</v>
      </c>
      <c r="AA206" s="17">
        <f t="shared" si="137"/>
        <v>1.009982369257393</v>
      </c>
      <c r="AB206" s="17">
        <f t="shared" si="138"/>
        <v>0.14096753751531074</v>
      </c>
      <c r="AC206" s="66" t="str">
        <f t="shared" si="139"/>
        <v>-0.178879036747538-1.20082857024382i</v>
      </c>
      <c r="AD206" s="64">
        <f t="shared" si="140"/>
        <v>1.6849364288778017</v>
      </c>
      <c r="AE206" s="61">
        <f t="shared" si="141"/>
        <v>-98.472648989024449</v>
      </c>
      <c r="AF206" s="31" t="str">
        <f t="shared" si="127"/>
        <v>-0.000495863624968664</v>
      </c>
      <c r="AG206" s="31" t="str">
        <f t="shared" si="128"/>
        <v>0.00105201408833256i</v>
      </c>
      <c r="AH206" s="31">
        <f t="shared" si="142"/>
        <v>1.05201408833256E-3</v>
      </c>
      <c r="AI206" s="31">
        <f t="shared" si="143"/>
        <v>1.5707963267948966</v>
      </c>
      <c r="AJ206" s="31" t="str">
        <f t="shared" si="129"/>
        <v>1+0.00410463556857541i</v>
      </c>
      <c r="AK206" s="31">
        <f t="shared" si="144"/>
        <v>1.0000084239810936</v>
      </c>
      <c r="AL206" s="31">
        <f t="shared" si="145"/>
        <v>4.1046125171297224E-3</v>
      </c>
      <c r="AM206" s="31" t="str">
        <f t="shared" si="130"/>
        <v>1+1.25829883707773i</v>
      </c>
      <c r="AN206" s="31">
        <f t="shared" si="146"/>
        <v>1.607269723285786</v>
      </c>
      <c r="AO206" s="31">
        <f t="shared" si="147"/>
        <v>0.89928088638798276</v>
      </c>
      <c r="AP206" s="58" t="str">
        <f t="shared" si="148"/>
        <v>-0.591150643608799+0.473773401376559i</v>
      </c>
      <c r="AQ206" s="49">
        <f t="shared" si="149"/>
        <v>-2.4114839905553929</v>
      </c>
      <c r="AR206" s="61">
        <f t="shared" si="150"/>
        <v>141.28982241304692</v>
      </c>
      <c r="AS206" s="58" t="str">
        <f t="shared" si="151"/>
        <v>0.674665093895994+0.625122452488625i</v>
      </c>
      <c r="AT206" s="64">
        <f t="shared" si="152"/>
        <v>-0.72654756167758738</v>
      </c>
      <c r="AU206" s="61">
        <f t="shared" si="153"/>
        <v>42.817173424022499</v>
      </c>
    </row>
    <row r="207" spans="14:47" x14ac:dyDescent="0.25">
      <c r="N207" s="10">
        <v>89</v>
      </c>
      <c r="O207" s="50">
        <f t="shared" si="154"/>
        <v>776.24711662869231</v>
      </c>
      <c r="P207" s="48" t="str">
        <f t="shared" si="122"/>
        <v>304.285714285714</v>
      </c>
      <c r="Q207" s="17" t="str">
        <f t="shared" si="123"/>
        <v>1+253.968211744262i</v>
      </c>
      <c r="R207" s="17">
        <f t="shared" si="131"/>
        <v>253.97018048695855</v>
      </c>
      <c r="S207" s="17">
        <f t="shared" si="132"/>
        <v>1.5668588464889575</v>
      </c>
      <c r="T207" s="17" t="str">
        <f t="shared" si="124"/>
        <v>1+0.00526748883617727i</v>
      </c>
      <c r="U207" s="17">
        <f t="shared" si="133"/>
        <v>1.0000138731230879</v>
      </c>
      <c r="V207" s="17">
        <f t="shared" si="134"/>
        <v>5.2674401189697125E-3</v>
      </c>
      <c r="W207" s="31" t="str">
        <f t="shared" si="125"/>
        <v>1-0.016460902613054i</v>
      </c>
      <c r="X207" s="17">
        <f t="shared" si="135"/>
        <v>1.000135471481157</v>
      </c>
      <c r="Y207" s="17">
        <f t="shared" si="136"/>
        <v>-1.6459416098780759E-2</v>
      </c>
      <c r="Z207" s="31" t="str">
        <f t="shared" si="126"/>
        <v>0.999962166084444+0.145209015093953i</v>
      </c>
      <c r="AA207" s="17">
        <f t="shared" si="137"/>
        <v>1.0104503905016065</v>
      </c>
      <c r="AB207" s="17">
        <f t="shared" si="138"/>
        <v>0.14420650725019551</v>
      </c>
      <c r="AC207" s="66" t="str">
        <f t="shared" si="139"/>
        <v>-0.178931897649007-1.17232514329653i</v>
      </c>
      <c r="AD207" s="64">
        <f t="shared" si="140"/>
        <v>1.4809739052458424</v>
      </c>
      <c r="AE207" s="61">
        <f t="shared" si="141"/>
        <v>-98.678076228367644</v>
      </c>
      <c r="AF207" s="31" t="str">
        <f t="shared" si="127"/>
        <v>-0.000495863624968664</v>
      </c>
      <c r="AG207" s="31" t="str">
        <f t="shared" si="128"/>
        <v>0.00107651864437134i</v>
      </c>
      <c r="AH207" s="31">
        <f t="shared" si="142"/>
        <v>1.07651864437134E-3</v>
      </c>
      <c r="AI207" s="31">
        <f t="shared" si="143"/>
        <v>1.5707963267948966</v>
      </c>
      <c r="AJ207" s="31" t="str">
        <f t="shared" si="129"/>
        <v>1+0.00420024481318955i</v>
      </c>
      <c r="AK207" s="31">
        <f t="shared" si="144"/>
        <v>1.0000088209893405</v>
      </c>
      <c r="AL207" s="31">
        <f t="shared" si="145"/>
        <v>4.2002201131322494E-3</v>
      </c>
      <c r="AM207" s="31" t="str">
        <f t="shared" si="130"/>
        <v>1+1.28760838217667i</v>
      </c>
      <c r="AN207" s="31">
        <f t="shared" si="146"/>
        <v>1.6303175598182158</v>
      </c>
      <c r="AO207" s="31">
        <f t="shared" si="147"/>
        <v>0.9104664317697736</v>
      </c>
      <c r="AP207" s="58" t="str">
        <f t="shared" si="148"/>
        <v>-0.591150174229672+0.463100752545351i</v>
      </c>
      <c r="AQ207" s="49">
        <f t="shared" si="149"/>
        <v>-2.4878185899305745</v>
      </c>
      <c r="AR207" s="61">
        <f t="shared" si="150"/>
        <v>141.92522904323525</v>
      </c>
      <c r="AS207" s="58" t="str">
        <f t="shared" si="151"/>
        <v>0.648680278558916+0.610156716257946i</v>
      </c>
      <c r="AT207" s="64">
        <f t="shared" si="152"/>
        <v>-1.0068446846847343</v>
      </c>
      <c r="AU207" s="61">
        <f t="shared" si="153"/>
        <v>43.247152814867611</v>
      </c>
    </row>
    <row r="208" spans="14:47" x14ac:dyDescent="0.25">
      <c r="N208" s="10">
        <v>90</v>
      </c>
      <c r="O208" s="50">
        <f t="shared" si="154"/>
        <v>794.32823472428208</v>
      </c>
      <c r="P208" s="48" t="str">
        <f t="shared" si="122"/>
        <v>304.285714285714</v>
      </c>
      <c r="Q208" s="17" t="str">
        <f t="shared" si="123"/>
        <v>1+259.883891339978i</v>
      </c>
      <c r="R208" s="17">
        <f t="shared" si="131"/>
        <v>259.88581526895518</v>
      </c>
      <c r="S208" s="17">
        <f t="shared" si="132"/>
        <v>1.5669484735881654</v>
      </c>
      <c r="T208" s="17" t="str">
        <f t="shared" si="124"/>
        <v>1+0.00539018441297731i</v>
      </c>
      <c r="U208" s="17">
        <f t="shared" si="133"/>
        <v>1.000014526938487</v>
      </c>
      <c r="V208" s="17">
        <f t="shared" si="134"/>
        <v>5.3901322115898704E-3</v>
      </c>
      <c r="W208" s="31" t="str">
        <f t="shared" si="125"/>
        <v>1-0.0168443262905541i</v>
      </c>
      <c r="X208" s="17">
        <f t="shared" si="135"/>
        <v>1.0001418556025854</v>
      </c>
      <c r="Y208" s="17">
        <f t="shared" si="136"/>
        <v>-1.6842733474014229E-2</v>
      </c>
      <c r="Z208" s="31" t="str">
        <f t="shared" si="126"/>
        <v>0.999960383026936+0.148591367561632i</v>
      </c>
      <c r="AA208" s="17">
        <f t="shared" si="137"/>
        <v>1.0109402366793068</v>
      </c>
      <c r="AB208" s="17">
        <f t="shared" si="138"/>
        <v>0.14751778789978026</v>
      </c>
      <c r="AC208" s="66" t="str">
        <f t="shared" si="139"/>
        <v>-0.178967089520173-1.14444548769712i</v>
      </c>
      <c r="AD208" s="64">
        <f t="shared" si="140"/>
        <v>1.2768283330542107</v>
      </c>
      <c r="AE208" s="61">
        <f t="shared" si="141"/>
        <v>-98.887866617614989</v>
      </c>
      <c r="AF208" s="31" t="str">
        <f t="shared" si="127"/>
        <v>-0.000495863624968664</v>
      </c>
      <c r="AG208" s="31" t="str">
        <f t="shared" si="128"/>
        <v>0.00110159398484477i</v>
      </c>
      <c r="AH208" s="31">
        <f t="shared" si="142"/>
        <v>1.1015939848447701E-3</v>
      </c>
      <c r="AI208" s="31">
        <f t="shared" si="143"/>
        <v>1.5707963267948966</v>
      </c>
      <c r="AJ208" s="31" t="str">
        <f t="shared" si="129"/>
        <v>1+0.00429808108320045i</v>
      </c>
      <c r="AK208" s="31">
        <f t="shared" si="144"/>
        <v>1.0000092367078406</v>
      </c>
      <c r="AL208" s="31">
        <f t="shared" si="145"/>
        <v>4.2980546166254139E-3</v>
      </c>
      <c r="AM208" s="31" t="str">
        <f t="shared" si="130"/>
        <v>1+1.31760063428334i</v>
      </c>
      <c r="AN208" s="31">
        <f t="shared" si="146"/>
        <v>1.6541074425392868</v>
      </c>
      <c r="AO208" s="31">
        <f t="shared" si="147"/>
        <v>0.92158841176574691</v>
      </c>
      <c r="AP208" s="58" t="str">
        <f t="shared" si="148"/>
        <v>-0.591149682730183+0.452673645677133i</v>
      </c>
      <c r="AQ208" s="49">
        <f t="shared" si="149"/>
        <v>-2.5619920116471917</v>
      </c>
      <c r="AR208" s="61">
        <f t="shared" si="150"/>
        <v>142.55686605269253</v>
      </c>
      <c r="AS208" s="58" t="str">
        <f t="shared" si="151"/>
        <v>0.623856649383594+0.595524902084819i</v>
      </c>
      <c r="AT208" s="64">
        <f t="shared" si="152"/>
        <v>-1.2851636785929841</v>
      </c>
      <c r="AU208" s="61">
        <f t="shared" si="153"/>
        <v>43.668999435077509</v>
      </c>
    </row>
    <row r="209" spans="14:47" x14ac:dyDescent="0.25">
      <c r="N209" s="10">
        <v>91</v>
      </c>
      <c r="O209" s="50">
        <f t="shared" si="154"/>
        <v>812.83051616409978</v>
      </c>
      <c r="P209" s="48" t="str">
        <f t="shared" si="122"/>
        <v>304.285714285714</v>
      </c>
      <c r="Q209" s="17" t="str">
        <f t="shared" si="123"/>
        <v>1+265.937364814852i</v>
      </c>
      <c r="R209" s="17">
        <f t="shared" si="131"/>
        <v>265.93924495017222</v>
      </c>
      <c r="S209" s="17">
        <f t="shared" si="132"/>
        <v>1.5670360605852531</v>
      </c>
      <c r="T209" s="17" t="str">
        <f t="shared" si="124"/>
        <v>1+0.00551573793690063i</v>
      </c>
      <c r="U209" s="17">
        <f t="shared" si="133"/>
        <v>1.0000152115667984</v>
      </c>
      <c r="V209" s="17">
        <f t="shared" si="134"/>
        <v>5.5156820021521813E-3</v>
      </c>
      <c r="W209" s="31" t="str">
        <f t="shared" si="125"/>
        <v>1-0.0172366810528145i</v>
      </c>
      <c r="X209" s="17">
        <f t="shared" si="135"/>
        <v>1.0001485405547099</v>
      </c>
      <c r="Y209" s="17">
        <f t="shared" si="136"/>
        <v>-1.7234974332832283E-2</v>
      </c>
      <c r="Z209" s="31" t="str">
        <f t="shared" si="126"/>
        <v>0.999958515936518+0.152052505139232i</v>
      </c>
      <c r="AA209" s="17">
        <f t="shared" si="137"/>
        <v>1.0114529143331785</v>
      </c>
      <c r="AB209" s="17">
        <f t="shared" si="138"/>
        <v>0.15090284614131752</v>
      </c>
      <c r="AC209" s="66" t="str">
        <f t="shared" si="139"/>
        <v>-0.178984733488733-1.11717498168528i</v>
      </c>
      <c r="AD209" s="64">
        <f t="shared" si="140"/>
        <v>1.0724914752853403</v>
      </c>
      <c r="AE209" s="61">
        <f t="shared" si="141"/>
        <v>-99.102114806179301</v>
      </c>
      <c r="AF209" s="31" t="str">
        <f t="shared" si="127"/>
        <v>-0.000495863624968664</v>
      </c>
      <c r="AG209" s="31" t="str">
        <f t="shared" si="128"/>
        <v>0.00112725340503028i</v>
      </c>
      <c r="AH209" s="31">
        <f t="shared" si="142"/>
        <v>1.1272534050302801E-3</v>
      </c>
      <c r="AI209" s="31">
        <f t="shared" si="143"/>
        <v>1.5707963267948966</v>
      </c>
      <c r="AJ209" s="31" t="str">
        <f t="shared" si="129"/>
        <v>1+0.00439819625269349i</v>
      </c>
      <c r="AK209" s="31">
        <f t="shared" si="144"/>
        <v>1.0000096720183647</v>
      </c>
      <c r="AL209" s="31">
        <f t="shared" si="145"/>
        <v>4.3981678932622104E-3</v>
      </c>
      <c r="AM209" s="31" t="str">
        <f t="shared" si="130"/>
        <v>1+1.34829149568682i</v>
      </c>
      <c r="AN209" s="31">
        <f t="shared" si="146"/>
        <v>1.6786571887498059</v>
      </c>
      <c r="AO209" s="31">
        <f t="shared" si="147"/>
        <v>0.93264171771005733</v>
      </c>
      <c r="AP209" s="58" t="str">
        <f t="shared" si="148"/>
        <v>-0.591149168067921+0.442486552168531i</v>
      </c>
      <c r="AQ209" s="49">
        <f t="shared" si="149"/>
        <v>-2.634029814437389</v>
      </c>
      <c r="AR209" s="61">
        <f t="shared" si="150"/>
        <v>143.18443776474396</v>
      </c>
      <c r="AS209" s="58" t="str">
        <f t="shared" si="151"/>
        <v>0.600141582113584+0.581218723397315i</v>
      </c>
      <c r="AT209" s="64">
        <f t="shared" si="152"/>
        <v>-1.5615383391520541</v>
      </c>
      <c r="AU209" s="61">
        <f t="shared" si="153"/>
        <v>44.08232295856466</v>
      </c>
    </row>
    <row r="210" spans="14:47" x14ac:dyDescent="0.25">
      <c r="N210" s="10">
        <v>92</v>
      </c>
      <c r="O210" s="50">
        <f t="shared" si="154"/>
        <v>831.7637711026714</v>
      </c>
      <c r="P210" s="48" t="str">
        <f t="shared" si="122"/>
        <v>304.285714285714</v>
      </c>
      <c r="Q210" s="17" t="str">
        <f t="shared" si="123"/>
        <v>1+272.131841800649i</v>
      </c>
      <c r="R210" s="17">
        <f t="shared" si="131"/>
        <v>272.13367913915658</v>
      </c>
      <c r="S210" s="17">
        <f t="shared" si="132"/>
        <v>1.5671216539146282</v>
      </c>
      <c r="T210" s="17" t="str">
        <f t="shared" si="124"/>
        <v>1+0.00564421597808752i</v>
      </c>
      <c r="U210" s="17">
        <f t="shared" si="133"/>
        <v>1.0000159284601458</v>
      </c>
      <c r="V210" s="17">
        <f t="shared" si="134"/>
        <v>5.644156042976284E-3</v>
      </c>
      <c r="W210" s="31" t="str">
        <f t="shared" si="125"/>
        <v>1-0.0176381749315235i</v>
      </c>
      <c r="X210" s="17">
        <f t="shared" si="135"/>
        <v>1.0001555405110323</v>
      </c>
      <c r="Y210" s="17">
        <f t="shared" si="136"/>
        <v>-1.7636346163474006E-2</v>
      </c>
      <c r="Z210" s="31" t="str">
        <f t="shared" si="126"/>
        <v>0.999956560852838+0.15559426296771i</v>
      </c>
      <c r="AA210" s="17">
        <f t="shared" si="137"/>
        <v>1.0119894753707177</v>
      </c>
      <c r="AB210" s="17">
        <f t="shared" si="138"/>
        <v>0.154363168020893</v>
      </c>
      <c r="AC210" s="66" t="str">
        <f t="shared" si="139"/>
        <v>-0.178984917750757-1.09049933639369i</v>
      </c>
      <c r="AD210" s="64">
        <f t="shared" si="140"/>
        <v>0.86795474123973049</v>
      </c>
      <c r="AE210" s="61">
        <f t="shared" si="141"/>
        <v>-99.320916673758418</v>
      </c>
      <c r="AF210" s="31" t="str">
        <f t="shared" si="127"/>
        <v>-0.000495863624968664</v>
      </c>
      <c r="AG210" s="31" t="str">
        <f t="shared" si="128"/>
        <v>0.00115351050989211i</v>
      </c>
      <c r="AH210" s="31">
        <f t="shared" si="142"/>
        <v>1.15351050989211E-3</v>
      </c>
      <c r="AI210" s="31">
        <f t="shared" si="143"/>
        <v>1.5707963267948966</v>
      </c>
      <c r="AJ210" s="31" t="str">
        <f t="shared" si="129"/>
        <v>1+0.00450064340405672i</v>
      </c>
      <c r="AK210" s="31">
        <f t="shared" si="144"/>
        <v>1.0000101278442386</v>
      </c>
      <c r="AL210" s="31">
        <f t="shared" si="145"/>
        <v>4.5006130163952399E-3</v>
      </c>
      <c r="AM210" s="31" t="str">
        <f t="shared" si="130"/>
        <v>1+1.37969723908806i</v>
      </c>
      <c r="AN210" s="31">
        <f t="shared" si="146"/>
        <v>1.7039848800817496</v>
      </c>
      <c r="AO210" s="31">
        <f t="shared" si="147"/>
        <v>0.94362140705447706</v>
      </c>
      <c r="AP210" s="58" t="str">
        <f t="shared" si="148"/>
        <v>-0.591148629151329+0.432534070673477i</v>
      </c>
      <c r="AQ210" s="49">
        <f t="shared" si="149"/>
        <v>-2.7039593297403997</v>
      </c>
      <c r="AR210" s="61">
        <f t="shared" si="150"/>
        <v>143.80765795135682</v>
      </c>
      <c r="AS210" s="58" t="str">
        <f t="shared" si="151"/>
        <v>0.577484805804211+0.567230112735671i</v>
      </c>
      <c r="AT210" s="64">
        <f t="shared" si="152"/>
        <v>-1.8360045885006737</v>
      </c>
      <c r="AU210" s="61">
        <f t="shared" si="153"/>
        <v>44.486741277598384</v>
      </c>
    </row>
    <row r="211" spans="14:47" x14ac:dyDescent="0.25">
      <c r="N211" s="10">
        <v>93</v>
      </c>
      <c r="O211" s="50">
        <f t="shared" si="154"/>
        <v>851.13803820237763</v>
      </c>
      <c r="P211" s="48" t="str">
        <f t="shared" ref="P211:P274" si="155">COMPLEX(Adc,0)</f>
        <v>304.285714285714</v>
      </c>
      <c r="Q211" s="17" t="str">
        <f t="shared" ref="Q211:Q274" si="156">IMSUM(COMPLEX(1,0),IMDIV(COMPLEX(0,2*PI()*O211),COMPLEX(wp_lf,0)))</f>
        <v>1+278.470606691059i</v>
      </c>
      <c r="R211" s="17">
        <f t="shared" si="131"/>
        <v>278.47240220690901</v>
      </c>
      <c r="S211" s="17">
        <f t="shared" si="132"/>
        <v>1.5672052989539869</v>
      </c>
      <c r="T211" s="17" t="str">
        <f t="shared" ref="T211:T274" si="157">IMSUM(COMPLEX(1,0),IMDIV(COMPLEX(0,2*PI()*O211),COMPLEX(wz_esr,0)))</f>
        <v>1+0.00577568665729603i</v>
      </c>
      <c r="U211" s="17">
        <f t="shared" si="133"/>
        <v>1.0000166791390848</v>
      </c>
      <c r="V211" s="17">
        <f t="shared" si="134"/>
        <v>5.7756224357251298E-3</v>
      </c>
      <c r="W211" s="31" t="str">
        <f t="shared" ref="W211:W274" si="158">IMSUB(COMPLEX(1,0),IMDIV(COMPLEX(0,2*PI()*O211),COMPLEX(wz_rhp,0)))</f>
        <v>1-0.0180490208040501i</v>
      </c>
      <c r="X211" s="17">
        <f t="shared" si="135"/>
        <v>1.0001628703126231</v>
      </c>
      <c r="Y211" s="17">
        <f t="shared" si="136"/>
        <v>-1.804706126101421E-2</v>
      </c>
      <c r="Z211" s="31" t="str">
        <f t="shared" ref="Z211:Z274" si="159">IMSUM(COMPLEX(1,0),IMDIV(COMPLEX(0,2*PI()*O211),COMPLEX(Q*(wsl/2),0)),IMDIV(IMPOWER(COMPLEX(0,2*PI()*O211),2),IMPOWER(COMPLEX(wsl/2,0),2)))</f>
        <v>0.999954513628904+0.159218518933946i</v>
      </c>
      <c r="AA211" s="17">
        <f t="shared" si="137"/>
        <v>1.0125510190100731</v>
      </c>
      <c r="AB211" s="17">
        <f t="shared" si="138"/>
        <v>0.15790025843705038</v>
      </c>
      <c r="AC211" s="66" t="str">
        <f t="shared" si="139"/>
        <v>-0.178967698142207-1.06440458893357i</v>
      </c>
      <c r="AD211" s="64">
        <f t="shared" si="140"/>
        <v>0.66320917310580296</v>
      </c>
      <c r="AE211" s="61">
        <f t="shared" si="141"/>
        <v>-99.544369306311907</v>
      </c>
      <c r="AF211" s="31" t="str">
        <f t="shared" ref="AF211:AF274" si="160">COMPLEX(Adc_ea,0)</f>
        <v>-0.000495863624968664</v>
      </c>
      <c r="AG211" s="31" t="str">
        <f t="shared" ref="AG211:AG274" si="161">COMPLEX(0,2*PI()*O211*wp0_ea)</f>
        <v>0.00118037922129479i</v>
      </c>
      <c r="AH211" s="31">
        <f t="shared" si="142"/>
        <v>1.1803792212947901E-3</v>
      </c>
      <c r="AI211" s="31">
        <f t="shared" si="143"/>
        <v>1.5707963267948966</v>
      </c>
      <c r="AJ211" s="31" t="str">
        <f t="shared" ref="AJ211:AJ274" si="162">IMSUM(COMPLEX(1,0),IMDIV(COMPLEX(0,2*PI()*O211),COMPLEX(wp1_ea,0)))</f>
        <v>1+0.00460547685612585i</v>
      </c>
      <c r="AK211" s="31">
        <f t="shared" si="144"/>
        <v>1.0000106051523014</v>
      </c>
      <c r="AL211" s="31">
        <f t="shared" si="145"/>
        <v>4.6054442951785823E-3</v>
      </c>
      <c r="AM211" s="31" t="str">
        <f t="shared" ref="AM211:AM274" si="163">IMSUM(COMPLEX(1,0),IMDIV(COMPLEX(0,2*PI()*O211),COMPLEX(wz_ea,0)))</f>
        <v>1+1.41183451622792i</v>
      </c>
      <c r="AN211" s="31">
        <f t="shared" si="146"/>
        <v>1.7301088697571969</v>
      </c>
      <c r="AO211" s="31">
        <f t="shared" si="147"/>
        <v>0.95452271254976262</v>
      </c>
      <c r="AP211" s="58" t="str">
        <f t="shared" si="148"/>
        <v>-0.591148064837435+0.422810924239289i</v>
      </c>
      <c r="AQ211" s="49">
        <f t="shared" si="149"/>
        <v>-2.7718095595363068</v>
      </c>
      <c r="AR211" s="61">
        <f t="shared" si="150"/>
        <v>144.42625035758402</v>
      </c>
      <c r="AS211" s="58" t="str">
        <f t="shared" si="151"/>
        <v>0.555838296436719+0.553551215091681i</v>
      </c>
      <c r="AT211" s="64">
        <f t="shared" si="152"/>
        <v>-2.1086003864305032</v>
      </c>
      <c r="AU211" s="61">
        <f t="shared" si="153"/>
        <v>44.881881051272131</v>
      </c>
    </row>
    <row r="212" spans="14:47" x14ac:dyDescent="0.25">
      <c r="N212" s="10">
        <v>94</v>
      </c>
      <c r="O212" s="50">
        <f t="shared" si="154"/>
        <v>870.96358995608091</v>
      </c>
      <c r="P212" s="48" t="str">
        <f t="shared" si="155"/>
        <v>304.285714285714</v>
      </c>
      <c r="Q212" s="17" t="str">
        <f t="shared" si="156"/>
        <v>1+284.95702038313i</v>
      </c>
      <c r="R212" s="17">
        <f t="shared" ref="R212:R275" si="164">IMABS(Q212)</f>
        <v>284.95877502830399</v>
      </c>
      <c r="S212" s="17">
        <f t="shared" ref="S212:S275" si="165">IMARGUMENT(Q212)</f>
        <v>1.5672870400483516</v>
      </c>
      <c r="T212" s="17" t="str">
        <f t="shared" si="157"/>
        <v>1+0.00591021968202046i</v>
      </c>
      <c r="U212" s="17">
        <f t="shared" ref="U212:U275" si="166">IMABS(T212)</f>
        <v>1.0000174651958285</v>
      </c>
      <c r="V212" s="17">
        <f t="shared" ref="V212:V275" si="167">IMARGUMENT(T212)</f>
        <v>5.9101508674323381E-3</v>
      </c>
      <c r="W212" s="31" t="str">
        <f t="shared" si="158"/>
        <v>1-0.018469436506314i</v>
      </c>
      <c r="X212" s="17">
        <f t="shared" ref="X212:X275" si="168">IMABS(W212)</f>
        <v>1.0001705454995466</v>
      </c>
      <c r="Y212" s="17">
        <f t="shared" ref="Y212:Y275" si="169">IMARGUMENT(W212)</f>
        <v>-1.8467336837457993E-2</v>
      </c>
      <c r="Z212" s="31" t="str">
        <f t="shared" si="159"/>
        <v>0.999952369922278+0.162927194666428i</v>
      </c>
      <c r="AA212" s="17">
        <f t="shared" ref="AA212:AA275" si="170">IMABS(Z212)</f>
        <v>1.0131386938001392</v>
      </c>
      <c r="AB212" s="17">
        <f t="shared" ref="AB212:AB275" si="171">IMARGUMENT(Z212)</f>
        <v>0.16151564055362586</v>
      </c>
      <c r="AC212" s="66" t="str">
        <f t="shared" ref="AC212:AC275" si="172">(IMDIV(IMPRODUCT(P212,T212,W212),IMPRODUCT(Q212,Z212)))</f>
        <v>-0.178933098674924-1.03887709568617i</v>
      </c>
      <c r="AD212" s="64">
        <f t="shared" ref="AD212:AD275" si="173">20*LOG(IMABS(AC212))</f>
        <v>0.45824543217925812</v>
      </c>
      <c r="AE212" s="61">
        <f t="shared" ref="AE212:AE275" si="174">(180/PI())*IMARGUMENT(AC212)</f>
        <v>-99.772570968039901</v>
      </c>
      <c r="AF212" s="31" t="str">
        <f t="shared" si="160"/>
        <v>-0.000495863624968664</v>
      </c>
      <c r="AG212" s="31" t="str">
        <f t="shared" si="161"/>
        <v>0.00120787378538478i</v>
      </c>
      <c r="AH212" s="31">
        <f t="shared" ref="AH212:AH275" si="175">IMABS(AG212)</f>
        <v>1.2078737853847799E-3</v>
      </c>
      <c r="AI212" s="31">
        <f t="shared" ref="AI212:AI275" si="176">IMARGUMENT(AG212)</f>
        <v>1.5707963267948966</v>
      </c>
      <c r="AJ212" s="31" t="str">
        <f t="shared" si="162"/>
        <v>1+0.00471275219298477i</v>
      </c>
      <c r="AK212" s="31">
        <f t="shared" ref="AK212:AK275" si="177">IMABS(AJ212)</f>
        <v>1.0000111049549563</v>
      </c>
      <c r="AL212" s="31">
        <f t="shared" ref="AL212:AL275" si="178">IMARGUMENT(AJ212)</f>
        <v>4.7127173033221018E-3</v>
      </c>
      <c r="AM212" s="31" t="str">
        <f t="shared" si="163"/>
        <v>1+1.44472036671611i</v>
      </c>
      <c r="AN212" s="31">
        <f t="shared" ref="AN212:AN275" si="179">IMABS(AM212)</f>
        <v>1.7570477904725106</v>
      </c>
      <c r="AO212" s="31">
        <f t="shared" ref="AO212:AO275" si="180">IMARGUMENT(AM212)</f>
        <v>0.96534105046298446</v>
      </c>
      <c r="AP212" s="58" t="str">
        <f t="shared" ref="AP212:AP275" si="181">IMPRODUCT(AF212,IMDIV(AM212,IMPRODUCT(AG212,AJ212)))</f>
        <v>-0.591147473929392+0.413311957508664i</v>
      </c>
      <c r="AQ212" s="49">
        <f t="shared" ref="AQ212:AQ275" si="182">20*LOG(IMABS(AP212))</f>
        <v>-2.8376110701866555</v>
      </c>
      <c r="AR212" s="61">
        <f t="shared" ref="AR212:AR275" si="183">(180/PI())*IMARGUMENT(AP212)</f>
        <v>145.0399491707357</v>
      </c>
      <c r="AS212" s="58" t="str">
        <f t="shared" ref="AS212:AS275" si="184">IMPRODUCT(AC212,AP212)</f>
        <v>0.535156175313007+0.540174381561559i</v>
      </c>
      <c r="AT212" s="64">
        <f t="shared" ref="AT212:AT275" si="185">20*LOG(IMABS(AS212))</f>
        <v>-2.379365638007394</v>
      </c>
      <c r="AU212" s="61">
        <f t="shared" ref="AU212:AU275" si="186">(180/PI())*IMARGUMENT(AS212)</f>
        <v>45.267378202695781</v>
      </c>
    </row>
    <row r="213" spans="14:47" x14ac:dyDescent="0.25">
      <c r="N213" s="10">
        <v>95</v>
      </c>
      <c r="O213" s="50">
        <f t="shared" si="154"/>
        <v>891.25093813374656</v>
      </c>
      <c r="P213" s="48" t="str">
        <f t="shared" si="155"/>
        <v>304.285714285714</v>
      </c>
      <c r="Q213" s="17" t="str">
        <f t="shared" si="156"/>
        <v>1+291.594522059262i</v>
      </c>
      <c r="R213" s="17">
        <f t="shared" si="164"/>
        <v>291.59623676407318</v>
      </c>
      <c r="S213" s="17">
        <f t="shared" si="165"/>
        <v>1.5673669205335612</v>
      </c>
      <c r="T213" s="17" t="str">
        <f t="shared" si="157"/>
        <v>1+0.00604788638345134i</v>
      </c>
      <c r="U213" s="17">
        <f t="shared" si="166"/>
        <v>1.0000182882976225</v>
      </c>
      <c r="V213" s="17">
        <f t="shared" si="167"/>
        <v>6.0478126473645158E-3</v>
      </c>
      <c r="W213" s="31" t="str">
        <f t="shared" si="158"/>
        <v>1-0.0188996449482855i</v>
      </c>
      <c r="X213" s="17">
        <f t="shared" si="168"/>
        <v>1.000178582343759</v>
      </c>
      <c r="Y213" s="17">
        <f t="shared" si="169"/>
        <v>-1.889739513426698E-2</v>
      </c>
      <c r="Z213" s="31" t="str">
        <f t="shared" si="159"/>
        <v>0.999950125185872+0.166722256554118i</v>
      </c>
      <c r="AA213" s="17">
        <f t="shared" si="170"/>
        <v>1.0137536997169176</v>
      </c>
      <c r="AB213" s="17">
        <f t="shared" si="171"/>
        <v>0.16521085513708683</v>
      </c>
      <c r="AC213" s="66" t="str">
        <f t="shared" si="172"/>
        <v>-0.178881112040857-1.01390352579827i</v>
      </c>
      <c r="AD213" s="64">
        <f t="shared" si="173"/>
        <v>0.25305378474111467</v>
      </c>
      <c r="AE213" s="61">
        <f t="shared" si="174"/>
        <v>-100.0056210690967</v>
      </c>
      <c r="AF213" s="31" t="str">
        <f t="shared" si="160"/>
        <v>-0.000495863624968664</v>
      </c>
      <c r="AG213" s="31" t="str">
        <f t="shared" si="161"/>
        <v>0.00123600878014387i</v>
      </c>
      <c r="AH213" s="31">
        <f t="shared" si="175"/>
        <v>1.2360087801438701E-3</v>
      </c>
      <c r="AI213" s="31">
        <f t="shared" si="176"/>
        <v>1.5707963267948966</v>
      </c>
      <c r="AJ213" s="31" t="str">
        <f t="shared" si="162"/>
        <v>1+0.00482252629343708i</v>
      </c>
      <c r="AK213" s="31">
        <f t="shared" si="177"/>
        <v>1.0000116283123166</v>
      </c>
      <c r="AL213" s="31">
        <f t="shared" si="178"/>
        <v>4.8224889085134561E-3</v>
      </c>
      <c r="AM213" s="31" t="str">
        <f t="shared" si="163"/>
        <v>1+1.47837222706588i</v>
      </c>
      <c r="AN213" s="31">
        <f t="shared" si="179"/>
        <v>1.7848205629025371</v>
      </c>
      <c r="AO213" s="31">
        <f t="shared" si="180"/>
        <v>0.97607202781218805</v>
      </c>
      <c r="AP213" s="58" t="str">
        <f t="shared" si="181"/>
        <v>-0.591146855173991+0.404032133986195i</v>
      </c>
      <c r="AQ213" s="49">
        <f t="shared" si="182"/>
        <v>-2.9013958830559017</v>
      </c>
      <c r="AR213" s="61">
        <f t="shared" si="183"/>
        <v>145.64849943320775</v>
      </c>
      <c r="AS213" s="58" t="str">
        <f t="shared" si="184"/>
        <v>0.515394612017381+0.527092163297778i</v>
      </c>
      <c r="AT213" s="64">
        <f t="shared" si="185"/>
        <v>-2.6483420983147843</v>
      </c>
      <c r="AU213" s="61">
        <f t="shared" si="186"/>
        <v>45.642878364111063</v>
      </c>
    </row>
    <row r="214" spans="14:47" x14ac:dyDescent="0.25">
      <c r="N214" s="10">
        <v>96</v>
      </c>
      <c r="O214" s="50">
        <f t="shared" si="154"/>
        <v>912.01083935590987</v>
      </c>
      <c r="P214" s="48" t="str">
        <f t="shared" si="155"/>
        <v>304.285714285714</v>
      </c>
      <c r="Q214" s="17" t="str">
        <f t="shared" si="156"/>
        <v>1+298.386631010698i</v>
      </c>
      <c r="R214" s="17">
        <f t="shared" si="164"/>
        <v>298.38830668428426</v>
      </c>
      <c r="S214" s="17">
        <f t="shared" si="165"/>
        <v>1.5674449827592258</v>
      </c>
      <c r="T214" s="17" t="str">
        <f t="shared" si="157"/>
        <v>1+0.00618875975429594i</v>
      </c>
      <c r="U214" s="17">
        <f t="shared" si="166"/>
        <v>1.0000191501902833</v>
      </c>
      <c r="V214" s="17">
        <f t="shared" si="167"/>
        <v>6.1886807447371316E-3</v>
      </c>
      <c r="W214" s="31" t="str">
        <f t="shared" si="158"/>
        <v>1-0.0193398742321748i</v>
      </c>
      <c r="X214" s="17">
        <f t="shared" si="168"/>
        <v>1.000186997883554</v>
      </c>
      <c r="Y214" s="17">
        <f t="shared" si="169"/>
        <v>-1.9337463537362723E-2</v>
      </c>
      <c r="Z214" s="31" t="str">
        <f t="shared" si="159"/>
        <v>0.999947774658298+0.170605716789062i</v>
      </c>
      <c r="AA214" s="17">
        <f t="shared" si="170"/>
        <v>1.0143972903380567</v>
      </c>
      <c r="AB214" s="17">
        <f t="shared" si="171"/>
        <v>0.16898745981351723</v>
      </c>
      <c r="AC214" s="66" t="str">
        <f t="shared" si="172"/>
        <v>-0.178811700088445-0.989470854879617i</v>
      </c>
      <c r="AD214" s="64">
        <f t="shared" si="173"/>
        <v>4.7624087604155249E-2</v>
      </c>
      <c r="AE214" s="61">
        <f t="shared" si="174"/>
        <v>-100.24362012876253</v>
      </c>
      <c r="AF214" s="31" t="str">
        <f t="shared" si="160"/>
        <v>-0.000495863624968664</v>
      </c>
      <c r="AG214" s="31" t="str">
        <f t="shared" si="161"/>
        <v>0.0012647991231187i</v>
      </c>
      <c r="AH214" s="31">
        <f t="shared" si="175"/>
        <v>1.2647991231187E-3</v>
      </c>
      <c r="AI214" s="31">
        <f t="shared" si="176"/>
        <v>1.5707963267948966</v>
      </c>
      <c r="AJ214" s="31" t="str">
        <f t="shared" si="162"/>
        <v>1+0.00493485736116383i</v>
      </c>
      <c r="AK214" s="31">
        <f t="shared" si="177"/>
        <v>1.000012176334456</v>
      </c>
      <c r="AL214" s="31">
        <f t="shared" si="178"/>
        <v>4.9348173025227857E-3</v>
      </c>
      <c r="AM214" s="31" t="str">
        <f t="shared" si="163"/>
        <v>1+1.51280793993901i</v>
      </c>
      <c r="AN214" s="31">
        <f t="shared" si="179"/>
        <v>1.8134464048166716</v>
      </c>
      <c r="AO214" s="31">
        <f t="shared" si="180"/>
        <v>0.98671144860868032</v>
      </c>
      <c r="AP214" s="58" t="str">
        <f t="shared" si="181"/>
        <v>-0.591146207258933+0.394966533367835i</v>
      </c>
      <c r="AQ214" s="49">
        <f t="shared" si="182"/>
        <v>-2.9631973626895114</v>
      </c>
      <c r="AR214" s="61">
        <f t="shared" si="183"/>
        <v>146.25165739841427</v>
      </c>
      <c r="AS214" s="58" t="str">
        <f t="shared" si="184"/>
        <v>0.496511731741117+0.514297305745797i</v>
      </c>
      <c r="AT214" s="64">
        <f t="shared" si="185"/>
        <v>-2.9155732750853551</v>
      </c>
      <c r="AU214" s="61">
        <f t="shared" si="186"/>
        <v>46.008037269651673</v>
      </c>
    </row>
    <row r="215" spans="14:47" x14ac:dyDescent="0.25">
      <c r="N215" s="10">
        <v>97</v>
      </c>
      <c r="O215" s="50">
        <f t="shared" si="154"/>
        <v>933.25430079699106</v>
      </c>
      <c r="P215" s="48" t="str">
        <f t="shared" si="155"/>
        <v>304.285714285714</v>
      </c>
      <c r="Q215" s="17" t="str">
        <f t="shared" si="156"/>
        <v>1+305.33694850351i</v>
      </c>
      <c r="R215" s="17">
        <f t="shared" si="164"/>
        <v>305.33858603431548</v>
      </c>
      <c r="S215" s="17">
        <f t="shared" si="165"/>
        <v>1.5675212681111634</v>
      </c>
      <c r="T215" s="17" t="str">
        <f t="shared" si="157"/>
        <v>1+0.00633291448748019i</v>
      </c>
      <c r="U215" s="17">
        <f t="shared" si="166"/>
        <v>1.0000200527018974</v>
      </c>
      <c r="V215" s="17">
        <f t="shared" si="167"/>
        <v>6.3328298273043152E-3</v>
      </c>
      <c r="W215" s="31" t="str">
        <f t="shared" si="158"/>
        <v>1-0.0197903577733756i</v>
      </c>
      <c r="X215" s="17">
        <f t="shared" si="168"/>
        <v>1.0001958099596289</v>
      </c>
      <c r="Y215" s="17">
        <f t="shared" si="169"/>
        <v>-1.9787774694656875E-2</v>
      </c>
      <c r="Z215" s="31" t="str">
        <f t="shared" si="159"/>
        <v>0.999945313353772+0.174579634433283i</v>
      </c>
      <c r="AA215" s="17">
        <f t="shared" si="170"/>
        <v>1.0150707750974963</v>
      </c>
      <c r="AB215" s="17">
        <f t="shared" si="171"/>
        <v>0.17284702824014911</v>
      </c>
      <c r="AC215" s="66" t="str">
        <f t="shared" si="172"/>
        <v>-0.178724794275135-0.965566358900171i</v>
      </c>
      <c r="AD215" s="64">
        <f t="shared" si="173"/>
        <v>-0.1580542266610391</v>
      </c>
      <c r="AE215" s="61">
        <f t="shared" si="174"/>
        <v>-100.48666973378403</v>
      </c>
      <c r="AF215" s="31" t="str">
        <f t="shared" si="160"/>
        <v>-0.000495863624968664</v>
      </c>
      <c r="AG215" s="31" t="str">
        <f t="shared" si="161"/>
        <v>0.00129426007933021i</v>
      </c>
      <c r="AH215" s="31">
        <f t="shared" si="175"/>
        <v>1.2942600793302099E-3</v>
      </c>
      <c r="AI215" s="31">
        <f t="shared" si="176"/>
        <v>1.5707963267948966</v>
      </c>
      <c r="AJ215" s="31" t="str">
        <f t="shared" si="162"/>
        <v>1+0.00504980495558405i</v>
      </c>
      <c r="AK215" s="31">
        <f t="shared" si="177"/>
        <v>1.0000127501837612</v>
      </c>
      <c r="AL215" s="31">
        <f t="shared" si="178"/>
        <v>5.0497620320063873E-3</v>
      </c>
      <c r="AM215" s="31" t="str">
        <f t="shared" si="163"/>
        <v>1+1.54804576360627i</v>
      </c>
      <c r="AN215" s="31">
        <f t="shared" si="179"/>
        <v>1.8429448407967397</v>
      </c>
      <c r="AO215" s="31">
        <f t="shared" si="180"/>
        <v>0.99725531910615683</v>
      </c>
      <c r="AP215" s="58" t="str">
        <f t="shared" si="181"/>
        <v>-0.591145528810094+0.386110348932018i</v>
      </c>
      <c r="AQ215" s="49">
        <f t="shared" si="182"/>
        <v>-3.0230501033063688</v>
      </c>
      <c r="AR215" s="61">
        <f t="shared" si="183"/>
        <v>146.84919082977541</v>
      </c>
      <c r="AS215" s="58" t="str">
        <f t="shared" si="184"/>
        <v>0.478467526775213+0.501782743152903i</v>
      </c>
      <c r="AT215" s="64">
        <f t="shared" si="185"/>
        <v>-3.1811043299674098</v>
      </c>
      <c r="AU215" s="61">
        <f t="shared" si="186"/>
        <v>46.36252109599139</v>
      </c>
    </row>
    <row r="216" spans="14:47" x14ac:dyDescent="0.25">
      <c r="N216" s="10">
        <v>98</v>
      </c>
      <c r="O216" s="50">
        <f t="shared" si="154"/>
        <v>954.99258602143675</v>
      </c>
      <c r="P216" s="48" t="str">
        <f t="shared" si="155"/>
        <v>304.285714285714</v>
      </c>
      <c r="Q216" s="17" t="str">
        <f t="shared" si="156"/>
        <v>1+312.449159688032i</v>
      </c>
      <c r="R216" s="17">
        <f t="shared" si="164"/>
        <v>312.45075994427873</v>
      </c>
      <c r="S216" s="17">
        <f t="shared" si="165"/>
        <v>1.5675958170333237</v>
      </c>
      <c r="T216" s="17" t="str">
        <f t="shared" si="157"/>
        <v>1+0.00648042701575176i</v>
      </c>
      <c r="U216" s="17">
        <f t="shared" si="166"/>
        <v>1.0000209977467005</v>
      </c>
      <c r="V216" s="17">
        <f t="shared" si="167"/>
        <v>6.4803363008417991E-3</v>
      </c>
      <c r="W216" s="31" t="str">
        <f t="shared" si="158"/>
        <v>1-0.0202513344242243i</v>
      </c>
      <c r="X216" s="17">
        <f t="shared" si="168"/>
        <v>1.0002050372528433</v>
      </c>
      <c r="Y216" s="17">
        <f t="shared" si="169"/>
        <v>-2.0248566636153403E-2</v>
      </c>
      <c r="Z216" s="31" t="str">
        <f t="shared" si="159"/>
        <v>0.999942736051537+0.178646116510514i</v>
      </c>
      <c r="AA216" s="17">
        <f t="shared" si="170"/>
        <v>1.0157755216220374</v>
      </c>
      <c r="AB216" s="17">
        <f t="shared" si="171"/>
        <v>0.17679114918615432</v>
      </c>
      <c r="AC216" s="66" t="str">
        <f t="shared" si="172"/>
        <v>-0.178620296100214-0.942177608285301i</v>
      </c>
      <c r="AD216" s="64">
        <f t="shared" si="173"/>
        <v>-0.3639921648049339</v>
      </c>
      <c r="AE216" s="61">
        <f t="shared" si="174"/>
        <v>-100.73487249158315</v>
      </c>
      <c r="AF216" s="31" t="str">
        <f t="shared" si="160"/>
        <v>-0.000495863624968664</v>
      </c>
      <c r="AG216" s="31" t="str">
        <f t="shared" si="161"/>
        <v>0.00132440726936734i</v>
      </c>
      <c r="AH216" s="31">
        <f t="shared" si="175"/>
        <v>1.3244072693673399E-3</v>
      </c>
      <c r="AI216" s="31">
        <f t="shared" si="176"/>
        <v>1.5707963267948966</v>
      </c>
      <c r="AJ216" s="31" t="str">
        <f t="shared" si="162"/>
        <v>1+0.00516743002343379i</v>
      </c>
      <c r="AK216" s="31">
        <f t="shared" si="177"/>
        <v>1.0000133510773979</v>
      </c>
      <c r="AL216" s="31">
        <f t="shared" si="178"/>
        <v>5.1673840300248391E-3</v>
      </c>
      <c r="AM216" s="31" t="str">
        <f t="shared" si="163"/>
        <v>1+1.58410438162821i</v>
      </c>
      <c r="AN216" s="31">
        <f t="shared" si="179"/>
        <v>1.8733357125442558</v>
      </c>
      <c r="AO216" s="31">
        <f t="shared" si="180"/>
        <v>1.0076998520640752</v>
      </c>
      <c r="AP216" s="58" t="str">
        <f t="shared" si="181"/>
        <v>-0.591144818388619+0.377458884990973i</v>
      </c>
      <c r="AQ216" s="49">
        <f t="shared" si="182"/>
        <v>-3.0809898143486332</v>
      </c>
      <c r="AR216" s="61">
        <f t="shared" si="183"/>
        <v>147.44087924318512</v>
      </c>
      <c r="AS216" s="58" t="str">
        <f t="shared" si="184"/>
        <v>0.461223771985514+0.489541593336893i</v>
      </c>
      <c r="AT216" s="64">
        <f t="shared" si="185"/>
        <v>-3.4449819791535679</v>
      </c>
      <c r="AU216" s="61">
        <f t="shared" si="186"/>
        <v>46.70600675160194</v>
      </c>
    </row>
    <row r="217" spans="14:47" x14ac:dyDescent="0.25">
      <c r="N217" s="10">
        <v>99</v>
      </c>
      <c r="O217" s="50">
        <f t="shared" si="154"/>
        <v>977.23722095581138</v>
      </c>
      <c r="P217" s="48" t="str">
        <f t="shared" si="155"/>
        <v>304.285714285714</v>
      </c>
      <c r="Q217" s="17" t="str">
        <f t="shared" si="156"/>
        <v>1+319.727035552773i</v>
      </c>
      <c r="R217" s="17">
        <f t="shared" si="164"/>
        <v>319.72859938292061</v>
      </c>
      <c r="S217" s="17">
        <f t="shared" si="165"/>
        <v>1.5676686690492156</v>
      </c>
      <c r="T217" s="17" t="str">
        <f t="shared" si="157"/>
        <v>1+0.00663137555220565i</v>
      </c>
      <c r="U217" s="17">
        <f t="shared" si="166"/>
        <v>1.0000219873291358</v>
      </c>
      <c r="V217" s="17">
        <f t="shared" si="167"/>
        <v>6.6312783495437811E-3</v>
      </c>
      <c r="W217" s="31" t="str">
        <f t="shared" si="158"/>
        <v>1-0.0207230486006427i</v>
      </c>
      <c r="X217" s="17">
        <f t="shared" si="168"/>
        <v>1.0002146993237526</v>
      </c>
      <c r="Y217" s="17">
        <f t="shared" si="169"/>
        <v>-2.0720082896673195E-2</v>
      </c>
      <c r="Z217" s="31" t="str">
        <f t="shared" si="159"/>
        <v>0.999940037284791+0.18280731912338i</v>
      </c>
      <c r="AA217" s="17">
        <f t="shared" si="170"/>
        <v>1.0165129581516346</v>
      </c>
      <c r="AB217" s="17">
        <f t="shared" si="171"/>
        <v>0.18082142551725294</v>
      </c>
      <c r="AC217" s="66" t="str">
        <f t="shared" si="172"/>
        <v>-0.178498077522305-0.919292462207038i</v>
      </c>
      <c r="AD217" s="64">
        <f t="shared" si="173"/>
        <v>-0.57020118826460886</v>
      </c>
      <c r="AE217" s="61">
        <f t="shared" si="174"/>
        <v>-100.98833197802406</v>
      </c>
      <c r="AF217" s="31" t="str">
        <f t="shared" si="160"/>
        <v>-0.000495863624968664</v>
      </c>
      <c r="AG217" s="31" t="str">
        <f t="shared" si="161"/>
        <v>0.00135525667766929i</v>
      </c>
      <c r="AH217" s="31">
        <f t="shared" si="175"/>
        <v>1.35525667766929E-3</v>
      </c>
      <c r="AI217" s="31">
        <f t="shared" si="176"/>
        <v>1.5707963267948966</v>
      </c>
      <c r="AJ217" s="31" t="str">
        <f t="shared" si="162"/>
        <v>1+0.00528779493108097i</v>
      </c>
      <c r="AK217" s="31">
        <f t="shared" si="177"/>
        <v>1.0000139802898924</v>
      </c>
      <c r="AL217" s="31">
        <f t="shared" si="178"/>
        <v>5.2877456482925767E-3</v>
      </c>
      <c r="AM217" s="31" t="str">
        <f t="shared" si="163"/>
        <v>1+1.62100291276138i</v>
      </c>
      <c r="AN217" s="31">
        <f t="shared" si="179"/>
        <v>1.9046391897629531</v>
      </c>
      <c r="AO217" s="31">
        <f t="shared" si="180"/>
        <v>1.0180414700405418</v>
      </c>
      <c r="AP217" s="58" t="str">
        <f t="shared" si="181"/>
        <v>-0.591144074487841+0.369007554400906i</v>
      </c>
      <c r="AQ217" s="49">
        <f t="shared" si="182"/>
        <v>-3.137053205803003</v>
      </c>
      <c r="AR217" s="61">
        <f t="shared" si="183"/>
        <v>148.02651409383122</v>
      </c>
      <c r="AS217" s="58" t="str">
        <f t="shared" si="184"/>
        <v>0.444743944092988+0.477567152703259i</v>
      </c>
      <c r="AT217" s="64">
        <f t="shared" si="185"/>
        <v>-3.7072543940676135</v>
      </c>
      <c r="AU217" s="61">
        <f t="shared" si="186"/>
        <v>47.038182115807167</v>
      </c>
    </row>
    <row r="218" spans="14:47" x14ac:dyDescent="0.25">
      <c r="N218" s="10">
        <v>100</v>
      </c>
      <c r="O218" s="50">
        <f t="shared" si="154"/>
        <v>1000</v>
      </c>
      <c r="P218" s="48" t="str">
        <f t="shared" si="155"/>
        <v>304.285714285714</v>
      </c>
      <c r="Q218" s="17" t="str">
        <f t="shared" si="156"/>
        <v>1+327.174434923852i</v>
      </c>
      <c r="R218" s="17">
        <f t="shared" si="164"/>
        <v>327.1759631570477</v>
      </c>
      <c r="S218" s="17">
        <f t="shared" si="165"/>
        <v>1.5677398627828474</v>
      </c>
      <c r="T218" s="17" t="str">
        <f t="shared" si="157"/>
        <v>1+0.00678584013175396i</v>
      </c>
      <c r="U218" s="17">
        <f t="shared" si="166"/>
        <v>1.0000230235481049</v>
      </c>
      <c r="V218" s="17">
        <f t="shared" si="167"/>
        <v>6.7857359773547572E-3</v>
      </c>
      <c r="W218" s="31" t="str">
        <f t="shared" si="158"/>
        <v>1-0.0212057504117311i</v>
      </c>
      <c r="X218" s="17">
        <f t="shared" si="168"/>
        <v>1.0002248166539984</v>
      </c>
      <c r="Y218" s="17">
        <f t="shared" si="169"/>
        <v>-2.1202572641249483E-2</v>
      </c>
      <c r="Z218" s="31" t="str">
        <f t="shared" si="159"/>
        <v>0.999937211329085+0.187065448596587i</v>
      </c>
      <c r="AA218" s="17">
        <f t="shared" si="170"/>
        <v>1.0172845760450855</v>
      </c>
      <c r="AB218" s="17">
        <f t="shared" si="171"/>
        <v>0.18493947307845066</v>
      </c>
      <c r="AC218" s="66" t="str">
        <f t="shared" si="172"/>
        <v>-0.178357981365984-0.896899063069347i</v>
      </c>
      <c r="AD218" s="64">
        <f t="shared" si="173"/>
        <v>-0.77669322879641522</v>
      </c>
      <c r="AE218" s="61">
        <f t="shared" si="174"/>
        <v>-101.24715267941511</v>
      </c>
      <c r="AF218" s="31" t="str">
        <f t="shared" si="160"/>
        <v>-0.000495863624968664</v>
      </c>
      <c r="AG218" s="31" t="str">
        <f t="shared" si="161"/>
        <v>0.00138682466100068i</v>
      </c>
      <c r="AH218" s="31">
        <f t="shared" si="175"/>
        <v>1.38682466100068E-3</v>
      </c>
      <c r="AI218" s="31">
        <f t="shared" si="176"/>
        <v>1.5707963267948966</v>
      </c>
      <c r="AJ218" s="31" t="str">
        <f t="shared" si="162"/>
        <v>1+0.00541096349759284i</v>
      </c>
      <c r="AK218" s="31">
        <f t="shared" si="177"/>
        <v>1.0000146391558338</v>
      </c>
      <c r="AL218" s="31">
        <f t="shared" si="178"/>
        <v>5.4109106901754104E-3</v>
      </c>
      <c r="AM218" s="31" t="str">
        <f t="shared" si="163"/>
        <v>1+1.65876092109541i</v>
      </c>
      <c r="AN218" s="31">
        <f t="shared" si="179"/>
        <v>1.9368757816012088</v>
      </c>
      <c r="AO218" s="31">
        <f t="shared" si="180"/>
        <v>1.0282768077372604</v>
      </c>
      <c r="AP218" s="58" t="str">
        <f t="shared" si="181"/>
        <v>-0.591143295530109+0.360751876129718i</v>
      </c>
      <c r="AQ218" s="49">
        <f t="shared" si="182"/>
        <v>-3.1912778739732488</v>
      </c>
      <c r="AR218" s="61">
        <f t="shared" si="183"/>
        <v>148.60589890866103</v>
      </c>
      <c r="AS218" s="58" t="str">
        <f t="shared" si="184"/>
        <v>0.428993144590039+0.465852891500193i</v>
      </c>
      <c r="AT218" s="64">
        <f t="shared" si="185"/>
        <v>-3.9679711027696589</v>
      </c>
      <c r="AU218" s="61">
        <f t="shared" si="186"/>
        <v>47.358746229245916</v>
      </c>
    </row>
    <row r="219" spans="14:47" x14ac:dyDescent="0.25">
      <c r="N219" s="10">
        <v>1</v>
      </c>
      <c r="O219" s="50">
        <f>10^(3+(N219/100))</f>
        <v>1023.2929922807547</v>
      </c>
      <c r="P219" s="48" t="str">
        <f t="shared" si="155"/>
        <v>304.285714285714</v>
      </c>
      <c r="Q219" s="17" t="str">
        <f t="shared" si="156"/>
        <v>1+334.795306510994i</v>
      </c>
      <c r="R219" s="17">
        <f t="shared" si="164"/>
        <v>334.79679995751218</v>
      </c>
      <c r="S219" s="17">
        <f t="shared" si="165"/>
        <v>1.5678094359791901</v>
      </c>
      <c r="T219" s="17" t="str">
        <f t="shared" si="157"/>
        <v>1+0.00694390265356133i</v>
      </c>
      <c r="U219" s="17">
        <f t="shared" si="166"/>
        <v>1.0000241086014188</v>
      </c>
      <c r="V219" s="17">
        <f t="shared" si="167"/>
        <v>6.9437910502571712E-3</v>
      </c>
      <c r="W219" s="31" t="str">
        <f t="shared" si="158"/>
        <v>1-0.0216996957923792i</v>
      </c>
      <c r="X219" s="17">
        <f t="shared" si="168"/>
        <v>1.0002354106896445</v>
      </c>
      <c r="Y219" s="17">
        <f t="shared" si="169"/>
        <v>-2.1696290793241479E-2</v>
      </c>
      <c r="Z219" s="31" t="str">
        <f t="shared" si="159"/>
        <v>0.999934252190191+0.191422762646743i</v>
      </c>
      <c r="AA219" s="17">
        <f t="shared" si="170"/>
        <v>1.018091932372744</v>
      </c>
      <c r="AB219" s="17">
        <f t="shared" si="171"/>
        <v>0.18914691946908743</v>
      </c>
      <c r="AC219" s="66" t="str">
        <f t="shared" si="172"/>
        <v>-0.178199821722253-0.874985831185622i</v>
      </c>
      <c r="AD219" s="64">
        <f t="shared" si="173"/>
        <v>-0.98348070435015267</v>
      </c>
      <c r="AE219" s="61">
        <f t="shared" si="174"/>
        <v>-101.51143992841403</v>
      </c>
      <c r="AF219" s="31" t="str">
        <f t="shared" si="160"/>
        <v>-0.000495863624968664</v>
      </c>
      <c r="AG219" s="31" t="str">
        <f t="shared" si="161"/>
        <v>0.00141912795712413i</v>
      </c>
      <c r="AH219" s="31">
        <f t="shared" si="175"/>
        <v>1.41912795712413E-3</v>
      </c>
      <c r="AI219" s="31">
        <f t="shared" si="176"/>
        <v>1.5707963267948966</v>
      </c>
      <c r="AJ219" s="31" t="str">
        <f t="shared" si="162"/>
        <v>1+0.00553700102857372i</v>
      </c>
      <c r="AK219" s="31">
        <f t="shared" si="177"/>
        <v>1.000015329072705</v>
      </c>
      <c r="AL219" s="31">
        <f t="shared" si="178"/>
        <v>5.5369444444533312E-3</v>
      </c>
      <c r="AM219" s="31" t="str">
        <f t="shared" si="163"/>
        <v>1+1.6973984264261i</v>
      </c>
      <c r="AN219" s="31">
        <f t="shared" si="179"/>
        <v>1.9700663486374768</v>
      </c>
      <c r="AO219" s="31">
        <f t="shared" si="180"/>
        <v>1.0384027134255409</v>
      </c>
      <c r="AP219" s="58" t="str">
        <f t="shared" si="181"/>
        <v>-0.591142479863424+0.352687472880991i</v>
      </c>
      <c r="AQ219" s="49">
        <f t="shared" si="182"/>
        <v>-3.2437021883468677</v>
      </c>
      <c r="AR219" s="61">
        <f t="shared" si="183"/>
        <v>149.17884936615059</v>
      </c>
      <c r="AS219" s="58" t="str">
        <f t="shared" si="184"/>
        <v>0.413938026131643+0.454392449301363i</v>
      </c>
      <c r="AT219" s="64">
        <f t="shared" si="185"/>
        <v>-4.227182892697023</v>
      </c>
      <c r="AU219" s="61">
        <f t="shared" si="186"/>
        <v>47.667409437736545</v>
      </c>
    </row>
    <row r="220" spans="14:47" x14ac:dyDescent="0.25">
      <c r="N220" s="10">
        <v>2</v>
      </c>
      <c r="O220" s="50">
        <f t="shared" ref="O220:O283" si="187">10^(3+(N220/100))</f>
        <v>1047.1285480509</v>
      </c>
      <c r="P220" s="48" t="str">
        <f t="shared" si="155"/>
        <v>304.285714285714</v>
      </c>
      <c r="Q220" s="17" t="str">
        <f t="shared" si="156"/>
        <v>1+342.593691001187i</v>
      </c>
      <c r="R220" s="17">
        <f t="shared" si="164"/>
        <v>342.59515045285855</v>
      </c>
      <c r="S220" s="17">
        <f t="shared" si="165"/>
        <v>1.5678774255241781</v>
      </c>
      <c r="T220" s="17" t="str">
        <f t="shared" si="157"/>
        <v>1+0.00710564692446905i</v>
      </c>
      <c r="U220" s="17">
        <f t="shared" si="166"/>
        <v>1.0000252447904578</v>
      </c>
      <c r="V220" s="17">
        <f t="shared" si="167"/>
        <v>7.1055273395371583E-3</v>
      </c>
      <c r="W220" s="31" t="str">
        <f t="shared" si="158"/>
        <v>1-0.0222051466389658i</v>
      </c>
      <c r="X220" s="17">
        <f t="shared" si="168"/>
        <v>1.000246503886546</v>
      </c>
      <c r="Y220" s="17">
        <f t="shared" si="169"/>
        <v>-2.2201498165215935E-2</v>
      </c>
      <c r="Z220" s="31" t="str">
        <f t="shared" si="159"/>
        <v>0.999931153591377+0.195881571579434i</v>
      </c>
      <c r="AA220" s="17">
        <f t="shared" si="170"/>
        <v>1.0189366525977024</v>
      </c>
      <c r="AB220" s="17">
        <f t="shared" si="171"/>
        <v>0.19344540270421118</v>
      </c>
      <c r="AC220" s="66" t="str">
        <f t="shared" si="172"/>
        <v>-0.178023384347774-0.853541459646387i</v>
      </c>
      <c r="AD220" s="64">
        <f t="shared" si="173"/>
        <v>-1.1905765351573192</v>
      </c>
      <c r="AE220" s="61">
        <f t="shared" si="174"/>
        <v>-101.78129983349639</v>
      </c>
      <c r="AF220" s="31" t="str">
        <f t="shared" si="160"/>
        <v>-0.000495863624968664</v>
      </c>
      <c r="AG220" s="31" t="str">
        <f t="shared" si="161"/>
        <v>0.00145218369367482i</v>
      </c>
      <c r="AH220" s="31">
        <f t="shared" si="175"/>
        <v>1.45218369367482E-3</v>
      </c>
      <c r="AI220" s="31">
        <f t="shared" si="176"/>
        <v>1.5707963267948966</v>
      </c>
      <c r="AJ220" s="31" t="str">
        <f t="shared" si="162"/>
        <v>1+0.00566597435079081i</v>
      </c>
      <c r="AK220" s="31">
        <f t="shared" si="177"/>
        <v>1.0000160515038465</v>
      </c>
      <c r="AL220" s="31">
        <f t="shared" si="178"/>
        <v>5.6659137198660052E-3</v>
      </c>
      <c r="AM220" s="31" t="str">
        <f t="shared" si="163"/>
        <v>1+1.73693591487021i</v>
      </c>
      <c r="AN220" s="31">
        <f t="shared" si="179"/>
        <v>2.0042321153913321</v>
      </c>
      <c r="AO220" s="31">
        <f t="shared" si="180"/>
        <v>1.048416249488344</v>
      </c>
      <c r="AP220" s="58" t="str">
        <f t="shared" si="181"/>
        <v>-0.591141625757971+0.344810068772961i</v>
      </c>
      <c r="AQ220" s="49">
        <f t="shared" si="182"/>
        <v>-3.2943651801535778</v>
      </c>
      <c r="AR220" s="61">
        <f t="shared" si="183"/>
        <v>149.74519332538318</v>
      </c>
      <c r="AS220" s="58" t="str">
        <f t="shared" si="184"/>
        <v>0.399546722247523+0.443179630707046i</v>
      </c>
      <c r="AT220" s="64">
        <f t="shared" si="185"/>
        <v>-4.4849417153108968</v>
      </c>
      <c r="AU220" s="61">
        <f t="shared" si="186"/>
        <v>47.96389349188685</v>
      </c>
    </row>
    <row r="221" spans="14:47" x14ac:dyDescent="0.25">
      <c r="N221" s="10">
        <v>3</v>
      </c>
      <c r="O221" s="50">
        <f t="shared" si="187"/>
        <v>1071.5193052376069</v>
      </c>
      <c r="P221" s="48" t="str">
        <f t="shared" si="155"/>
        <v>304.285714285714</v>
      </c>
      <c r="Q221" s="17" t="str">
        <f t="shared" si="156"/>
        <v>1+350.573723201113i</v>
      </c>
      <c r="R221" s="17">
        <f t="shared" si="164"/>
        <v>350.57514943174539</v>
      </c>
      <c r="S221" s="17">
        <f t="shared" si="165"/>
        <v>1.5679438674642521</v>
      </c>
      <c r="T221" s="17" t="str">
        <f t="shared" si="157"/>
        <v>1+0.00727115870343047i</v>
      </c>
      <c r="U221" s="17">
        <f t="shared" si="166"/>
        <v>1.0000264345250531</v>
      </c>
      <c r="V221" s="17">
        <f t="shared" si="167"/>
        <v>7.2710305660502687E-3</v>
      </c>
      <c r="W221" s="31" t="str">
        <f t="shared" si="158"/>
        <v>1-0.0227223709482202i</v>
      </c>
      <c r="X221" s="17">
        <f t="shared" si="168"/>
        <v>1.0002581197578495</v>
      </c>
      <c r="Y221" s="17">
        <f t="shared" si="169"/>
        <v>-2.2718461592646601E-2</v>
      </c>
      <c r="Z221" s="31" t="str">
        <f t="shared" si="159"/>
        <v>0.999927908960101+0.200444239514176i</v>
      </c>
      <c r="AA221" s="17">
        <f t="shared" si="170"/>
        <v>1.0198204333468399</v>
      </c>
      <c r="AB221" s="17">
        <f t="shared" si="171"/>
        <v>0.19783656975611011</v>
      </c>
      <c r="AC221" s="66" t="str">
        <f t="shared" si="172"/>
        <v>-0.177828427067973-0.832554909375168i</v>
      </c>
      <c r="AD221" s="64">
        <f t="shared" si="173"/>
        <v>-1.3979941600015855</v>
      </c>
      <c r="AE221" s="61">
        <f t="shared" si="174"/>
        <v>-102.05683920163541</v>
      </c>
      <c r="AF221" s="31" t="str">
        <f t="shared" si="160"/>
        <v>-0.000495863624968664</v>
      </c>
      <c r="AG221" s="31" t="str">
        <f t="shared" si="161"/>
        <v>0.00148600939724183i</v>
      </c>
      <c r="AH221" s="31">
        <f t="shared" si="175"/>
        <v>1.4860093972418301E-3</v>
      </c>
      <c r="AI221" s="31">
        <f t="shared" si="176"/>
        <v>1.5707963267948966</v>
      </c>
      <c r="AJ221" s="31" t="str">
        <f t="shared" si="162"/>
        <v>1+0.00579795184760673i</v>
      </c>
      <c r="AK221" s="31">
        <f t="shared" si="177"/>
        <v>1.0000168079815595</v>
      </c>
      <c r="AL221" s="31">
        <f t="shared" si="178"/>
        <v>5.7978868804592814E-3</v>
      </c>
      <c r="AM221" s="31" t="str">
        <f t="shared" si="163"/>
        <v>1+1.77739434972745i</v>
      </c>
      <c r="AN221" s="31">
        <f t="shared" si="179"/>
        <v>2.039394683341865</v>
      </c>
      <c r="AO221" s="31">
        <f t="shared" si="180"/>
        <v>1.0583146921183704</v>
      </c>
      <c r="AP221" s="58" t="str">
        <f t="shared" si="181"/>
        <v>-0.59114073140241+0.337115487071244i</v>
      </c>
      <c r="AQ221" s="49">
        <f t="shared" si="182"/>
        <v>-3.3433064331686095</v>
      </c>
      <c r="AR221" s="61">
        <f t="shared" si="183"/>
        <v>150.30477080672509</v>
      </c>
      <c r="AS221" s="58" t="str">
        <f t="shared" si="184"/>
        <v>0.385788780228667+0.432208401254571i</v>
      </c>
      <c r="AT221" s="64">
        <f t="shared" si="185"/>
        <v>-4.7413005931701955</v>
      </c>
      <c r="AU221" s="61">
        <f t="shared" si="186"/>
        <v>48.247931605089668</v>
      </c>
    </row>
    <row r="222" spans="14:47" x14ac:dyDescent="0.25">
      <c r="N222" s="10">
        <v>4</v>
      </c>
      <c r="O222" s="50">
        <f t="shared" si="187"/>
        <v>1096.4781961431863</v>
      </c>
      <c r="P222" s="48" t="str">
        <f t="shared" si="155"/>
        <v>304.285714285714</v>
      </c>
      <c r="Q222" s="17" t="str">
        <f t="shared" si="156"/>
        <v>1+358.739634229471i</v>
      </c>
      <c r="R222" s="17">
        <f t="shared" si="164"/>
        <v>358.74102799525821</v>
      </c>
      <c r="S222" s="17">
        <f t="shared" si="165"/>
        <v>1.5680087970254606</v>
      </c>
      <c r="T222" s="17" t="str">
        <f t="shared" si="157"/>
        <v>1+0.00744052574698161i</v>
      </c>
      <c r="U222" s="17">
        <f t="shared" si="166"/>
        <v>1.0000276803285955</v>
      </c>
      <c r="V222" s="17">
        <f t="shared" si="167"/>
        <v>7.4403884455102598E-3</v>
      </c>
      <c r="W222" s="31" t="str">
        <f t="shared" si="158"/>
        <v>1-0.0232516429593176i</v>
      </c>
      <c r="X222" s="17">
        <f t="shared" si="168"/>
        <v>1.0002702829237244</v>
      </c>
      <c r="Y222" s="17">
        <f t="shared" si="169"/>
        <v>-2.3247454070479463E-2</v>
      </c>
      <c r="Z222" s="31" t="str">
        <f t="shared" si="159"/>
        <v>0.999924511414063+0.205113185637901i</v>
      </c>
      <c r="AA222" s="17">
        <f t="shared" si="170"/>
        <v>1.020745045272903</v>
      </c>
      <c r="AB222" s="17">
        <f t="shared" si="171"/>
        <v>0.20232207496974181</v>
      </c>
      <c r="AC222" s="66" t="str">
        <f t="shared" si="172"/>
        <v>-0.177614680189399-0.812015404370472i</v>
      </c>
      <c r="AD222" s="64">
        <f t="shared" si="173"/>
        <v>-1.6057475526347131</v>
      </c>
      <c r="AE222" s="61">
        <f t="shared" si="174"/>
        <v>-102.33816545383691</v>
      </c>
      <c r="AF222" s="31" t="str">
        <f t="shared" si="160"/>
        <v>-0.000495863624968664</v>
      </c>
      <c r="AG222" s="31" t="str">
        <f t="shared" si="161"/>
        <v>0.00152062300266091i</v>
      </c>
      <c r="AH222" s="31">
        <f t="shared" si="175"/>
        <v>1.5206230026609099E-3</v>
      </c>
      <c r="AI222" s="31">
        <f t="shared" si="176"/>
        <v>1.5707963267948966</v>
      </c>
      <c r="AJ222" s="31" t="str">
        <f t="shared" si="162"/>
        <v>1+0.00593300349523722i</v>
      </c>
      <c r="AK222" s="31">
        <f t="shared" si="177"/>
        <v>1.0000176001103553</v>
      </c>
      <c r="AL222" s="31">
        <f t="shared" si="178"/>
        <v>5.9329338817506938E-3</v>
      </c>
      <c r="AM222" s="31" t="str">
        <f t="shared" si="163"/>
        <v>1+1.8187951825955i</v>
      </c>
      <c r="AN222" s="31">
        <f t="shared" si="179"/>
        <v>2.0755760444350377</v>
      </c>
      <c r="AO222" s="31">
        <f t="shared" si="180"/>
        <v>1.0680955302166271</v>
      </c>
      <c r="AP222" s="58" t="str">
        <f t="shared" si="181"/>
        <v>-0.591139794900072+0.32959964797415i</v>
      </c>
      <c r="AQ222" s="49">
        <f t="shared" si="182"/>
        <v>-3.3905659772606898</v>
      </c>
      <c r="AR222" s="61">
        <f t="shared" si="183"/>
        <v>150.85743392664611</v>
      </c>
      <c r="AS222" s="58" t="str">
        <f t="shared" si="184"/>
        <v>0.372635097048498+0.421472883529793i</v>
      </c>
      <c r="AT222" s="64">
        <f t="shared" si="185"/>
        <v>-4.9963135298953976</v>
      </c>
      <c r="AU222" s="61">
        <f t="shared" si="186"/>
        <v>48.519268472809223</v>
      </c>
    </row>
    <row r="223" spans="14:47" x14ac:dyDescent="0.25">
      <c r="N223" s="10">
        <v>5</v>
      </c>
      <c r="O223" s="50">
        <f t="shared" si="187"/>
        <v>1122.0184543019636</v>
      </c>
      <c r="P223" s="48" t="str">
        <f t="shared" si="155"/>
        <v>304.285714285714</v>
      </c>
      <c r="Q223" s="17" t="str">
        <f t="shared" si="156"/>
        <v>1+367.095753760379i</v>
      </c>
      <c r="R223" s="17">
        <f t="shared" si="164"/>
        <v>367.09711580030267</v>
      </c>
      <c r="S223" s="17">
        <f t="shared" si="165"/>
        <v>1.568072248632125</v>
      </c>
      <c r="T223" s="17" t="str">
        <f t="shared" si="157"/>
        <v>1+0.00761383785577081i</v>
      </c>
      <c r="U223" s="17">
        <f t="shared" si="166"/>
        <v>1.0000289848433863</v>
      </c>
      <c r="V223" s="17">
        <f t="shared" si="167"/>
        <v>7.6136907348239224E-3</v>
      </c>
      <c r="W223" s="31" t="str">
        <f t="shared" si="158"/>
        <v>1-0.0237932432992838i</v>
      </c>
      <c r="X223" s="17">
        <f t="shared" si="168"/>
        <v>1.000283019163426</v>
      </c>
      <c r="Y223" s="17">
        <f t="shared" si="169"/>
        <v>-2.3788754892612805E-2</v>
      </c>
      <c r="Z223" s="31" t="str">
        <f t="shared" si="159"/>
        <v>0.999920953746613+0.209890885487645i</v>
      </c>
      <c r="AA223" s="17">
        <f t="shared" si="170"/>
        <v>1.0217123360086848</v>
      </c>
      <c r="AB223" s="17">
        <f t="shared" si="171"/>
        <v>0.20690357834566839</v>
      </c>
      <c r="AC223" s="66" t="str">
        <f t="shared" si="172"/>
        <v>-0.17738184692695-0.791912427131629i</v>
      </c>
      <c r="AD223" s="64">
        <f t="shared" si="173"/>
        <v>-1.8138512382971133</v>
      </c>
      <c r="AE223" s="61">
        <f t="shared" si="174"/>
        <v>-102.62538653316524</v>
      </c>
      <c r="AF223" s="31" t="str">
        <f t="shared" si="160"/>
        <v>-0.000495863624968664</v>
      </c>
      <c r="AG223" s="31" t="str">
        <f t="shared" si="161"/>
        <v>0.00155604286252383i</v>
      </c>
      <c r="AH223" s="31">
        <f t="shared" si="175"/>
        <v>1.55604286252383E-3</v>
      </c>
      <c r="AI223" s="31">
        <f t="shared" si="176"/>
        <v>1.5707963267948966</v>
      </c>
      <c r="AJ223" s="31" t="str">
        <f t="shared" si="162"/>
        <v>1+0.00607120089985347i</v>
      </c>
      <c r="AK223" s="31">
        <f t="shared" si="177"/>
        <v>1.0000184295703587</v>
      </c>
      <c r="AL223" s="31">
        <f t="shared" si="178"/>
        <v>6.0711263077329967E-3</v>
      </c>
      <c r="AM223" s="31" t="str">
        <f t="shared" si="163"/>
        <v>1+1.86116036474397i</v>
      </c>
      <c r="AN223" s="31">
        <f t="shared" si="179"/>
        <v>2.112798595061514</v>
      </c>
      <c r="AO223" s="31">
        <f t="shared" si="180"/>
        <v>1.0777564635394981</v>
      </c>
      <c r="AP223" s="58" t="str">
        <f t="shared" si="181"/>
        <v>-0.591138814264919+0.32225856644934i</v>
      </c>
      <c r="AQ223" s="49">
        <f t="shared" si="182"/>
        <v>-3.4361841851365895</v>
      </c>
      <c r="AR223" s="61">
        <f t="shared" si="183"/>
        <v>151.40304678943451</v>
      </c>
      <c r="AS223" s="58" t="str">
        <f t="shared" si="184"/>
        <v>0.360057858185375+0.41096735347143i</v>
      </c>
      <c r="AT223" s="64">
        <f t="shared" si="185"/>
        <v>-5.2500354234337001</v>
      </c>
      <c r="AU223" s="61">
        <f t="shared" si="186"/>
        <v>48.777660256269243</v>
      </c>
    </row>
    <row r="224" spans="14:47" x14ac:dyDescent="0.25">
      <c r="N224" s="10">
        <v>6</v>
      </c>
      <c r="O224" s="50">
        <f t="shared" si="187"/>
        <v>1148.1536214968839</v>
      </c>
      <c r="P224" s="48" t="str">
        <f t="shared" si="155"/>
        <v>304.285714285714</v>
      </c>
      <c r="Q224" s="17" t="str">
        <f t="shared" si="156"/>
        <v>1+375.646512319017i</v>
      </c>
      <c r="R224" s="17">
        <f t="shared" si="164"/>
        <v>375.64784335523797</v>
      </c>
      <c r="S224" s="17">
        <f t="shared" si="165"/>
        <v>1.5681342559250824</v>
      </c>
      <c r="T224" s="17" t="str">
        <f t="shared" si="157"/>
        <v>1+0.00779118692217219i</v>
      </c>
      <c r="U224" s="17">
        <f t="shared" si="166"/>
        <v>1.0000303508362416</v>
      </c>
      <c r="V224" s="17">
        <f t="shared" si="167"/>
        <v>7.791029279495796E-3</v>
      </c>
      <c r="W224" s="31" t="str">
        <f t="shared" si="158"/>
        <v>1-0.0243474591317881i</v>
      </c>
      <c r="X224" s="17">
        <f t="shared" si="168"/>
        <v>1.0002963554698048</v>
      </c>
      <c r="Y224" s="17">
        <f t="shared" si="169"/>
        <v>-2.4342649794342894E-2</v>
      </c>
      <c r="Z224" s="31" t="str">
        <f t="shared" si="159"/>
        <v>0.999917228411462+0.21477987226311i</v>
      </c>
      <c r="AA224" s="17">
        <f t="shared" si="170"/>
        <v>1.022724233214124</v>
      </c>
      <c r="AB224" s="17">
        <f t="shared" si="171"/>
        <v>0.21158274368402086</v>
      </c>
      <c r="AC224" s="66" t="str">
        <f t="shared" si="172"/>
        <v>-0.177129603851823-0.772235714266131i</v>
      </c>
      <c r="AD224" s="64">
        <f t="shared" si="173"/>
        <v>-2.0223203102969762</v>
      </c>
      <c r="AE224" s="61">
        <f t="shared" si="174"/>
        <v>-102.91861080489048</v>
      </c>
      <c r="AF224" s="31" t="str">
        <f t="shared" si="160"/>
        <v>-0.000495863624968664</v>
      </c>
      <c r="AG224" s="31" t="str">
        <f t="shared" si="161"/>
        <v>0.00159228775690912i</v>
      </c>
      <c r="AH224" s="31">
        <f t="shared" si="175"/>
        <v>1.59228775690912E-3</v>
      </c>
      <c r="AI224" s="31">
        <f t="shared" si="176"/>
        <v>1.5707963267948966</v>
      </c>
      <c r="AJ224" s="31" t="str">
        <f t="shared" si="162"/>
        <v>1+0.00621261733554866i</v>
      </c>
      <c r="AK224" s="31">
        <f t="shared" si="177"/>
        <v>1.0000192981208702</v>
      </c>
      <c r="AL224" s="31">
        <f t="shared" si="178"/>
        <v>6.2125374087348573E-3</v>
      </c>
      <c r="AM224" s="31" t="str">
        <f t="shared" si="163"/>
        <v>1+1.9045123587532i</v>
      </c>
      <c r="AN224" s="31">
        <f t="shared" si="179"/>
        <v>2.1510851504865345</v>
      </c>
      <c r="AO224" s="31">
        <f t="shared" si="180"/>
        <v>1.087295400145172</v>
      </c>
      <c r="AP224" s="58" t="str">
        <f t="shared" si="181"/>
        <v>-0.591137787417345+0.315088350120759i</v>
      </c>
      <c r="AQ224" s="49">
        <f t="shared" si="182"/>
        <v>-3.4802016726780955</v>
      </c>
      <c r="AR224" s="61">
        <f t="shared" si="183"/>
        <v>151.94148533871885</v>
      </c>
      <c r="AS224" s="58" t="str">
        <f t="shared" si="184"/>
        <v>0.348030479219519+0.400686236860719i</v>
      </c>
      <c r="AT224" s="64">
        <f t="shared" si="185"/>
        <v>-5.5025219829750691</v>
      </c>
      <c r="AU224" s="61">
        <f t="shared" si="186"/>
        <v>49.022874533828329</v>
      </c>
    </row>
    <row r="225" spans="14:47" x14ac:dyDescent="0.25">
      <c r="N225" s="10">
        <v>7</v>
      </c>
      <c r="O225" s="50">
        <f t="shared" si="187"/>
        <v>1174.8975549395295</v>
      </c>
      <c r="P225" s="48" t="str">
        <f t="shared" si="155"/>
        <v>304.285714285714</v>
      </c>
      <c r="Q225" s="17" t="str">
        <f t="shared" si="156"/>
        <v>1+384.396443630756i</v>
      </c>
      <c r="R225" s="17">
        <f t="shared" si="164"/>
        <v>384.39774436899722</v>
      </c>
      <c r="S225" s="17">
        <f t="shared" si="165"/>
        <v>1.5681948517795117</v>
      </c>
      <c r="T225" s="17" t="str">
        <f t="shared" si="157"/>
        <v>1+0.00797266697900825i</v>
      </c>
      <c r="U225" s="17">
        <f t="shared" si="166"/>
        <v>1.0000317812043567</v>
      </c>
      <c r="V225" s="17">
        <f t="shared" si="167"/>
        <v>7.9724980621270949E-3</v>
      </c>
      <c r="W225" s="31" t="str">
        <f t="shared" si="158"/>
        <v>1-0.0249145843094008i</v>
      </c>
      <c r="X225" s="17">
        <f t="shared" si="168"/>
        <v>1.000310320106371</v>
      </c>
      <c r="Y225" s="17">
        <f t="shared" si="169"/>
        <v>-2.4909431097821646E-2</v>
      </c>
      <c r="Z225" s="31" t="str">
        <f t="shared" si="159"/>
        <v>0.999913327506674+0.219782738169796i</v>
      </c>
      <c r="AA225" s="17">
        <f t="shared" si="170"/>
        <v>1.023782747716957</v>
      </c>
      <c r="AB225" s="17">
        <f t="shared" si="171"/>
        <v>0.21636123658296103</v>
      </c>
      <c r="AC225" s="66" t="str">
        <f t="shared" si="172"/>
        <v>-0.176857601366332-0.752975252275852i</v>
      </c>
      <c r="AD225" s="64">
        <f t="shared" si="173"/>
        <v>-2.2311704465971784</v>
      </c>
      <c r="AE225" s="61">
        <f t="shared" si="174"/>
        <v>-103.2179469483859</v>
      </c>
      <c r="AF225" s="31" t="str">
        <f t="shared" si="160"/>
        <v>-0.000495863624968664</v>
      </c>
      <c r="AG225" s="31" t="str">
        <f t="shared" si="161"/>
        <v>0.00162937690333954i</v>
      </c>
      <c r="AH225" s="31">
        <f t="shared" si="175"/>
        <v>1.62937690333954E-3</v>
      </c>
      <c r="AI225" s="31">
        <f t="shared" si="176"/>
        <v>1.5707963267948966</v>
      </c>
      <c r="AJ225" s="31" t="str">
        <f t="shared" si="162"/>
        <v>1+0.00635732778318887i</v>
      </c>
      <c r="AK225" s="31">
        <f t="shared" si="177"/>
        <v>1.0000202076040978</v>
      </c>
      <c r="AL225" s="31">
        <f t="shared" si="178"/>
        <v>6.3572421401583423E-3</v>
      </c>
      <c r="AM225" s="31" t="str">
        <f t="shared" si="163"/>
        <v>1+1.94887415042424i</v>
      </c>
      <c r="AN225" s="31">
        <f t="shared" si="179"/>
        <v>2.190458959714106</v>
      </c>
      <c r="AO225" s="31">
        <f t="shared" si="180"/>
        <v>1.0967104531924949</v>
      </c>
      <c r="AP225" s="58" t="str">
        <f t="shared" si="181"/>
        <v>-0.591136712179758+0.308085197204661i</v>
      </c>
      <c r="AQ225" s="49">
        <f t="shared" si="182"/>
        <v>-3.5226592032165485</v>
      </c>
      <c r="AR225" s="61">
        <f t="shared" si="183"/>
        <v>152.47263717183608</v>
      </c>
      <c r="AS225" s="58" t="str">
        <f t="shared" si="184"/>
        <v>0.336527550083327+0.390624105988981i</v>
      </c>
      <c r="AT225" s="64">
        <f t="shared" si="185"/>
        <v>-5.7538296498137331</v>
      </c>
      <c r="AU225" s="61">
        <f t="shared" si="186"/>
        <v>49.254690223450154</v>
      </c>
    </row>
    <row r="226" spans="14:47" x14ac:dyDescent="0.25">
      <c r="N226" s="10">
        <v>8</v>
      </c>
      <c r="O226" s="50">
        <f t="shared" si="187"/>
        <v>1202.2644346174138</v>
      </c>
      <c r="P226" s="48" t="str">
        <f t="shared" si="155"/>
        <v>304.285714285714</v>
      </c>
      <c r="Q226" s="17" t="str">
        <f t="shared" si="156"/>
        <v>1+393.350187024997i</v>
      </c>
      <c r="R226" s="17">
        <f t="shared" si="164"/>
        <v>393.35145815491785</v>
      </c>
      <c r="S226" s="17">
        <f t="shared" si="165"/>
        <v>1.568254068322356</v>
      </c>
      <c r="T226" s="17" t="str">
        <f t="shared" si="157"/>
        <v>1+0.00815837424940733i</v>
      </c>
      <c r="U226" s="17">
        <f t="shared" si="166"/>
        <v>1.0000332789814514</v>
      </c>
      <c r="V226" s="17">
        <f t="shared" si="167"/>
        <v>8.1581932520334976E-3</v>
      </c>
      <c r="W226" s="31" t="str">
        <f t="shared" si="158"/>
        <v>1-0.0254949195293979i</v>
      </c>
      <c r="X226" s="17">
        <f t="shared" si="168"/>
        <v>1.0003249426670369</v>
      </c>
      <c r="Y226" s="17">
        <f t="shared" si="169"/>
        <v>-2.5489397860576617E-2</v>
      </c>
      <c r="Z226" s="31" t="str">
        <f t="shared" si="159"/>
        <v>0.999909242757908+0.224902135793428i</v>
      </c>
      <c r="AA226" s="17">
        <f t="shared" si="170"/>
        <v>1.0248899767473281</v>
      </c>
      <c r="AB226" s="17">
        <f t="shared" si="171"/>
        <v>0.2212407222850995</v>
      </c>
      <c r="AC226" s="66" t="str">
        <f t="shared" si="172"/>
        <v>-0.176565464212006-0.734121273519441i</v>
      </c>
      <c r="AD226" s="64">
        <f t="shared" si="173"/>
        <v>-2.4404179263521093</v>
      </c>
      <c r="AE226" s="61">
        <f t="shared" si="174"/>
        <v>-103.52350384040142</v>
      </c>
      <c r="AF226" s="31" t="str">
        <f t="shared" si="160"/>
        <v>-0.000495863624968664</v>
      </c>
      <c r="AG226" s="31" t="str">
        <f t="shared" si="161"/>
        <v>0.00166732996697147i</v>
      </c>
      <c r="AH226" s="31">
        <f t="shared" si="175"/>
        <v>1.6673299669714701E-3</v>
      </c>
      <c r="AI226" s="31">
        <f t="shared" si="176"/>
        <v>1.5707963267948966</v>
      </c>
      <c r="AJ226" s="31" t="str">
        <f t="shared" si="162"/>
        <v>1+0.00650540897016892i</v>
      </c>
      <c r="AK226" s="31">
        <f t="shared" si="177"/>
        <v>1.0000211599490629</v>
      </c>
      <c r="AL226" s="31">
        <f t="shared" si="178"/>
        <v>6.5053172021132229E-3</v>
      </c>
      <c r="AM226" s="31" t="str">
        <f t="shared" si="163"/>
        <v>1+1.99426926096623i</v>
      </c>
      <c r="AN226" s="31">
        <f t="shared" si="179"/>
        <v>2.2309437207681402</v>
      </c>
      <c r="AO226" s="31">
        <f t="shared" si="180"/>
        <v>1.1059999371466869</v>
      </c>
      <c r="AP226" s="58" t="str">
        <f t="shared" si="181"/>
        <v>-0.59113558627197+0.301245394493658i</v>
      </c>
      <c r="AQ226" s="49">
        <f t="shared" si="182"/>
        <v>-3.5635975960359167</v>
      </c>
      <c r="AR226" s="61">
        <f t="shared" si="183"/>
        <v>152.99640132016447</v>
      </c>
      <c r="AS226" s="58" t="str">
        <f t="shared" si="184"/>
        <v>0.325524781849897+0.380775676496138i</v>
      </c>
      <c r="AT226" s="64">
        <f t="shared" si="185"/>
        <v>-6.004015522388034</v>
      </c>
      <c r="AU226" s="61">
        <f t="shared" si="186"/>
        <v>49.472897479763056</v>
      </c>
    </row>
    <row r="227" spans="14:47" x14ac:dyDescent="0.25">
      <c r="N227" s="10">
        <v>9</v>
      </c>
      <c r="O227" s="50">
        <f t="shared" si="187"/>
        <v>1230.2687708123824</v>
      </c>
      <c r="P227" s="48" t="str">
        <f t="shared" si="155"/>
        <v>304.285714285714</v>
      </c>
      <c r="Q227" s="17" t="str">
        <f t="shared" si="156"/>
        <v>1+402.512489895003i</v>
      </c>
      <c r="R227" s="17">
        <f t="shared" si="164"/>
        <v>402.51373209056464</v>
      </c>
      <c r="S227" s="17">
        <f t="shared" si="165"/>
        <v>1.5683119369493483</v>
      </c>
      <c r="T227" s="17" t="str">
        <f t="shared" si="157"/>
        <v>1+0.00834840719782227i</v>
      </c>
      <c r="U227" s="17">
        <f t="shared" si="166"/>
        <v>1.0000348473442016</v>
      </c>
      <c r="V227" s="17">
        <f t="shared" si="167"/>
        <v>8.3482132560070092E-3</v>
      </c>
      <c r="W227" s="31" t="str">
        <f t="shared" si="158"/>
        <v>1-0.0260887724931946i</v>
      </c>
      <c r="X227" s="17">
        <f t="shared" si="168"/>
        <v>1.0003402541386615</v>
      </c>
      <c r="Y227" s="17">
        <f t="shared" si="169"/>
        <v>-2.6082856027140475E-2</v>
      </c>
      <c r="Z227" s="31" t="str">
        <f t="shared" si="159"/>
        <v>0.999904965500863+0.230140779506389i</v>
      </c>
      <c r="AA227" s="17">
        <f t="shared" si="170"/>
        <v>1.0260481072664627</v>
      </c>
      <c r="AB227" s="17">
        <f t="shared" si="171"/>
        <v>0.2262228633653191</v>
      </c>
      <c r="AC227" s="66" t="str">
        <f t="shared" si="172"/>
        <v>-0.17625279201763-0.715664252347735i</v>
      </c>
      <c r="AD227" s="64">
        <f t="shared" si="173"/>
        <v>-2.6500796463323328</v>
      </c>
      <c r="AE227" s="61">
        <f t="shared" si="174"/>
        <v>-103.83539042934051</v>
      </c>
      <c r="AF227" s="31" t="str">
        <f t="shared" si="160"/>
        <v>-0.000495863624968664</v>
      </c>
      <c r="AG227" s="31" t="str">
        <f t="shared" si="161"/>
        <v>0.0017061670710216i</v>
      </c>
      <c r="AH227" s="31">
        <f t="shared" si="175"/>
        <v>1.7061670710216E-3</v>
      </c>
      <c r="AI227" s="31">
        <f t="shared" si="176"/>
        <v>1.5707963267948966</v>
      </c>
      <c r="AJ227" s="31" t="str">
        <f t="shared" si="162"/>
        <v>1+0.00665693941109421i</v>
      </c>
      <c r="AK227" s="31">
        <f t="shared" si="177"/>
        <v>1.0000221571756913</v>
      </c>
      <c r="AL227" s="31">
        <f t="shared" si="178"/>
        <v>6.6568410799685944E-3</v>
      </c>
      <c r="AM227" s="31" t="str">
        <f t="shared" si="163"/>
        <v>1+2.04072175946766i</v>
      </c>
      <c r="AN227" s="31">
        <f t="shared" si="179"/>
        <v>2.2725635963740998</v>
      </c>
      <c r="AO227" s="31">
        <f t="shared" si="180"/>
        <v>1.1151623634471792</v>
      </c>
      <c r="AP227" s="58" t="str">
        <f t="shared" si="181"/>
        <v>-0.591134407306387+0.294565315387733i</v>
      </c>
      <c r="AQ227" s="49">
        <f t="shared" si="182"/>
        <v>-3.6030576393443776</v>
      </c>
      <c r="AR227" s="61">
        <f t="shared" si="183"/>
        <v>153.51268799858585</v>
      </c>
      <c r="AS227" s="58" t="str">
        <f t="shared" si="184"/>
        <v>0.314998955949974+0.371135804373305i</v>
      </c>
      <c r="AT227" s="64">
        <f t="shared" si="185"/>
        <v>-6.2531372856767167</v>
      </c>
      <c r="AU227" s="61">
        <f t="shared" si="186"/>
        <v>49.67729756924534</v>
      </c>
    </row>
    <row r="228" spans="14:47" x14ac:dyDescent="0.25">
      <c r="N228" s="10">
        <v>10</v>
      </c>
      <c r="O228" s="50">
        <f t="shared" si="187"/>
        <v>1258.925411794168</v>
      </c>
      <c r="P228" s="48" t="str">
        <f t="shared" si="155"/>
        <v>304.285714285714</v>
      </c>
      <c r="Q228" s="17" t="str">
        <f t="shared" si="156"/>
        <v>1+411.888210215035i</v>
      </c>
      <c r="R228" s="17">
        <f t="shared" si="164"/>
        <v>411.88942413485785</v>
      </c>
      <c r="S228" s="17">
        <f t="shared" si="165"/>
        <v>1.5683684883416491</v>
      </c>
      <c r="T228" s="17" t="str">
        <f t="shared" si="157"/>
        <v>1+0.00854286658223774i</v>
      </c>
      <c r="U228" s="17">
        <f t="shared" si="166"/>
        <v>1.0000364896189748</v>
      </c>
      <c r="V228" s="17">
        <f t="shared" si="167"/>
        <v>8.5426587702481273E-3</v>
      </c>
      <c r="W228" s="31" t="str">
        <f t="shared" si="158"/>
        <v>1-0.026696458069493i</v>
      </c>
      <c r="X228" s="17">
        <f t="shared" si="168"/>
        <v>1.0003562869665268</v>
      </c>
      <c r="Y228" s="17">
        <f t="shared" si="169"/>
        <v>-2.6690118583838348E-2</v>
      </c>
      <c r="Z228" s="31" t="str">
        <f t="shared" si="159"/>
        <v>0.999900486662904+0.235501446906918i</v>
      </c>
      <c r="AA228" s="17">
        <f t="shared" si="170"/>
        <v>1.0272594193892624</v>
      </c>
      <c r="AB228" s="17">
        <f t="shared" si="171"/>
        <v>0.23130931725353618</v>
      </c>
      <c r="AC228" s="66" t="str">
        <f t="shared" si="172"/>
        <v>-0.175919159894186-0.697594901408826i</v>
      </c>
      <c r="AD228" s="64">
        <f t="shared" si="173"/>
        <v>-2.8601731371676689</v>
      </c>
      <c r="AE228" s="61">
        <f t="shared" si="174"/>
        <v>-104.15371560017148</v>
      </c>
      <c r="AF228" s="31" t="str">
        <f t="shared" si="160"/>
        <v>-0.000495863624968664</v>
      </c>
      <c r="AG228" s="31" t="str">
        <f t="shared" si="161"/>
        <v>0.00174590880743659i</v>
      </c>
      <c r="AH228" s="31">
        <f t="shared" si="175"/>
        <v>1.74590880743659E-3</v>
      </c>
      <c r="AI228" s="31">
        <f t="shared" si="176"/>
        <v>1.5707963267948966</v>
      </c>
      <c r="AJ228" s="31" t="str">
        <f t="shared" si="162"/>
        <v>1+0.00681199944941028i</v>
      </c>
      <c r="AK228" s="31">
        <f t="shared" si="177"/>
        <v>1.0000232013990971</v>
      </c>
      <c r="AL228" s="31">
        <f t="shared" si="178"/>
        <v>6.8118940858429037E-3</v>
      </c>
      <c r="AM228" s="31" t="str">
        <f t="shared" si="163"/>
        <v>1+2.08825627565811i</v>
      </c>
      <c r="AN228" s="31">
        <f t="shared" si="179"/>
        <v>2.315343230025622</v>
      </c>
      <c r="AO228" s="31">
        <f t="shared" si="180"/>
        <v>1.1241964356929992</v>
      </c>
      <c r="AP228" s="58" t="str">
        <f t="shared" si="181"/>
        <v>-0.591133172782905+0.288041417971138i</v>
      </c>
      <c r="AQ228" s="49">
        <f t="shared" si="182"/>
        <v>-3.6410800079056278</v>
      </c>
      <c r="AR228" s="61">
        <f t="shared" si="183"/>
        <v>154.02141832725016</v>
      </c>
      <c r="AS228" s="58" t="str">
        <f t="shared" si="184"/>
        <v>0.304927875712788+0.361699483122764i</v>
      </c>
      <c r="AT228" s="64">
        <f t="shared" si="185"/>
        <v>-6.5012531450732993</v>
      </c>
      <c r="AU228" s="61">
        <f t="shared" si="186"/>
        <v>49.86770272707863</v>
      </c>
    </row>
    <row r="229" spans="14:47" x14ac:dyDescent="0.25">
      <c r="N229" s="10">
        <v>11</v>
      </c>
      <c r="O229" s="50">
        <f t="shared" si="187"/>
        <v>1288.2495516931347</v>
      </c>
      <c r="P229" s="48" t="str">
        <f t="shared" si="155"/>
        <v>304.285714285714</v>
      </c>
      <c r="Q229" s="17" t="str">
        <f t="shared" si="156"/>
        <v>1+421.482319116107i</v>
      </c>
      <c r="R229" s="17">
        <f t="shared" si="164"/>
        <v>421.48350540381989</v>
      </c>
      <c r="S229" s="17">
        <f t="shared" si="165"/>
        <v>1.5684237524821074</v>
      </c>
      <c r="T229" s="17" t="str">
        <f t="shared" si="157"/>
        <v>1+0.00874185550759331i</v>
      </c>
      <c r="U229" s="17">
        <f t="shared" si="166"/>
        <v>1.0000382092888829</v>
      </c>
      <c r="V229" s="17">
        <f t="shared" si="167"/>
        <v>8.7416328334940802E-3</v>
      </c>
      <c r="W229" s="31" t="str">
        <f t="shared" si="158"/>
        <v>1-0.0273182984612291i</v>
      </c>
      <c r="X229" s="17">
        <f t="shared" si="168"/>
        <v>1.0003730751228848</v>
      </c>
      <c r="Y229" s="17">
        <f t="shared" si="169"/>
        <v>-2.7311505716778643E-2</v>
      </c>
      <c r="Z229" s="31" t="str">
        <f t="shared" si="159"/>
        <v>0.999895796743815+0.240986980291827i</v>
      </c>
      <c r="AA229" s="17">
        <f t="shared" si="170"/>
        <v>1.0285262899003225</v>
      </c>
      <c r="AB229" s="17">
        <f t="shared" si="171"/>
        <v>0.23650173358602833</v>
      </c>
      <c r="AC229" s="66" t="str">
        <f t="shared" si="172"/>
        <v>-0.175564119083908-0.679904168119053i</v>
      </c>
      <c r="AD229" s="64">
        <f t="shared" si="173"/>
        <v>-3.0707165793323794</v>
      </c>
      <c r="AE229" s="61">
        <f t="shared" si="174"/>
        <v>-104.47858802960945</v>
      </c>
      <c r="AF229" s="31" t="str">
        <f t="shared" si="160"/>
        <v>-0.000495863624968664</v>
      </c>
      <c r="AG229" s="31" t="str">
        <f t="shared" si="161"/>
        <v>0.00178657624781111i</v>
      </c>
      <c r="AH229" s="31">
        <f t="shared" si="175"/>
        <v>1.78657624781111E-3</v>
      </c>
      <c r="AI229" s="31">
        <f t="shared" si="176"/>
        <v>1.5707963267948966</v>
      </c>
      <c r="AJ229" s="31" t="str">
        <f t="shared" si="162"/>
        <v>1+0.00697067130000189i</v>
      </c>
      <c r="AK229" s="31">
        <f t="shared" si="177"/>
        <v>1.000024294834067</v>
      </c>
      <c r="AL229" s="31">
        <f t="shared" si="178"/>
        <v>6.9705584010535124E-3</v>
      </c>
      <c r="AM229" s="31" t="str">
        <f t="shared" si="163"/>
        <v>1+2.13689801296725i</v>
      </c>
      <c r="AN229" s="31">
        <f t="shared" si="179"/>
        <v>2.3593077624217198</v>
      </c>
      <c r="AO229" s="31">
        <f t="shared" si="180"/>
        <v>1.1331010444007528</v>
      </c>
      <c r="AP229" s="58" t="str">
        <f t="shared" si="181"/>
        <v>-0.591131880083651+0.281670243134198i</v>
      </c>
      <c r="AQ229" s="49">
        <f t="shared" si="182"/>
        <v>-3.677705185470264</v>
      </c>
      <c r="AR229" s="61">
        <f t="shared" si="183"/>
        <v>154.52252402879895</v>
      </c>
      <c r="AS229" s="58" t="str">
        <f t="shared" si="184"/>
        <v>0.295290320131349+0.352461841068921i</v>
      </c>
      <c r="AT229" s="64">
        <f t="shared" si="185"/>
        <v>-6.7484217648026403</v>
      </c>
      <c r="AU229" s="61">
        <f t="shared" si="186"/>
        <v>50.043935999189479</v>
      </c>
    </row>
    <row r="230" spans="14:47" x14ac:dyDescent="0.25">
      <c r="N230" s="10">
        <v>12</v>
      </c>
      <c r="O230" s="50">
        <f t="shared" si="187"/>
        <v>1318.2567385564089</v>
      </c>
      <c r="P230" s="48" t="str">
        <f t="shared" si="155"/>
        <v>304.285714285714</v>
      </c>
      <c r="Q230" s="17" t="str">
        <f t="shared" si="156"/>
        <v>1+431.299903521753i</v>
      </c>
      <c r="R230" s="17">
        <f t="shared" si="164"/>
        <v>431.30106280633413</v>
      </c>
      <c r="S230" s="17">
        <f t="shared" si="165"/>
        <v>1.5684777586711514</v>
      </c>
      <c r="T230" s="17" t="str">
        <f t="shared" si="157"/>
        <v>1+0.00894547948045116i</v>
      </c>
      <c r="U230" s="17">
        <f t="shared" si="166"/>
        <v>1.0000400100011675</v>
      </c>
      <c r="V230" s="17">
        <f t="shared" si="167"/>
        <v>8.9452408813706242E-3</v>
      </c>
      <c r="W230" s="31" t="str">
        <f t="shared" si="158"/>
        <v>1-0.0279546233764099i</v>
      </c>
      <c r="X230" s="17">
        <f t="shared" si="168"/>
        <v>1.0003906541787149</v>
      </c>
      <c r="Y230" s="17">
        <f t="shared" si="169"/>
        <v>-2.7947344973095738E-2</v>
      </c>
      <c r="Z230" s="31" t="str">
        <f t="shared" si="159"/>
        <v>0.999890885795649+0.246600288163528i</v>
      </c>
      <c r="AA230" s="17">
        <f t="shared" si="170"/>
        <v>1.0298511958625587</v>
      </c>
      <c r="AB230" s="17">
        <f t="shared" si="171"/>
        <v>0.24180175137913415</v>
      </c>
      <c r="AC230" s="66" t="str">
        <f t="shared" si="172"/>
        <v>-0.175187197670931-0.662583231295715i</v>
      </c>
      <c r="AD230" s="64">
        <f t="shared" si="173"/>
        <v>-3.2817288187898557</v>
      </c>
      <c r="AE230" s="61">
        <f t="shared" si="174"/>
        <v>-104.81011603121591</v>
      </c>
      <c r="AF230" s="31" t="str">
        <f t="shared" si="160"/>
        <v>-0.000495863624968664</v>
      </c>
      <c r="AG230" s="31" t="str">
        <f t="shared" si="161"/>
        <v>0.00182819095456035i</v>
      </c>
      <c r="AH230" s="31">
        <f t="shared" si="175"/>
        <v>1.82819095456035E-3</v>
      </c>
      <c r="AI230" s="31">
        <f t="shared" si="176"/>
        <v>1.5707963267948966</v>
      </c>
      <c r="AJ230" s="31" t="str">
        <f t="shared" si="162"/>
        <v>1+0.00713303909278452i</v>
      </c>
      <c r="AK230" s="31">
        <f t="shared" si="177"/>
        <v>1.0000254397997579</v>
      </c>
      <c r="AL230" s="31">
        <f t="shared" si="178"/>
        <v>7.1329181195480028E-3</v>
      </c>
      <c r="AM230" s="31" t="str">
        <f t="shared" si="163"/>
        <v>1+2.18667276188806i</v>
      </c>
      <c r="AN230" s="31">
        <f t="shared" si="179"/>
        <v>2.4044828482613796</v>
      </c>
      <c r="AO230" s="31">
        <f t="shared" si="180"/>
        <v>1.1418752613893763</v>
      </c>
      <c r="AP230" s="58" t="str">
        <f t="shared" si="181"/>
        <v>-0.591130526467422+0.275448412738983i</v>
      </c>
      <c r="AQ230" s="49">
        <f t="shared" si="182"/>
        <v>-3.7129733921060541</v>
      </c>
      <c r="AR230" s="61">
        <f t="shared" si="183"/>
        <v>155.01594710414645</v>
      </c>
      <c r="AS230" s="58" t="str">
        <f t="shared" si="184"/>
        <v>0.286065999757441+0.343418138813673i</v>
      </c>
      <c r="AT230" s="64">
        <f t="shared" si="185"/>
        <v>-6.9947022108959098</v>
      </c>
      <c r="AU230" s="61">
        <f t="shared" si="186"/>
        <v>50.205831072930515</v>
      </c>
    </row>
    <row r="231" spans="14:47" x14ac:dyDescent="0.25">
      <c r="N231" s="10">
        <v>13</v>
      </c>
      <c r="O231" s="50">
        <f t="shared" si="187"/>
        <v>1348.9628825916541</v>
      </c>
      <c r="P231" s="48" t="str">
        <f t="shared" si="155"/>
        <v>304.285714285714</v>
      </c>
      <c r="Q231" s="17" t="str">
        <f t="shared" si="156"/>
        <v>1+441.346168845175i</v>
      </c>
      <c r="R231" s="17">
        <f t="shared" si="164"/>
        <v>441.347301741286</v>
      </c>
      <c r="S231" s="17">
        <f t="shared" si="165"/>
        <v>1.5685305355423158</v>
      </c>
      <c r="T231" s="17" t="str">
        <f t="shared" si="157"/>
        <v>1+0.00915384646493694i</v>
      </c>
      <c r="U231" s="17">
        <f t="shared" si="166"/>
        <v>1.0000418955749322</v>
      </c>
      <c r="V231" s="17">
        <f t="shared" si="167"/>
        <v>9.1535908019944046E-3</v>
      </c>
      <c r="W231" s="31" t="str">
        <f t="shared" si="158"/>
        <v>1-0.028605770202928i</v>
      </c>
      <c r="X231" s="17">
        <f t="shared" si="168"/>
        <v>1.0004090613788454</v>
      </c>
      <c r="Y231" s="17">
        <f t="shared" si="169"/>
        <v>-2.8597971425486611E-2</v>
      </c>
      <c r="Z231" s="31" t="str">
        <f t="shared" si="159"/>
        <v>0.999885743401626+0.252344346772152i</v>
      </c>
      <c r="AA231" s="17">
        <f t="shared" si="170"/>
        <v>1.0312367183172282</v>
      </c>
      <c r="AB231" s="17">
        <f t="shared" si="171"/>
        <v>0.24721099601933838</v>
      </c>
      <c r="AC231" s="66" t="str">
        <f t="shared" si="172"/>
        <v>-0.174787901361238-0.645623497946838i</v>
      </c>
      <c r="AD231" s="64">
        <f t="shared" si="173"/>
        <v>-3.4932293822067817</v>
      </c>
      <c r="AE231" s="61">
        <f t="shared" si="174"/>
        <v>-105.14840739007499</v>
      </c>
      <c r="AF231" s="31" t="str">
        <f t="shared" si="160"/>
        <v>-0.000495863624968664</v>
      </c>
      <c r="AG231" s="31" t="str">
        <f t="shared" si="161"/>
        <v>0.00187077499235267i</v>
      </c>
      <c r="AH231" s="31">
        <f t="shared" si="175"/>
        <v>1.8707749923526701E-3</v>
      </c>
      <c r="AI231" s="31">
        <f t="shared" si="176"/>
        <v>1.5707963267948966</v>
      </c>
      <c r="AJ231" s="31" t="str">
        <f t="shared" si="162"/>
        <v>1+0.00729918891731106i</v>
      </c>
      <c r="AK231" s="31">
        <f t="shared" si="177"/>
        <v>1.0000266387246146</v>
      </c>
      <c r="AL231" s="31">
        <f t="shared" si="178"/>
        <v>7.2990592923392042E-3</v>
      </c>
      <c r="AM231" s="31" t="str">
        <f t="shared" si="163"/>
        <v>1+2.23760691365125i</v>
      </c>
      <c r="AN231" s="31">
        <f t="shared" si="179"/>
        <v>2.4508946733835528</v>
      </c>
      <c r="AO231" s="31">
        <f t="shared" si="180"/>
        <v>1.1505183338444762</v>
      </c>
      <c r="AP231" s="58" t="str">
        <f t="shared" si="181"/>
        <v>-0.591129109063866+0.26937262782791i</v>
      </c>
      <c r="AQ231" s="49">
        <f t="shared" si="182"/>
        <v>-3.746924516480858</v>
      </c>
      <c r="AR231" s="61">
        <f t="shared" si="183"/>
        <v>155.50163948984522</v>
      </c>
      <c r="AS231" s="58" t="str">
        <f t="shared" si="184"/>
        <v>0.277235514636198+0.334563766829809i</v>
      </c>
      <c r="AT231" s="64">
        <f t="shared" si="185"/>
        <v>-7.2401538986876428</v>
      </c>
      <c r="AU231" s="61">
        <f t="shared" si="186"/>
        <v>50.353232099770302</v>
      </c>
    </row>
    <row r="232" spans="14:47" x14ac:dyDescent="0.25">
      <c r="N232" s="10">
        <v>14</v>
      </c>
      <c r="O232" s="50">
        <f t="shared" si="187"/>
        <v>1380.3842646028863</v>
      </c>
      <c r="P232" s="48" t="str">
        <f t="shared" si="155"/>
        <v>304.285714285714</v>
      </c>
      <c r="Q232" s="17" t="str">
        <f t="shared" si="156"/>
        <v>1+451.626441749226i</v>
      </c>
      <c r="R232" s="17">
        <f t="shared" si="164"/>
        <v>451.62754885753702</v>
      </c>
      <c r="S232" s="17">
        <f t="shared" si="165"/>
        <v>1.5685821110774203</v>
      </c>
      <c r="T232" s="17" t="str">
        <f t="shared" si="157"/>
        <v>1+0.00936706693998393i</v>
      </c>
      <c r="U232" s="17">
        <f t="shared" si="166"/>
        <v>1.0000438700092402</v>
      </c>
      <c r="V232" s="17">
        <f t="shared" si="167"/>
        <v>9.3667929928544207E-3</v>
      </c>
      <c r="W232" s="31" t="str">
        <f t="shared" si="158"/>
        <v>1-0.0292720841874498i</v>
      </c>
      <c r="X232" s="17">
        <f t="shared" si="168"/>
        <v>1.0004283357205939</v>
      </c>
      <c r="Y232" s="17">
        <f t="shared" si="169"/>
        <v>-2.9263727840088884E-2</v>
      </c>
      <c r="Z232" s="31" t="str">
        <f t="shared" si="159"/>
        <v>0.999880358654039+0.258222201693608i</v>
      </c>
      <c r="AA232" s="17">
        <f t="shared" si="170"/>
        <v>1.0326855460737425</v>
      </c>
      <c r="AB232" s="17">
        <f t="shared" si="171"/>
        <v>0.25273107606409262</v>
      </c>
      <c r="AC232" s="66" t="str">
        <f t="shared" si="172"/>
        <v>-0.174365714339863-0.629016600212854i</v>
      </c>
      <c r="AD232" s="64">
        <f t="shared" si="173"/>
        <v>-3.7052384916384309</v>
      </c>
      <c r="AE232" s="61">
        <f t="shared" si="174"/>
        <v>-105.49356918672267</v>
      </c>
      <c r="AF232" s="31" t="str">
        <f t="shared" si="160"/>
        <v>-0.000495863624968664</v>
      </c>
      <c r="AG232" s="31" t="str">
        <f t="shared" si="161"/>
        <v>0.00191435093980857i</v>
      </c>
      <c r="AH232" s="31">
        <f t="shared" si="175"/>
        <v>1.9143509398085699E-3</v>
      </c>
      <c r="AI232" s="31">
        <f t="shared" si="176"/>
        <v>1.5707963267948966</v>
      </c>
      <c r="AJ232" s="31" t="str">
        <f t="shared" si="162"/>
        <v>1+0.00746920886841775i</v>
      </c>
      <c r="AK232" s="31">
        <f t="shared" si="177"/>
        <v>1.0000278941515182</v>
      </c>
      <c r="AL232" s="31">
        <f t="shared" si="178"/>
        <v>7.4690699729672086E-3</v>
      </c>
      <c r="AM232" s="31" t="str">
        <f t="shared" si="163"/>
        <v>1+2.28972747421829i</v>
      </c>
      <c r="AN232" s="31">
        <f t="shared" si="179"/>
        <v>2.4985699722421364</v>
      </c>
      <c r="AO232" s="31">
        <f t="shared" si="180"/>
        <v>1.1590296781134024</v>
      </c>
      <c r="AP232" s="58" t="str">
        <f t="shared" si="181"/>
        <v>-0.591127624867421+0.263439666874302i</v>
      </c>
      <c r="AQ232" s="49">
        <f t="shared" si="182"/>
        <v>-3.7795980531132649</v>
      </c>
      <c r="AR232" s="61">
        <f t="shared" si="183"/>
        <v>155.97956269996533</v>
      </c>
      <c r="AS232" s="58" t="str">
        <f t="shared" si="184"/>
        <v>0.268780314194515+0.325894243186011i</v>
      </c>
      <c r="AT232" s="64">
        <f t="shared" si="185"/>
        <v>-7.4848365447516949</v>
      </c>
      <c r="AU232" s="61">
        <f t="shared" si="186"/>
        <v>50.485993513242605</v>
      </c>
    </row>
    <row r="233" spans="14:47" x14ac:dyDescent="0.25">
      <c r="N233" s="10">
        <v>15</v>
      </c>
      <c r="O233" s="50">
        <f t="shared" si="187"/>
        <v>1412.5375446227545</v>
      </c>
      <c r="P233" s="48" t="str">
        <f t="shared" si="155"/>
        <v>304.285714285714</v>
      </c>
      <c r="Q233" s="17" t="str">
        <f t="shared" si="156"/>
        <v>1+462.146172970675i</v>
      </c>
      <c r="R233" s="17">
        <f t="shared" si="164"/>
        <v>462.14725487818384</v>
      </c>
      <c r="S233" s="17">
        <f t="shared" si="165"/>
        <v>1.5686325126213976</v>
      </c>
      <c r="T233" s="17" t="str">
        <f t="shared" si="157"/>
        <v>1+0.00958525395791028i</v>
      </c>
      <c r="U233" s="17">
        <f t="shared" si="166"/>
        <v>1.0000459374915922</v>
      </c>
      <c r="V233" s="17">
        <f t="shared" si="167"/>
        <v>9.5849604190006397E-3</v>
      </c>
      <c r="W233" s="31" t="str">
        <f t="shared" si="158"/>
        <v>1-0.0299539186184696i</v>
      </c>
      <c r="X233" s="17">
        <f t="shared" si="168"/>
        <v>1.0004485180360867</v>
      </c>
      <c r="Y233" s="17">
        <f t="shared" si="169"/>
        <v>-2.9944964847740667E-2</v>
      </c>
      <c r="Z233" s="31" t="str">
        <f t="shared" si="159"/>
        <v>0.999874720131117+0.264236969444376i</v>
      </c>
      <c r="AA233" s="17">
        <f t="shared" si="170"/>
        <v>1.0342004795872159</v>
      </c>
      <c r="AB233" s="17">
        <f t="shared" si="171"/>
        <v>0.25836357984803043</v>
      </c>
      <c r="AC233" s="66" t="str">
        <f t="shared" si="172"/>
        <v>-0.173920100213466-0.612754392454384i</v>
      </c>
      <c r="AD233" s="64">
        <f t="shared" si="173"/>
        <v>-3.9177770785798023</v>
      </c>
      <c r="AE233" s="61">
        <f t="shared" si="174"/>
        <v>-105.84570761002574</v>
      </c>
      <c r="AF233" s="31" t="str">
        <f t="shared" si="160"/>
        <v>-0.000495863624968664</v>
      </c>
      <c r="AG233" s="31" t="str">
        <f t="shared" si="161"/>
        <v>0.00195894190147218i</v>
      </c>
      <c r="AH233" s="31">
        <f t="shared" si="175"/>
        <v>1.95894190147218E-3</v>
      </c>
      <c r="AI233" s="31">
        <f t="shared" si="176"/>
        <v>1.5707963267948966</v>
      </c>
      <c r="AJ233" s="31" t="str">
        <f t="shared" si="162"/>
        <v>1+0.00764318909293314i</v>
      </c>
      <c r="AK233" s="31">
        <f t="shared" si="177"/>
        <v>1.0000292087431797</v>
      </c>
      <c r="AL233" s="31">
        <f t="shared" si="178"/>
        <v>7.6430402640112506E-3</v>
      </c>
      <c r="AM233" s="31" t="str">
        <f t="shared" si="163"/>
        <v>1+2.34306207860029i</v>
      </c>
      <c r="AN233" s="31">
        <f t="shared" si="179"/>
        <v>2.5475360457066571</v>
      </c>
      <c r="AO233" s="31">
        <f t="shared" si="180"/>
        <v>1.1674088732801056</v>
      </c>
      <c r="AP233" s="58" t="str">
        <f t="shared" si="181"/>
        <v>-0.591126070730948+0.257646384073978i</v>
      </c>
      <c r="AQ233" s="49">
        <f t="shared" si="182"/>
        <v>-3.8110330445708165</v>
      </c>
      <c r="AR233" s="61">
        <f t="shared" si="183"/>
        <v>156.44968745529644</v>
      </c>
      <c r="AS233" s="58" t="str">
        <f t="shared" si="184"/>
        <v>0.260682659001638+0.317405211396906i</v>
      </c>
      <c r="AT233" s="64">
        <f t="shared" si="185"/>
        <v>-7.7288101231506188</v>
      </c>
      <c r="AU233" s="61">
        <f t="shared" si="186"/>
        <v>50.603979845270729</v>
      </c>
    </row>
    <row r="234" spans="14:47" x14ac:dyDescent="0.25">
      <c r="N234" s="10">
        <v>16</v>
      </c>
      <c r="O234" s="50">
        <f t="shared" si="187"/>
        <v>1445.4397707459289</v>
      </c>
      <c r="P234" s="48" t="str">
        <f t="shared" si="155"/>
        <v>304.285714285714</v>
      </c>
      <c r="Q234" s="17" t="str">
        <f t="shared" si="156"/>
        <v>1+472.910940210262i</v>
      </c>
      <c r="R234" s="17">
        <f t="shared" si="164"/>
        <v>472.91199749060502</v>
      </c>
      <c r="S234" s="17">
        <f t="shared" si="165"/>
        <v>1.568681766896789</v>
      </c>
      <c r="T234" s="17" t="str">
        <f t="shared" si="157"/>
        <v>1+0.00980852320436096i</v>
      </c>
      <c r="U234" s="17">
        <f t="shared" si="166"/>
        <v>1.0000481024068044</v>
      </c>
      <c r="V234" s="17">
        <f t="shared" si="167"/>
        <v>9.8082086725695388E-3</v>
      </c>
      <c r="W234" s="31" t="str">
        <f t="shared" si="158"/>
        <v>1-0.030651635013628i</v>
      </c>
      <c r="X234" s="17">
        <f t="shared" si="168"/>
        <v>1.0004696510784366</v>
      </c>
      <c r="Y234" s="17">
        <f t="shared" si="169"/>
        <v>-3.0642041118664812E-2</v>
      </c>
      <c r="Z234" s="31" t="str">
        <f t="shared" si="159"/>
        <v>0.999868815872797+0.270391839133934i</v>
      </c>
      <c r="AA234" s="17">
        <f t="shared" si="170"/>
        <v>1.0357844349212342</v>
      </c>
      <c r="AB234" s="17">
        <f t="shared" si="171"/>
        <v>0.26411007188977015</v>
      </c>
      <c r="AC234" s="66" t="str">
        <f t="shared" si="172"/>
        <v>-0.173450503046602-0.596828948479715i</v>
      </c>
      <c r="AD234" s="64">
        <f t="shared" si="173"/>
        <v>-4.1308667972685935</v>
      </c>
      <c r="AE234" s="61">
        <f t="shared" si="174"/>
        <v>-106.20492775873539</v>
      </c>
      <c r="AF234" s="31" t="str">
        <f t="shared" si="160"/>
        <v>-0.000495863624968664</v>
      </c>
      <c r="AG234" s="31" t="str">
        <f t="shared" si="161"/>
        <v>0.00200457152006162i</v>
      </c>
      <c r="AH234" s="31">
        <f t="shared" si="175"/>
        <v>2.0045715200616202E-3</v>
      </c>
      <c r="AI234" s="31">
        <f t="shared" si="176"/>
        <v>1.5707963267948966</v>
      </c>
      <c r="AJ234" s="31" t="str">
        <f t="shared" si="162"/>
        <v>1+0.00782122183747518i</v>
      </c>
      <c r="AK234" s="31">
        <f t="shared" si="177"/>
        <v>1.0000305852877855</v>
      </c>
      <c r="AL234" s="31">
        <f t="shared" si="178"/>
        <v>7.821062364675618E-3</v>
      </c>
      <c r="AM234" s="31" t="str">
        <f t="shared" si="163"/>
        <v>1+2.39763900551046i</v>
      </c>
      <c r="AN234" s="31">
        <f t="shared" si="179"/>
        <v>2.597820779181117</v>
      </c>
      <c r="AO234" s="31">
        <f t="shared" si="180"/>
        <v>1.1756556545665546</v>
      </c>
      <c r="AP234" s="58" t="str">
        <f t="shared" si="181"/>
        <v>-0.591124443359033+0.251989707676976i</v>
      </c>
      <c r="AQ234" s="49">
        <f t="shared" si="182"/>
        <v>-3.8412680285624399</v>
      </c>
      <c r="AR234" s="61">
        <f t="shared" si="183"/>
        <v>156.91199330254926</v>
      </c>
      <c r="AS234" s="58" t="str">
        <f t="shared" si="184"/>
        <v>0.252925584324327+0.309092438391491i</v>
      </c>
      <c r="AT234" s="64">
        <f t="shared" si="185"/>
        <v>-7.9721348258310343</v>
      </c>
      <c r="AU234" s="61">
        <f t="shared" si="186"/>
        <v>50.707065543813926</v>
      </c>
    </row>
    <row r="235" spans="14:47" x14ac:dyDescent="0.25">
      <c r="N235" s="10">
        <v>17</v>
      </c>
      <c r="O235" s="50">
        <f t="shared" si="187"/>
        <v>1479.1083881682086</v>
      </c>
      <c r="P235" s="48" t="str">
        <f t="shared" si="155"/>
        <v>304.285714285714</v>
      </c>
      <c r="Q235" s="17" t="str">
        <f t="shared" si="156"/>
        <v>1+483.926451090063i</v>
      </c>
      <c r="R235" s="17">
        <f t="shared" si="164"/>
        <v>483.92748430381914</v>
      </c>
      <c r="S235" s="17">
        <f t="shared" si="165"/>
        <v>1.5687299000179062</v>
      </c>
      <c r="T235" s="17" t="str">
        <f t="shared" si="157"/>
        <v>1+0.0100369930596457i</v>
      </c>
      <c r="U235" s="17">
        <f t="shared" si="166"/>
        <v>1.0000503693463041</v>
      </c>
      <c r="V235" s="17">
        <f t="shared" si="167"/>
        <v>1.0036656033675876E-2</v>
      </c>
      <c r="W235" s="31" t="str">
        <f t="shared" si="158"/>
        <v>1-0.031365603311393i</v>
      </c>
      <c r="X235" s="17">
        <f t="shared" si="168"/>
        <v>1.0004917796119503</v>
      </c>
      <c r="Y235" s="17">
        <f t="shared" si="169"/>
        <v>-3.1355323540616445E-2</v>
      </c>
      <c r="Z235" s="31" t="str">
        <f t="shared" si="159"/>
        <v>0.999862633355354+0.27669007415566i</v>
      </c>
      <c r="AA235" s="17">
        <f t="shared" si="170"/>
        <v>1.0374404477928203</v>
      </c>
      <c r="AB235" s="17">
        <f t="shared" si="171"/>
        <v>0.26997208909497233</v>
      </c>
      <c r="AC235" s="66" t="str">
        <f t="shared" si="172"/>
        <v>-0.172956348500081-0.581232558904826i</v>
      </c>
      <c r="AD235" s="64">
        <f t="shared" si="173"/>
        <v>-4.3445300371179938</v>
      </c>
      <c r="AE235" s="61">
        <f t="shared" si="174"/>
        <v>-106.57133343146782</v>
      </c>
      <c r="AF235" s="31" t="str">
        <f t="shared" si="160"/>
        <v>-0.000495863624968664</v>
      </c>
      <c r="AG235" s="31" t="str">
        <f t="shared" si="161"/>
        <v>0.00205126398900464i</v>
      </c>
      <c r="AH235" s="31">
        <f t="shared" si="175"/>
        <v>2.0512639890046401E-3</v>
      </c>
      <c r="AI235" s="31">
        <f t="shared" si="176"/>
        <v>1.5707963267948966</v>
      </c>
      <c r="AJ235" s="31" t="str">
        <f t="shared" si="162"/>
        <v>1+0.00800340149736156i</v>
      </c>
      <c r="AK235" s="31">
        <f t="shared" si="177"/>
        <v>1.000032026704909</v>
      </c>
      <c r="AL235" s="31">
        <f t="shared" si="178"/>
        <v>8.0032306194737311E-3</v>
      </c>
      <c r="AM235" s="31" t="str">
        <f t="shared" si="163"/>
        <v>1+2.45348719235785i</v>
      </c>
      <c r="AN235" s="31">
        <f t="shared" si="179"/>
        <v>2.6494526610347289</v>
      </c>
      <c r="AO235" s="31">
        <f t="shared" si="180"/>
        <v>1.1837699066049312</v>
      </c>
      <c r="AP235" s="58" t="str">
        <f t="shared" si="181"/>
        <v>-0.591122739301045+0.246466638358513i</v>
      </c>
      <c r="AQ235" s="49">
        <f t="shared" si="182"/>
        <v>-3.8703409898413108</v>
      </c>
      <c r="AR235" s="61">
        <f t="shared" si="183"/>
        <v>157.36646822609245</v>
      </c>
      <c r="AS235" s="58" t="str">
        <f t="shared" si="184"/>
        <v>0.245492865402663+0.300951812593198i</v>
      </c>
      <c r="AT235" s="64">
        <f t="shared" si="185"/>
        <v>-8.2148710269593082</v>
      </c>
      <c r="AU235" s="61">
        <f t="shared" si="186"/>
        <v>50.795134794624602</v>
      </c>
    </row>
    <row r="236" spans="14:47" x14ac:dyDescent="0.25">
      <c r="N236" s="10">
        <v>18</v>
      </c>
      <c r="O236" s="50">
        <f t="shared" si="187"/>
        <v>1513.5612484362093</v>
      </c>
      <c r="P236" s="48" t="str">
        <f t="shared" si="155"/>
        <v>304.285714285714</v>
      </c>
      <c r="Q236" s="17" t="str">
        <f t="shared" si="156"/>
        <v>1+495.198546179757i</v>
      </c>
      <c r="R236" s="17">
        <f t="shared" si="164"/>
        <v>495.19955587474527</v>
      </c>
      <c r="S236" s="17">
        <f t="shared" si="165"/>
        <v>1.5687769375046752</v>
      </c>
      <c r="T236" s="17" t="str">
        <f t="shared" si="157"/>
        <v>1+0.010270784661506i</v>
      </c>
      <c r="U236" s="17">
        <f t="shared" si="166"/>
        <v>1.0000527431178634</v>
      </c>
      <c r="V236" s="17">
        <f t="shared" si="167"/>
        <v>1.0270423532701618E-2</v>
      </c>
      <c r="W236" s="31" t="str">
        <f t="shared" si="158"/>
        <v>1-0.0320962020672064i</v>
      </c>
      <c r="X236" s="17">
        <f t="shared" si="168"/>
        <v>1.0005149505065574</v>
      </c>
      <c r="Y236" s="17">
        <f t="shared" si="169"/>
        <v>-3.2085187400532504E-2</v>
      </c>
      <c r="Z236" s="31" t="str">
        <f t="shared" si="159"/>
        <v>0.999856159464842+0.283135013917129i</v>
      </c>
      <c r="AA236" s="17">
        <f t="shared" si="170"/>
        <v>1.0391716776960562</v>
      </c>
      <c r="AB236" s="17">
        <f t="shared" si="171"/>
        <v>0.27595113675201827</v>
      </c>
      <c r="AC236" s="66" t="str">
        <f t="shared" si="172"/>
        <v>-0.172437045079927-0.565957728638029i</v>
      </c>
      <c r="AD236" s="64">
        <f t="shared" si="173"/>
        <v>-4.5587899341489901</v>
      </c>
      <c r="AE236" s="61">
        <f t="shared" si="174"/>
        <v>-106.94502690490566</v>
      </c>
      <c r="AF236" s="31" t="str">
        <f t="shared" si="160"/>
        <v>-0.000495863624968664</v>
      </c>
      <c r="AG236" s="31" t="str">
        <f t="shared" si="161"/>
        <v>0.00209904406526631i</v>
      </c>
      <c r="AH236" s="31">
        <f t="shared" si="175"/>
        <v>2.0990440652663101E-3</v>
      </c>
      <c r="AI236" s="31">
        <f t="shared" si="176"/>
        <v>1.5707963267948966</v>
      </c>
      <c r="AJ236" s="31" t="str">
        <f t="shared" si="162"/>
        <v>1+0.00818982466665938i</v>
      </c>
      <c r="AK236" s="31">
        <f t="shared" si="177"/>
        <v>1.0000335360517019</v>
      </c>
      <c r="AL236" s="31">
        <f t="shared" si="178"/>
        <v>8.1896415680353576E-3</v>
      </c>
      <c r="AM236" s="31" t="str">
        <f t="shared" si="163"/>
        <v>1+2.51063625059036i</v>
      </c>
      <c r="AN236" s="31">
        <f t="shared" si="179"/>
        <v>2.702460801339849</v>
      </c>
      <c r="AO236" s="31">
        <f t="shared" si="180"/>
        <v>1.1917516566221205</v>
      </c>
      <c r="AP236" s="58" t="str">
        <f t="shared" si="181"/>
        <v>-0.591120954943808+0.241074247628323i</v>
      </c>
      <c r="AQ236" s="49">
        <f t="shared" si="182"/>
        <v>-3.8982893168111743</v>
      </c>
      <c r="AR236" s="61">
        <f t="shared" si="183"/>
        <v>157.81310825459823</v>
      </c>
      <c r="AS236" s="58" t="str">
        <f t="shared" si="184"/>
        <v>0.238368984376182+0.292979342104446i</v>
      </c>
      <c r="AT236" s="64">
        <f t="shared" si="185"/>
        <v>-8.4570792509601631</v>
      </c>
      <c r="AU236" s="61">
        <f t="shared" si="186"/>
        <v>50.868081349692666</v>
      </c>
    </row>
    <row r="237" spans="14:47" x14ac:dyDescent="0.25">
      <c r="N237" s="10">
        <v>19</v>
      </c>
      <c r="O237" s="50">
        <f t="shared" si="187"/>
        <v>1548.8166189124822</v>
      </c>
      <c r="P237" s="48" t="str">
        <f t="shared" si="155"/>
        <v>304.285714285714</v>
      </c>
      <c r="Q237" s="17" t="str">
        <f t="shared" si="156"/>
        <v>1+506.733202093362i</v>
      </c>
      <c r="R237" s="17">
        <f t="shared" si="164"/>
        <v>506.7341888049317</v>
      </c>
      <c r="S237" s="17">
        <f t="shared" si="165"/>
        <v>1.5688229042961608</v>
      </c>
      <c r="T237" s="17" t="str">
        <f t="shared" si="157"/>
        <v>1+0.0105100219693438i</v>
      </c>
      <c r="U237" s="17">
        <f t="shared" si="166"/>
        <v>1.0000552287557902</v>
      </c>
      <c r="V237" s="17">
        <f t="shared" si="167"/>
        <v>1.0509635014012383E-2</v>
      </c>
      <c r="W237" s="31" t="str">
        <f t="shared" si="158"/>
        <v>1-0.0328438186541994i</v>
      </c>
      <c r="X237" s="17">
        <f t="shared" si="168"/>
        <v>1.0005392128366535</v>
      </c>
      <c r="Y237" s="17">
        <f t="shared" si="169"/>
        <v>-3.2832016569718875E-2</v>
      </c>
      <c r="Z237" s="31" t="str">
        <f t="shared" si="159"/>
        <v>0.999849380469269+0.289730075610712i</v>
      </c>
      <c r="AA237" s="17">
        <f t="shared" si="170"/>
        <v>1.0409814121002208</v>
      </c>
      <c r="AB237" s="17">
        <f t="shared" si="171"/>
        <v>0.28204868431740004</v>
      </c>
      <c r="AC237" s="66" t="str">
        <f t="shared" si="172"/>
        <v>-0.171891985505446-0.550997174480508i</v>
      </c>
      <c r="AD237" s="64">
        <f t="shared" si="173"/>
        <v>-4.7736703812825692</v>
      </c>
      <c r="AE237" s="61">
        <f t="shared" si="174"/>
        <v>-107.32610870005365</v>
      </c>
      <c r="AF237" s="31" t="str">
        <f t="shared" si="160"/>
        <v>-0.000495863624968664</v>
      </c>
      <c r="AG237" s="31" t="str">
        <f t="shared" si="161"/>
        <v>0.00214793708247552i</v>
      </c>
      <c r="AH237" s="31">
        <f t="shared" si="175"/>
        <v>2.1479370824755198E-3</v>
      </c>
      <c r="AI237" s="31">
        <f t="shared" si="176"/>
        <v>1.5707963267948966</v>
      </c>
      <c r="AJ237" s="31" t="str">
        <f t="shared" si="162"/>
        <v>1+0.0083805901894006i</v>
      </c>
      <c r="AK237" s="31">
        <f t="shared" si="177"/>
        <v>1.0000351165293762</v>
      </c>
      <c r="AL237" s="31">
        <f t="shared" si="178"/>
        <v>8.3803939960622846E-3</v>
      </c>
      <c r="AM237" s="31" t="str">
        <f t="shared" si="163"/>
        <v>1+2.56911648139515i</v>
      </c>
      <c r="AN237" s="31">
        <f t="shared" si="179"/>
        <v>2.7568749509138417</v>
      </c>
      <c r="AO237" s="31">
        <f t="shared" si="180"/>
        <v>1.1996010675751998</v>
      </c>
      <c r="AP237" s="58" t="str">
        <f t="shared" si="181"/>
        <v>-0.591119086503959+0.235809676277519i</v>
      </c>
      <c r="AQ237" s="49">
        <f t="shared" si="182"/>
        <v>-3.9251497627042227</v>
      </c>
      <c r="AR237" s="61">
        <f t="shared" si="183"/>
        <v>158.25191706481573</v>
      </c>
      <c r="AS237" s="58" t="str">
        <f t="shared" si="184"/>
        <v>0.231539098793407+0.285171152988441i</v>
      </c>
      <c r="AT237" s="64">
        <f t="shared" si="185"/>
        <v>-8.6988201439867971</v>
      </c>
      <c r="AU237" s="61">
        <f t="shared" si="186"/>
        <v>50.925808364762091</v>
      </c>
    </row>
    <row r="238" spans="14:47" x14ac:dyDescent="0.25">
      <c r="N238" s="10">
        <v>20</v>
      </c>
      <c r="O238" s="50">
        <f t="shared" si="187"/>
        <v>1584.8931924611156</v>
      </c>
      <c r="P238" s="48" t="str">
        <f t="shared" si="155"/>
        <v>304.285714285714</v>
      </c>
      <c r="Q238" s="17" t="str">
        <f t="shared" si="156"/>
        <v>1+518.536534658125i</v>
      </c>
      <c r="R238" s="17">
        <f t="shared" si="164"/>
        <v>518.53749890943936</v>
      </c>
      <c r="S238" s="17">
        <f t="shared" si="165"/>
        <v>1.5688678247637864</v>
      </c>
      <c r="T238" s="17" t="str">
        <f t="shared" si="157"/>
        <v>1+0.0107548318299463i</v>
      </c>
      <c r="U238" s="17">
        <f t="shared" si="166"/>
        <v>1.0000578315316022</v>
      </c>
      <c r="V238" s="17">
        <f t="shared" si="167"/>
        <v>1.07544172011334E-2</v>
      </c>
      <c r="W238" s="31" t="str">
        <f t="shared" si="158"/>
        <v>1-0.0336088494685822i</v>
      </c>
      <c r="X238" s="17">
        <f t="shared" si="168"/>
        <v>1.0005646179845666</v>
      </c>
      <c r="Y238" s="17">
        <f t="shared" si="169"/>
        <v>-3.3596203692606748E-2</v>
      </c>
      <c r="Z238" s="31" t="str">
        <f t="shared" si="159"/>
        <v>0.999842281989477+0.296478756025415i</v>
      </c>
      <c r="AA238" s="17">
        <f t="shared" si="170"/>
        <v>1.0428730707177658</v>
      </c>
      <c r="AB238" s="17">
        <f t="shared" si="171"/>
        <v>0.2882661609887765</v>
      </c>
      <c r="AC238" s="66" t="str">
        <f t="shared" si="172"/>
        <v>-0.17132054820482-0.536343822833057i</v>
      </c>
      <c r="AD238" s="64">
        <f t="shared" si="173"/>
        <v>-4.9891960373449384</v>
      </c>
      <c r="AE238" s="61">
        <f t="shared" si="174"/>
        <v>-107.71467733643097</v>
      </c>
      <c r="AF238" s="31" t="str">
        <f t="shared" si="160"/>
        <v>-0.000495863624968664</v>
      </c>
      <c r="AG238" s="31" t="str">
        <f t="shared" si="161"/>
        <v>0.00219796896435717i</v>
      </c>
      <c r="AH238" s="31">
        <f t="shared" si="175"/>
        <v>2.1979689643571699E-3</v>
      </c>
      <c r="AI238" s="31">
        <f t="shared" si="176"/>
        <v>1.5707963267948966</v>
      </c>
      <c r="AJ238" s="31" t="str">
        <f t="shared" si="162"/>
        <v>1+0.00857579921199048i</v>
      </c>
      <c r="AK238" s="31">
        <f t="shared" si="177"/>
        <v>1.0000367714899909</v>
      </c>
      <c r="AL238" s="31">
        <f t="shared" si="178"/>
        <v>8.5755889874584018E-3</v>
      </c>
      <c r="AM238" s="31" t="str">
        <f t="shared" si="163"/>
        <v>1+2.62895889176465i</v>
      </c>
      <c r="AN238" s="31">
        <f t="shared" si="179"/>
        <v>2.812725520662906</v>
      </c>
      <c r="AO238" s="31">
        <f t="shared" si="180"/>
        <v>1.2073184312737055</v>
      </c>
      <c r="AP238" s="58" t="str">
        <f t="shared" si="181"/>
        <v>-0.591117130019908+0.230670132862168i</v>
      </c>
      <c r="AQ238" s="49">
        <f t="shared" si="182"/>
        <v>-3.9509584111811651</v>
      </c>
      <c r="AR238" s="61">
        <f t="shared" si="183"/>
        <v>158.68290558451844</v>
      </c>
      <c r="AS238" s="58" t="str">
        <f t="shared" si="184"/>
        <v>0.224989011640975+0.277523487640557i</v>
      </c>
      <c r="AT238" s="64">
        <f t="shared" si="185"/>
        <v>-8.9401544485261084</v>
      </c>
      <c r="AU238" s="61">
        <f t="shared" si="186"/>
        <v>50.968228248087421</v>
      </c>
    </row>
    <row r="239" spans="14:47" x14ac:dyDescent="0.25">
      <c r="N239" s="10">
        <v>21</v>
      </c>
      <c r="O239" s="50">
        <f t="shared" si="187"/>
        <v>1621.8100973589308</v>
      </c>
      <c r="P239" s="48" t="str">
        <f t="shared" si="155"/>
        <v>304.285714285714</v>
      </c>
      <c r="Q239" s="17" t="str">
        <f t="shared" si="156"/>
        <v>1+530.614802157204i</v>
      </c>
      <c r="R239" s="17">
        <f t="shared" si="164"/>
        <v>530.61574445951817</v>
      </c>
      <c r="S239" s="17">
        <f t="shared" si="165"/>
        <v>1.5689117227242537</v>
      </c>
      <c r="T239" s="17" t="str">
        <f t="shared" si="157"/>
        <v>1+0.011005344044742i</v>
      </c>
      <c r="U239" s="17">
        <f t="shared" si="166"/>
        <v>1.0000605569651986</v>
      </c>
      <c r="V239" s="17">
        <f t="shared" si="167"/>
        <v>1.1004899763417448E-2</v>
      </c>
      <c r="W239" s="31" t="str">
        <f t="shared" si="158"/>
        <v>1-0.0343917001398188i</v>
      </c>
      <c r="X239" s="17">
        <f t="shared" si="168"/>
        <v>1.0005912197488578</v>
      </c>
      <c r="Y239" s="17">
        <f t="shared" si="169"/>
        <v>-3.4378150379111141E-2</v>
      </c>
      <c r="Z239" s="31" t="str">
        <f t="shared" si="159"/>
        <v>0.99983484896864+0.303384633400921i</v>
      </c>
      <c r="AA239" s="17">
        <f t="shared" si="170"/>
        <v>1.0448502098367758</v>
      </c>
      <c r="AB239" s="17">
        <f t="shared" si="171"/>
        <v>0.29460495106464918</v>
      </c>
      <c r="AC239" s="66" t="str">
        <f t="shared" si="172"/>
        <v>-0.170722098946569-0.521990807498426i</v>
      </c>
      <c r="AD239" s="64">
        <f t="shared" si="173"/>
        <v>-5.2053923346292983</v>
      </c>
      <c r="AE239" s="61">
        <f t="shared" si="174"/>
        <v>-108.11082907414233</v>
      </c>
      <c r="AF239" s="31" t="str">
        <f t="shared" si="160"/>
        <v>-0.000495863624968664</v>
      </c>
      <c r="AG239" s="31" t="str">
        <f t="shared" si="161"/>
        <v>0.00224916623847728i</v>
      </c>
      <c r="AH239" s="31">
        <f t="shared" si="175"/>
        <v>2.2491662384772799E-3</v>
      </c>
      <c r="AI239" s="31">
        <f t="shared" si="176"/>
        <v>1.5707963267948966</v>
      </c>
      <c r="AJ239" s="31" t="str">
        <f t="shared" si="162"/>
        <v>1+0.00877555523683664i</v>
      </c>
      <c r="AK239" s="31">
        <f t="shared" si="177"/>
        <v>1.0000385044435613</v>
      </c>
      <c r="AL239" s="31">
        <f t="shared" si="178"/>
        <v>8.77532997766051E-3</v>
      </c>
      <c r="AM239" s="31" t="str">
        <f t="shared" si="163"/>
        <v>1+2.69019521093693i</v>
      </c>
      <c r="AN239" s="31">
        <f t="shared" si="179"/>
        <v>2.8700436012276875</v>
      </c>
      <c r="AO239" s="31">
        <f t="shared" si="180"/>
        <v>1.2149041615215845</v>
      </c>
      <c r="AP239" s="58" t="str">
        <f t="shared" si="181"/>
        <v>-0.591115081343479+0.225652892222758i</v>
      </c>
      <c r="AQ239" s="49">
        <f t="shared" si="182"/>
        <v>-3.9757506461862513</v>
      </c>
      <c r="AR239" s="61">
        <f t="shared" si="183"/>
        <v>159.10609159651224</v>
      </c>
      <c r="AS239" s="58" t="str">
        <f t="shared" si="184"/>
        <v>0.218705142831643+0.270032703241347i</v>
      </c>
      <c r="AT239" s="64">
        <f t="shared" si="185"/>
        <v>-9.1811429808155616</v>
      </c>
      <c r="AU239" s="61">
        <f t="shared" si="186"/>
        <v>50.995262522369941</v>
      </c>
    </row>
    <row r="240" spans="14:47" x14ac:dyDescent="0.25">
      <c r="N240" s="10">
        <v>22</v>
      </c>
      <c r="O240" s="50">
        <f t="shared" si="187"/>
        <v>1659.5869074375626</v>
      </c>
      <c r="P240" s="48" t="str">
        <f t="shared" si="155"/>
        <v>304.285714285714</v>
      </c>
      <c r="Q240" s="17" t="str">
        <f t="shared" si="156"/>
        <v>1+542.974408647908i</v>
      </c>
      <c r="R240" s="17">
        <f t="shared" si="164"/>
        <v>542.97532950083962</v>
      </c>
      <c r="S240" s="17">
        <f t="shared" si="165"/>
        <v>1.5689546214521648</v>
      </c>
      <c r="T240" s="17" t="str">
        <f t="shared" si="157"/>
        <v>1+0.0112616914386232i</v>
      </c>
      <c r="U240" s="17">
        <f t="shared" si="166"/>
        <v>1.0000634108365622</v>
      </c>
      <c r="V240" s="17">
        <f t="shared" si="167"/>
        <v>1.1261215384237237E-2</v>
      </c>
      <c r="W240" s="31" t="str">
        <f t="shared" si="158"/>
        <v>1-0.0351927857456977i</v>
      </c>
      <c r="X240" s="17">
        <f t="shared" si="168"/>
        <v>1.0006190744576793</v>
      </c>
      <c r="Y240" s="17">
        <f t="shared" si="169"/>
        <v>-3.5178267400618433E-2</v>
      </c>
      <c r="Z240" s="31" t="str">
        <f t="shared" si="159"/>
        <v>0.999827065640323+0.310451369324829i</v>
      </c>
      <c r="AA240" s="17">
        <f t="shared" si="170"/>
        <v>1.0469165267119438</v>
      </c>
      <c r="AB240" s="17">
        <f t="shared" si="171"/>
        <v>0.30106638909072581</v>
      </c>
      <c r="AC240" s="66" t="str">
        <f t="shared" si="172"/>
        <v>-0.170095992614941-0.507931467567623i</v>
      </c>
      <c r="AD240" s="64">
        <f t="shared" si="173"/>
        <v>-5.42228548485022</v>
      </c>
      <c r="AE240" s="61">
        <f t="shared" si="174"/>
        <v>-108.51465764383035</v>
      </c>
      <c r="AF240" s="31" t="str">
        <f t="shared" si="160"/>
        <v>-0.000495863624968664</v>
      </c>
      <c r="AG240" s="31" t="str">
        <f t="shared" si="161"/>
        <v>0.00230155605030826i</v>
      </c>
      <c r="AH240" s="31">
        <f t="shared" si="175"/>
        <v>2.3015560503082599E-3</v>
      </c>
      <c r="AI240" s="31">
        <f t="shared" si="176"/>
        <v>1.5707963267948966</v>
      </c>
      <c r="AJ240" s="31" t="str">
        <f t="shared" si="162"/>
        <v>1+0.00897996417722764i</v>
      </c>
      <c r="AK240" s="31">
        <f t="shared" si="177"/>
        <v>1.0000403190654985</v>
      </c>
      <c r="AL240" s="31">
        <f t="shared" si="178"/>
        <v>8.9797228081973154E-3</v>
      </c>
      <c r="AM240" s="31" t="str">
        <f t="shared" si="163"/>
        <v>1+2.75285790721901i</v>
      </c>
      <c r="AN240" s="31">
        <f t="shared" si="179"/>
        <v>2.9288609829314578</v>
      </c>
      <c r="AO240" s="31">
        <f t="shared" si="180"/>
        <v>1.2223587873087514</v>
      </c>
      <c r="AP240" s="58" t="str">
        <f t="shared" si="181"/>
        <v>-0.591112936131134+0.220755294038781i</v>
      </c>
      <c r="AQ240" s="49">
        <f t="shared" si="182"/>
        <v>-3.9995611258789805</v>
      </c>
      <c r="AR240" s="61">
        <f t="shared" si="183"/>
        <v>159.52149934541393</v>
      </c>
      <c r="AS240" s="58" t="str">
        <f t="shared" si="184"/>
        <v>0.212674502093198+0.262695270282764i</v>
      </c>
      <c r="AT240" s="64">
        <f t="shared" si="185"/>
        <v>-9.4218466107291903</v>
      </c>
      <c r="AU240" s="61">
        <f t="shared" si="186"/>
        <v>51.006841701583554</v>
      </c>
    </row>
    <row r="241" spans="14:47" x14ac:dyDescent="0.25">
      <c r="N241" s="10">
        <v>23</v>
      </c>
      <c r="O241" s="50">
        <f t="shared" si="187"/>
        <v>1698.2436524617447</v>
      </c>
      <c r="P241" s="48" t="str">
        <f t="shared" si="155"/>
        <v>304.285714285714</v>
      </c>
      <c r="Q241" s="17" t="str">
        <f t="shared" si="156"/>
        <v>1+555.621907357188i</v>
      </c>
      <c r="R241" s="17">
        <f t="shared" si="164"/>
        <v>555.6228072489821</v>
      </c>
      <c r="S241" s="17">
        <f t="shared" si="165"/>
        <v>1.5689965436923612</v>
      </c>
      <c r="T241" s="17" t="str">
        <f t="shared" si="157"/>
        <v>1+0.0115240099303713i</v>
      </c>
      <c r="U241" s="17">
        <f t="shared" si="166"/>
        <v>1.000066399198011</v>
      </c>
      <c r="V241" s="17">
        <f t="shared" si="167"/>
        <v>1.152349983073556E-2</v>
      </c>
      <c r="W241" s="31" t="str">
        <f t="shared" si="158"/>
        <v>1-0.0360125310324103i</v>
      </c>
      <c r="X241" s="17">
        <f t="shared" si="168"/>
        <v>1.0006482410874264</v>
      </c>
      <c r="Y241" s="17">
        <f t="shared" si="169"/>
        <v>-3.5996974889624972E-2</v>
      </c>
      <c r="Z241" s="31" t="str">
        <f t="shared" si="159"/>
        <v>0.999818915495043+0.317682710674061i</v>
      </c>
      <c r="AA241" s="17">
        <f t="shared" si="170"/>
        <v>1.0490758640074145</v>
      </c>
      <c r="AB241" s="17">
        <f t="shared" si="171"/>
        <v>0.30765175479424306</v>
      </c>
      <c r="AC241" s="66" t="str">
        <f t="shared" si="172"/>
        <v>-0.169441575136978-0.494159345377513i</v>
      </c>
      <c r="AD241" s="64">
        <f t="shared" si="173"/>
        <v>-5.6399024833178064</v>
      </c>
      <c r="AE241" s="61">
        <f t="shared" si="174"/>
        <v>-108.92625396458253</v>
      </c>
      <c r="AF241" s="31" t="str">
        <f t="shared" si="160"/>
        <v>-0.000495863624968664</v>
      </c>
      <c r="AG241" s="31" t="str">
        <f t="shared" si="161"/>
        <v>0.00235516617762181i</v>
      </c>
      <c r="AH241" s="31">
        <f t="shared" si="175"/>
        <v>2.3551661776218102E-3</v>
      </c>
      <c r="AI241" s="31">
        <f t="shared" si="176"/>
        <v>1.5707963267948966</v>
      </c>
      <c r="AJ241" s="31" t="str">
        <f t="shared" si="162"/>
        <v>1+0.00918913441348922i</v>
      </c>
      <c r="AK241" s="31">
        <f t="shared" si="177"/>
        <v>1.0000422192044041</v>
      </c>
      <c r="AL241" s="31">
        <f t="shared" si="178"/>
        <v>9.1888757825032454E-3</v>
      </c>
      <c r="AM241" s="31" t="str">
        <f t="shared" si="163"/>
        <v>1+2.81698020520187i</v>
      </c>
      <c r="AN241" s="31">
        <f t="shared" si="179"/>
        <v>2.9892101760329886</v>
      </c>
      <c r="AO241" s="31">
        <f t="shared" si="180"/>
        <v>1.2296829460792731</v>
      </c>
      <c r="AP241" s="58" t="str">
        <f t="shared" si="181"/>
        <v>-0.591110689834728+0.215974741417656i</v>
      </c>
      <c r="AQ241" s="49">
        <f t="shared" si="182"/>
        <v>-4.0224237604534387</v>
      </c>
      <c r="AR241" s="61">
        <f t="shared" si="183"/>
        <v>159.92915914874811</v>
      </c>
      <c r="AS241" s="58" t="str">
        <f t="shared" si="184"/>
        <v>0.206884663202928+0.25550777115877i</v>
      </c>
      <c r="AT241" s="64">
        <f t="shared" si="185"/>
        <v>-9.6623262437712558</v>
      </c>
      <c r="AU241" s="61">
        <f t="shared" si="186"/>
        <v>51.002905184165641</v>
      </c>
    </row>
    <row r="242" spans="14:47" x14ac:dyDescent="0.25">
      <c r="N242" s="10">
        <v>24</v>
      </c>
      <c r="O242" s="50">
        <f t="shared" si="187"/>
        <v>1737.8008287493772</v>
      </c>
      <c r="P242" s="48" t="str">
        <f t="shared" si="155"/>
        <v>304.285714285714</v>
      </c>
      <c r="Q242" s="17" t="str">
        <f t="shared" si="156"/>
        <v>1+568.56400415628i</v>
      </c>
      <c r="R242" s="17">
        <f t="shared" si="164"/>
        <v>568.56488356406805</v>
      </c>
      <c r="S242" s="17">
        <f t="shared" si="165"/>
        <v>1.5690375116719797</v>
      </c>
      <c r="T242" s="17" t="str">
        <f t="shared" si="157"/>
        <v>1+0.0117924386047228i</v>
      </c>
      <c r="U242" s="17">
        <f t="shared" si="166"/>
        <v>1.0000695283870247</v>
      </c>
      <c r="V242" s="17">
        <f t="shared" si="167"/>
        <v>1.1791892025167842E-2</v>
      </c>
      <c r="W242" s="31" t="str">
        <f t="shared" si="158"/>
        <v>1-0.0368513706397588i</v>
      </c>
      <c r="X242" s="17">
        <f t="shared" si="168"/>
        <v>1.0006787813869289</v>
      </c>
      <c r="Y242" s="17">
        <f t="shared" si="169"/>
        <v>-3.6834702543052662E-2</v>
      </c>
      <c r="Z242" s="31" t="str">
        <f t="shared" si="159"/>
        <v>0.99981038124525+0.325082491601522i</v>
      </c>
      <c r="AA242" s="17">
        <f t="shared" si="170"/>
        <v>1.0513322142841557</v>
      </c>
      <c r="AB242" s="17">
        <f t="shared" si="171"/>
        <v>0.31436226780899529</v>
      </c>
      <c r="AC242" s="66" t="str">
        <f t="shared" si="172"/>
        <v>-0.168758185568572-0.480668184525844i</v>
      </c>
      <c r="AD242" s="64">
        <f t="shared" si="173"/>
        <v>-5.8582711111526029</v>
      </c>
      <c r="AE242" s="61">
        <f t="shared" si="174"/>
        <v>-109.34570584995042</v>
      </c>
      <c r="AF242" s="31" t="str">
        <f t="shared" si="160"/>
        <v>-0.000495863624968664</v>
      </c>
      <c r="AG242" s="31" t="str">
        <f t="shared" si="161"/>
        <v>0.00241002504521705i</v>
      </c>
      <c r="AH242" s="31">
        <f t="shared" si="175"/>
        <v>2.4100250452170498E-3</v>
      </c>
      <c r="AI242" s="31">
        <f t="shared" si="176"/>
        <v>1.5707963267948966</v>
      </c>
      <c r="AJ242" s="31" t="str">
        <f t="shared" si="162"/>
        <v>1+0.00940317685044947i</v>
      </c>
      <c r="AK242" s="31">
        <f t="shared" si="177"/>
        <v>1.0000442088902273</v>
      </c>
      <c r="AL242" s="31">
        <f t="shared" si="178"/>
        <v>9.4028997230167239E-3</v>
      </c>
      <c r="AM242" s="31" t="str">
        <f t="shared" si="163"/>
        <v>1+2.88259610337668i</v>
      </c>
      <c r="AN242" s="31">
        <f t="shared" si="179"/>
        <v>3.0511244312879833</v>
      </c>
      <c r="AO242" s="31">
        <f t="shared" si="180"/>
        <v>1.2368773771004471</v>
      </c>
      <c r="AP242" s="58" t="str">
        <f t="shared" si="181"/>
        <v>-0.591108337691937+0.21130869951724i</v>
      </c>
      <c r="AQ242" s="49">
        <f t="shared" si="182"/>
        <v>-4.0443716936460943</v>
      </c>
      <c r="AR242" s="61">
        <f t="shared" si="183"/>
        <v>160.32910701375329</v>
      </c>
      <c r="AS242" s="58" t="str">
        <f t="shared" si="184"/>
        <v>0.201323739514815+0.248466898811089i</v>
      </c>
      <c r="AT242" s="64">
        <f t="shared" si="185"/>
        <v>-9.9026428047986936</v>
      </c>
      <c r="AU242" s="61">
        <f t="shared" si="186"/>
        <v>50.983401163802839</v>
      </c>
    </row>
    <row r="243" spans="14:47" x14ac:dyDescent="0.25">
      <c r="N243" s="10">
        <v>25</v>
      </c>
      <c r="O243" s="50">
        <f t="shared" si="187"/>
        <v>1778.2794100389244</v>
      </c>
      <c r="P243" s="48" t="str">
        <f t="shared" si="155"/>
        <v>304.285714285714</v>
      </c>
      <c r="Q243" s="17" t="str">
        <f t="shared" si="156"/>
        <v>1+581.807561116209i</v>
      </c>
      <c r="R243" s="17">
        <f t="shared" si="164"/>
        <v>581.80842050626188</v>
      </c>
      <c r="S243" s="17">
        <f t="shared" si="165"/>
        <v>1.5690775471122353</v>
      </c>
      <c r="T243" s="17" t="str">
        <f t="shared" si="157"/>
        <v>1+0.0120671197861139i</v>
      </c>
      <c r="U243" s="17">
        <f t="shared" si="166"/>
        <v>1.0000728050396792</v>
      </c>
      <c r="V243" s="17">
        <f t="shared" si="167"/>
        <v>1.206653411787165E-2</v>
      </c>
      <c r="W243" s="31" t="str">
        <f t="shared" si="158"/>
        <v>1-0.0377097493316061i</v>
      </c>
      <c r="X243" s="17">
        <f t="shared" si="168"/>
        <v>1.0007107600074323</v>
      </c>
      <c r="Y243" s="17">
        <f t="shared" si="169"/>
        <v>-3.7691889829250987E-2</v>
      </c>
      <c r="Z243" s="31" t="str">
        <f t="shared" si="159"/>
        <v>0.999801444788655+0.332654635569006i</v>
      </c>
      <c r="AA243" s="17">
        <f t="shared" si="170"/>
        <v>1.0536897245237946</v>
      </c>
      <c r="AB243" s="17">
        <f t="shared" si="171"/>
        <v>0.32119908219523796</v>
      </c>
      <c r="AC243" s="66" t="str">
        <f t="shared" si="172"/>
        <v>-0.168045158346215-0.467451927928838i</v>
      </c>
      <c r="AD243" s="64">
        <f t="shared" si="173"/>
        <v>-6.0774199353530056</v>
      </c>
      <c r="AE243" s="61">
        <f t="shared" si="174"/>
        <v>-109.7730977023169</v>
      </c>
      <c r="AF243" s="31" t="str">
        <f t="shared" si="160"/>
        <v>-0.000495863624968664</v>
      </c>
      <c r="AG243" s="31" t="str">
        <f t="shared" si="161"/>
        <v>0.00246616173999172i</v>
      </c>
      <c r="AH243" s="31">
        <f t="shared" si="175"/>
        <v>2.4661617399917199E-3</v>
      </c>
      <c r="AI243" s="31">
        <f t="shared" si="176"/>
        <v>1.5707963267948966</v>
      </c>
      <c r="AJ243" s="31" t="str">
        <f t="shared" si="162"/>
        <v>1+0.00962220497624159i</v>
      </c>
      <c r="AK243" s="31">
        <f t="shared" si="177"/>
        <v>1.0000462923428119</v>
      </c>
      <c r="AL243" s="31">
        <f t="shared" si="178"/>
        <v>9.6219080295897787E-3</v>
      </c>
      <c r="AM243" s="31" t="str">
        <f t="shared" si="163"/>
        <v>1+2.94974039216118i</v>
      </c>
      <c r="AN243" s="31">
        <f t="shared" si="179"/>
        <v>3.1146377608234301</v>
      </c>
      <c r="AO243" s="31">
        <f t="shared" si="180"/>
        <v>1.2439429149541714</v>
      </c>
      <c r="AP243" s="58" t="str">
        <f t="shared" si="181"/>
        <v>-0.591105874716134+0.206754694201207i</v>
      </c>
      <c r="AQ243" s="49">
        <f t="shared" si="182"/>
        <v>-4.0654372877320784</v>
      </c>
      <c r="AR243" s="61">
        <f t="shared" si="183"/>
        <v>160.7213842611167</v>
      </c>
      <c r="AS243" s="58" t="str">
        <f t="shared" si="184"/>
        <v>0.195980360728742+0.241569455420254i</v>
      </c>
      <c r="AT243" s="64">
        <f t="shared" si="185"/>
        <v>-10.142857223085088</v>
      </c>
      <c r="AU243" s="61">
        <f t="shared" si="186"/>
        <v>50.948286558799843</v>
      </c>
    </row>
    <row r="244" spans="14:47" x14ac:dyDescent="0.25">
      <c r="N244" s="10">
        <v>26</v>
      </c>
      <c r="O244" s="50">
        <f t="shared" si="187"/>
        <v>1819.7008586099832</v>
      </c>
      <c r="P244" s="48" t="str">
        <f t="shared" si="155"/>
        <v>304.285714285714</v>
      </c>
      <c r="Q244" s="17" t="str">
        <f t="shared" si="156"/>
        <v>1+595.359600146168i</v>
      </c>
      <c r="R244" s="17">
        <f t="shared" si="164"/>
        <v>595.36043997414288</v>
      </c>
      <c r="S244" s="17">
        <f t="shared" si="165"/>
        <v>1.5691166712399345</v>
      </c>
      <c r="T244" s="17" t="str">
        <f t="shared" si="157"/>
        <v>1+0.0123481991141427i</v>
      </c>
      <c r="U244" s="17">
        <f t="shared" si="166"/>
        <v>1.0000762361047093</v>
      </c>
      <c r="V244" s="17">
        <f t="shared" si="167"/>
        <v>1.2347571561898349E-2</v>
      </c>
      <c r="W244" s="31" t="str">
        <f t="shared" si="158"/>
        <v>1-0.0385881222316961i</v>
      </c>
      <c r="X244" s="17">
        <f t="shared" si="168"/>
        <v>1.0007442446386432</v>
      </c>
      <c r="Y244" s="17">
        <f t="shared" si="169"/>
        <v>-3.8568986198704309E-2</v>
      </c>
      <c r="Z244" s="31" t="str">
        <f t="shared" si="159"/>
        <v>0.999792087169837+0.340403157427469i</v>
      </c>
      <c r="AA244" s="17">
        <f t="shared" si="170"/>
        <v>1.0561527006801665</v>
      </c>
      <c r="AB244" s="17">
        <f t="shared" si="171"/>
        <v>0.32816328076040363</v>
      </c>
      <c r="AC244" s="66" t="str">
        <f t="shared" si="172"/>
        <v>-0.167301825710483-0.454504715905152i</v>
      </c>
      <c r="AD244" s="64">
        <f t="shared" si="173"/>
        <v>-6.2973783065227629</v>
      </c>
      <c r="AE244" s="61">
        <f t="shared" si="174"/>
        <v>-110.20851019595436</v>
      </c>
      <c r="AF244" s="31" t="str">
        <f t="shared" si="160"/>
        <v>-0.000495863624968664</v>
      </c>
      <c r="AG244" s="31" t="str">
        <f t="shared" si="161"/>
        <v>0.00252360602636443i</v>
      </c>
      <c r="AH244" s="31">
        <f t="shared" si="175"/>
        <v>2.52360602636443E-3</v>
      </c>
      <c r="AI244" s="31">
        <f t="shared" si="176"/>
        <v>1.5707963267948966</v>
      </c>
      <c r="AJ244" s="31" t="str">
        <f t="shared" si="162"/>
        <v>1+0.00984633492247695i</v>
      </c>
      <c r="AK244" s="31">
        <f t="shared" si="177"/>
        <v>1.0000484739808395</v>
      </c>
      <c r="AL244" s="31">
        <f t="shared" si="178"/>
        <v>9.8460167392398785E-3</v>
      </c>
      <c r="AM244" s="31" t="str">
        <f t="shared" si="163"/>
        <v>1+3.018448672346i</v>
      </c>
      <c r="AN244" s="31">
        <f t="shared" si="179"/>
        <v>3.1797849593309495</v>
      </c>
      <c r="AO244" s="31">
        <f t="shared" si="180"/>
        <v>1.250880483169452</v>
      </c>
      <c r="AP244" s="58" t="str">
        <f t="shared" si="181"/>
        <v>-0.591103295685849+0.202310310726564i</v>
      </c>
      <c r="AQ244" s="49">
        <f t="shared" si="182"/>
        <v>-4.0856521118024594</v>
      </c>
      <c r="AR244" s="61">
        <f t="shared" si="183"/>
        <v>161.10603715672124</v>
      </c>
      <c r="AS244" s="58" t="str">
        <f t="shared" si="184"/>
        <v>0.190843650853186+0.234812351131687i</v>
      </c>
      <c r="AT244" s="64">
        <f t="shared" si="185"/>
        <v>-10.383030418325212</v>
      </c>
      <c r="AU244" s="61">
        <f t="shared" si="186"/>
        <v>50.897526960766918</v>
      </c>
    </row>
    <row r="245" spans="14:47" x14ac:dyDescent="0.25">
      <c r="N245" s="10">
        <v>27</v>
      </c>
      <c r="O245" s="50">
        <f t="shared" si="187"/>
        <v>1862.0871366628687</v>
      </c>
      <c r="P245" s="48" t="str">
        <f t="shared" si="155"/>
        <v>304.285714285714</v>
      </c>
      <c r="Q245" s="17" t="str">
        <f t="shared" si="156"/>
        <v>1+609.227306716646i</v>
      </c>
      <c r="R245" s="17">
        <f t="shared" si="164"/>
        <v>609.22812742782833</v>
      </c>
      <c r="S245" s="17">
        <f t="shared" si="165"/>
        <v>1.5691549047987283</v>
      </c>
      <c r="T245" s="17" t="str">
        <f t="shared" si="157"/>
        <v>1+0.0126358256207897i</v>
      </c>
      <c r="U245" s="17">
        <f t="shared" si="166"/>
        <v>1.0000798288582362</v>
      </c>
      <c r="V245" s="17">
        <f t="shared" si="167"/>
        <v>1.2635153189343749E-2</v>
      </c>
      <c r="W245" s="31" t="str">
        <f t="shared" si="158"/>
        <v>1-0.0394869550649677i</v>
      </c>
      <c r="X245" s="17">
        <f t="shared" si="168"/>
        <v>1.0007793061511128</v>
      </c>
      <c r="Y245" s="17">
        <f t="shared" si="169"/>
        <v>-3.9466451298449529E-2</v>
      </c>
      <c r="Z245" s="31" t="str">
        <f t="shared" si="159"/>
        <v>0.99978228854003+0.348332165545771i</v>
      </c>
      <c r="AA245" s="17">
        <f t="shared" si="170"/>
        <v>1.0587256122490596</v>
      </c>
      <c r="AB245" s="17">
        <f t="shared" si="171"/>
        <v>0.33525586918836725</v>
      </c>
      <c r="AC245" s="66" t="str">
        <f t="shared" si="172"/>
        <v>-0.166527520306372-0.441820884268929i</v>
      </c>
      <c r="AD245" s="64">
        <f t="shared" si="173"/>
        <v>-6.5181763540593805</v>
      </c>
      <c r="AE245" s="61">
        <f t="shared" si="174"/>
        <v>-110.65201994921213</v>
      </c>
      <c r="AF245" s="31" t="str">
        <f t="shared" si="160"/>
        <v>-0.000495863624968664</v>
      </c>
      <c r="AG245" s="31" t="str">
        <f t="shared" si="161"/>
        <v>0.00258238836205621i</v>
      </c>
      <c r="AH245" s="31">
        <f t="shared" si="175"/>
        <v>2.5823883620562098E-3</v>
      </c>
      <c r="AI245" s="31">
        <f t="shared" si="176"/>
        <v>1.5707963267948966</v>
      </c>
      <c r="AJ245" s="31" t="str">
        <f t="shared" si="162"/>
        <v>1+0.0100756855258199i</v>
      </c>
      <c r="AK245" s="31">
        <f t="shared" si="177"/>
        <v>1.0000507584311984</v>
      </c>
      <c r="AL245" s="31">
        <f t="shared" si="178"/>
        <v>1.0075344587273374E-2</v>
      </c>
      <c r="AM245" s="31" t="str">
        <f t="shared" si="163"/>
        <v>1+3.0887573739708i</v>
      </c>
      <c r="AN245" s="31">
        <f t="shared" si="179"/>
        <v>3.2466016255862056</v>
      </c>
      <c r="AO245" s="31">
        <f t="shared" si="180"/>
        <v>1.2576910880123273</v>
      </c>
      <c r="AP245" s="58" t="str">
        <f t="shared" si="181"/>
        <v>-0.591100595133734+0.197973192462605i</v>
      </c>
      <c r="AQ245" s="49">
        <f t="shared" si="182"/>
        <v>-4.1050469331165029</v>
      </c>
      <c r="AR245" s="61">
        <f t="shared" si="183"/>
        <v>161.48311655233215</v>
      </c>
      <c r="AS245" s="58" t="str">
        <f t="shared" si="184"/>
        <v>0.185903207314612+0.228192602805943i</v>
      </c>
      <c r="AT245" s="64">
        <f t="shared" si="185"/>
        <v>-10.623223287175891</v>
      </c>
      <c r="AU245" s="61">
        <f t="shared" si="186"/>
        <v>50.83109660312013</v>
      </c>
    </row>
    <row r="246" spans="14:47" x14ac:dyDescent="0.25">
      <c r="N246" s="10">
        <v>28</v>
      </c>
      <c r="O246" s="50">
        <f t="shared" si="187"/>
        <v>1905.4607179632501</v>
      </c>
      <c r="P246" s="48" t="str">
        <f t="shared" si="155"/>
        <v>304.285714285714</v>
      </c>
      <c r="Q246" s="17" t="str">
        <f t="shared" si="156"/>
        <v>1+623.418033669226i</v>
      </c>
      <c r="R246" s="17">
        <f t="shared" si="164"/>
        <v>623.41883569876541</v>
      </c>
      <c r="S246" s="17">
        <f t="shared" si="165"/>
        <v>1.5691922680601083</v>
      </c>
      <c r="T246" s="17" t="str">
        <f t="shared" si="157"/>
        <v>1+0.0129301518094358i</v>
      </c>
      <c r="U246" s="17">
        <f t="shared" si="166"/>
        <v>1.0000835909191865</v>
      </c>
      <c r="V246" s="17">
        <f t="shared" si="167"/>
        <v>1.2929431289412614E-2</v>
      </c>
      <c r="W246" s="31" t="str">
        <f t="shared" si="158"/>
        <v>1-0.0404067244044868i</v>
      </c>
      <c r="X246" s="17">
        <f t="shared" si="168"/>
        <v>1.0008160187452537</v>
      </c>
      <c r="Y246" s="17">
        <f t="shared" si="169"/>
        <v>-4.0384755190202973E-2</v>
      </c>
      <c r="Z246" s="31" t="str">
        <f t="shared" si="159"/>
        <v>0.999772028115028+0.35644586398897i</v>
      </c>
      <c r="AA246" s="17">
        <f t="shared" si="170"/>
        <v>1.0614130968459357</v>
      </c>
      <c r="AB246" s="17">
        <f t="shared" si="171"/>
        <v>0.34247776998692403</v>
      </c>
      <c r="AC246" s="66" t="str">
        <f t="shared" si="172"/>
        <v>-0.165721577964641-0.429394962413546i</v>
      </c>
      <c r="AD246" s="64">
        <f t="shared" si="173"/>
        <v>-6.7398449785981454</v>
      </c>
      <c r="AE246" s="61">
        <f t="shared" si="174"/>
        <v>-111.10369918638835</v>
      </c>
      <c r="AF246" s="31" t="str">
        <f t="shared" si="160"/>
        <v>-0.000495863624968664</v>
      </c>
      <c r="AG246" s="31" t="str">
        <f t="shared" si="161"/>
        <v>0.00264253991423949i</v>
      </c>
      <c r="AH246" s="31">
        <f t="shared" si="175"/>
        <v>2.6425399142394898E-3</v>
      </c>
      <c r="AI246" s="31">
        <f t="shared" si="176"/>
        <v>1.5707963267948966</v>
      </c>
      <c r="AJ246" s="31" t="str">
        <f t="shared" si="162"/>
        <v>1+0.0103103783909962i</v>
      </c>
      <c r="AK246" s="31">
        <f t="shared" si="177"/>
        <v>1.0000531505387928</v>
      </c>
      <c r="AL246" s="31">
        <f t="shared" si="178"/>
        <v>1.0310013069810327E-2</v>
      </c>
      <c r="AM246" s="31" t="str">
        <f t="shared" si="163"/>
        <v>1+3.16070377563985i</v>
      </c>
      <c r="AN246" s="31">
        <f t="shared" si="179"/>
        <v>3.3151241843020003</v>
      </c>
      <c r="AO246" s="31">
        <f t="shared" si="180"/>
        <v>1.2643758124470541</v>
      </c>
      <c r="AP246" s="58" t="str">
        <f t="shared" si="181"/>
        <v>-0.591097767334976+0.193741039640641i</v>
      </c>
      <c r="AQ246" s="49">
        <f t="shared" si="182"/>
        <v>-4.1236517113231468</v>
      </c>
      <c r="AR246" s="61">
        <f t="shared" si="183"/>
        <v>161.85267753601588</v>
      </c>
      <c r="AS246" s="58" t="str">
        <f t="shared" si="184"/>
        <v>0.181149081168583+0.221707332781776i</v>
      </c>
      <c r="AT246" s="64">
        <f t="shared" si="185"/>
        <v>-10.863496689921284</v>
      </c>
      <c r="AU246" s="61">
        <f t="shared" si="186"/>
        <v>50.748978349627492</v>
      </c>
    </row>
    <row r="247" spans="14:47" x14ac:dyDescent="0.25">
      <c r="N247" s="10">
        <v>29</v>
      </c>
      <c r="O247" s="50">
        <f t="shared" si="187"/>
        <v>1949.8445997580463</v>
      </c>
      <c r="P247" s="48" t="str">
        <f t="shared" si="155"/>
        <v>304.285714285714</v>
      </c>
      <c r="Q247" s="17" t="str">
        <f t="shared" si="156"/>
        <v>1+637.939305115162i</v>
      </c>
      <c r="R247" s="17">
        <f t="shared" si="164"/>
        <v>637.94008888830285</v>
      </c>
      <c r="S247" s="17">
        <f t="shared" si="165"/>
        <v>1.5692287808341527</v>
      </c>
      <c r="T247" s="17" t="str">
        <f t="shared" si="157"/>
        <v>1+0.0132313337357219i</v>
      </c>
      <c r="U247" s="17">
        <f t="shared" si="166"/>
        <v>1.0000875302654393</v>
      </c>
      <c r="V247" s="17">
        <f t="shared" si="167"/>
        <v>1.3230561688256684E-2</v>
      </c>
      <c r="W247" s="31" t="str">
        <f t="shared" si="158"/>
        <v>1-0.0413479179241308i</v>
      </c>
      <c r="X247" s="17">
        <f t="shared" si="168"/>
        <v>1.0008544601072928</v>
      </c>
      <c r="Y247" s="17">
        <f t="shared" si="169"/>
        <v>-4.1324378572195855E-2</v>
      </c>
      <c r="Z247" s="31" t="str">
        <f t="shared" si="159"/>
        <v>0.999761284131092+0.36474855474737i</v>
      </c>
      <c r="AA247" s="17">
        <f t="shared" si="170"/>
        <v>1.0642199647806583</v>
      </c>
      <c r="AB247" s="17">
        <f t="shared" si="171"/>
        <v>0.34982981626536969</v>
      </c>
      <c r="AC247" s="66" t="str">
        <f t="shared" si="172"/>
        <v>-0.164883340667037-0.417221671366309i</v>
      </c>
      <c r="AD247" s="64">
        <f t="shared" si="173"/>
        <v>-6.9624158415067043</v>
      </c>
      <c r="AE247" s="61">
        <f t="shared" si="174"/>
        <v>-111.56361538996241</v>
      </c>
      <c r="AF247" s="31" t="str">
        <f t="shared" si="160"/>
        <v>-0.000495863624968664</v>
      </c>
      <c r="AG247" s="31" t="str">
        <f t="shared" si="161"/>
        <v>0.00270409257606346i</v>
      </c>
      <c r="AH247" s="31">
        <f t="shared" si="175"/>
        <v>2.7040925760634599E-3</v>
      </c>
      <c r="AI247" s="31">
        <f t="shared" si="176"/>
        <v>1.5707963267948966</v>
      </c>
      <c r="AJ247" s="31" t="str">
        <f t="shared" si="162"/>
        <v>1+0.0105505379552693i</v>
      </c>
      <c r="AK247" s="31">
        <f t="shared" si="177"/>
        <v>1.0000556553768123</v>
      </c>
      <c r="AL247" s="31">
        <f t="shared" si="178"/>
        <v>1.05501465077426E-2</v>
      </c>
      <c r="AM247" s="31" t="str">
        <f t="shared" si="163"/>
        <v>1+3.23432602428756i</v>
      </c>
      <c r="AN247" s="31">
        <f t="shared" si="179"/>
        <v>3.3853899083242651</v>
      </c>
      <c r="AO247" s="31">
        <f t="shared" si="180"/>
        <v>1.2709358102802029</v>
      </c>
      <c r="AP247" s="58" t="str">
        <f t="shared" si="181"/>
        <v>-0.591094806295158+0.189611608133807i</v>
      </c>
      <c r="AQ247" s="49">
        <f t="shared" si="182"/>
        <v>-4.1414955953475117</v>
      </c>
      <c r="AR247" s="61">
        <f t="shared" si="183"/>
        <v>162.21477909295686</v>
      </c>
      <c r="AS247" s="58" t="str">
        <f t="shared" si="184"/>
        <v>0.176571758368921+0.215353767640059i</v>
      </c>
      <c r="AT247" s="64">
        <f t="shared" si="185"/>
        <v>-11.103911436854233</v>
      </c>
      <c r="AU247" s="61">
        <f t="shared" si="186"/>
        <v>50.651163702994474</v>
      </c>
    </row>
    <row r="248" spans="14:47" x14ac:dyDescent="0.25">
      <c r="N248" s="10">
        <v>30</v>
      </c>
      <c r="O248" s="50">
        <f t="shared" si="187"/>
        <v>1995.2623149688804</v>
      </c>
      <c r="P248" s="48" t="str">
        <f t="shared" si="155"/>
        <v>304.285714285714</v>
      </c>
      <c r="Q248" s="17" t="str">
        <f t="shared" si="156"/>
        <v>1+652.798820424801i</v>
      </c>
      <c r="R248" s="17">
        <f t="shared" si="164"/>
        <v>652.7995863571083</v>
      </c>
      <c r="S248" s="17">
        <f t="shared" si="165"/>
        <v>1.569264462480028</v>
      </c>
      <c r="T248" s="17" t="str">
        <f t="shared" si="157"/>
        <v>1+0.0135395310902921i</v>
      </c>
      <c r="U248" s="17">
        <f t="shared" si="166"/>
        <v>1.00009165525073</v>
      </c>
      <c r="V248" s="17">
        <f t="shared" si="167"/>
        <v>1.3538703830623252E-2</v>
      </c>
      <c r="W248" s="31" t="str">
        <f t="shared" si="158"/>
        <v>1-0.0423110346571629i</v>
      </c>
      <c r="X248" s="17">
        <f t="shared" si="168"/>
        <v>1.0008947115724809</v>
      </c>
      <c r="Y248" s="17">
        <f t="shared" si="169"/>
        <v>-4.2285813004711653E-2</v>
      </c>
      <c r="Z248" s="31" t="str">
        <f t="shared" si="159"/>
        <v>0.999750033798794+0.373244640017517i</v>
      </c>
      <c r="AA248" s="17">
        <f t="shared" si="170"/>
        <v>1.0671512036176014</v>
      </c>
      <c r="AB248" s="17">
        <f t="shared" si="171"/>
        <v>0.35731274535629898</v>
      </c>
      <c r="AC248" s="66" t="str">
        <f t="shared" si="172"/>
        <v>-0.164012159696977-0.405295921793397i</v>
      </c>
      <c r="AD248" s="64">
        <f t="shared" si="173"/>
        <v>-7.1859213512199158</v>
      </c>
      <c r="AE248" s="61">
        <f t="shared" si="174"/>
        <v>-112.03183094399709</v>
      </c>
      <c r="AF248" s="31" t="str">
        <f t="shared" si="160"/>
        <v>-0.000495863624968664</v>
      </c>
      <c r="AG248" s="31" t="str">
        <f t="shared" si="161"/>
        <v>0.00276707898356415i</v>
      </c>
      <c r="AH248" s="31">
        <f t="shared" si="175"/>
        <v>2.7670789835641499E-3</v>
      </c>
      <c r="AI248" s="31">
        <f t="shared" si="176"/>
        <v>1.5707963267948966</v>
      </c>
      <c r="AJ248" s="31" t="str">
        <f t="shared" si="162"/>
        <v>1+0.0107962915544192i</v>
      </c>
      <c r="AK248" s="31">
        <f t="shared" si="177"/>
        <v>1.0000582782574863</v>
      </c>
      <c r="AL248" s="31">
        <f t="shared" si="178"/>
        <v>1.0795872112157483E-2</v>
      </c>
      <c r="AM248" s="31" t="str">
        <f t="shared" si="163"/>
        <v>1+3.30966315540474i</v>
      </c>
      <c r="AN248" s="31">
        <f t="shared" si="179"/>
        <v>3.4574369411810912</v>
      </c>
      <c r="AO248" s="31">
        <f t="shared" si="180"/>
        <v>1.27737230049719</v>
      </c>
      <c r="AP248" s="58" t="str">
        <f t="shared" si="181"/>
        <v>-0.591091705737632+0.185582708266331i</v>
      </c>
      <c r="AQ248" s="49">
        <f t="shared" si="182"/>
        <v>-4.1586069227407156</v>
      </c>
      <c r="AR248" s="61">
        <f t="shared" si="183"/>
        <v>162.56948377721613</v>
      </c>
      <c r="AS248" s="58" t="str">
        <f t="shared" si="184"/>
        <v>0.172162142052717+0.20912923695619i</v>
      </c>
      <c r="AT248" s="64">
        <f t="shared" si="185"/>
        <v>-11.344528273960625</v>
      </c>
      <c r="AU248" s="61">
        <f t="shared" si="186"/>
        <v>50.537652833218999</v>
      </c>
    </row>
    <row r="249" spans="14:47" x14ac:dyDescent="0.25">
      <c r="N249" s="10">
        <v>31</v>
      </c>
      <c r="O249" s="50">
        <f t="shared" si="187"/>
        <v>2041.7379446695318</v>
      </c>
      <c r="P249" s="48" t="str">
        <f t="shared" si="155"/>
        <v>304.285714285714</v>
      </c>
      <c r="Q249" s="17" t="str">
        <f t="shared" si="156"/>
        <v>1+668.004458309839i</v>
      </c>
      <c r="R249" s="17">
        <f t="shared" si="164"/>
        <v>668.00520680741818</v>
      </c>
      <c r="S249" s="17">
        <f t="shared" si="165"/>
        <v>1.5692993319162514</v>
      </c>
      <c r="T249" s="17" t="str">
        <f t="shared" si="157"/>
        <v>1+0.0138549072834633i</v>
      </c>
      <c r="U249" s="17">
        <f t="shared" si="166"/>
        <v>1.0000959746223526</v>
      </c>
      <c r="V249" s="17">
        <f t="shared" si="167"/>
        <v>1.3854020863351945E-2</v>
      </c>
      <c r="W249" s="31" t="str">
        <f t="shared" si="158"/>
        <v>1-0.0432965852608228i</v>
      </c>
      <c r="X249" s="17">
        <f t="shared" si="168"/>
        <v>1.0009368582958904</v>
      </c>
      <c r="Y249" s="17">
        <f t="shared" si="169"/>
        <v>-4.3269561139297655E-2</v>
      </c>
      <c r="Z249" s="31" t="str">
        <f t="shared" si="159"/>
        <v>0.999738253254669+0.381938624536277i</v>
      </c>
      <c r="AA249" s="17">
        <f t="shared" si="170"/>
        <v>1.0702119827087342</v>
      </c>
      <c r="AB249" s="17">
        <f t="shared" si="171"/>
        <v>0.36492719229809362</v>
      </c>
      <c r="AC249" s="66" t="str">
        <f t="shared" si="172"/>
        <v>-0.163107398975627-0.393612811933316i</v>
      </c>
      <c r="AD249" s="64">
        <f t="shared" si="173"/>
        <v>-7.410394646203958</v>
      </c>
      <c r="AE249" s="61">
        <f t="shared" si="174"/>
        <v>-112.50840276964955</v>
      </c>
      <c r="AF249" s="31" t="str">
        <f t="shared" si="160"/>
        <v>-0.000495863624968664</v>
      </c>
      <c r="AG249" s="31" t="str">
        <f t="shared" si="161"/>
        <v>0.00283153253296855i</v>
      </c>
      <c r="AH249" s="31">
        <f t="shared" si="175"/>
        <v>2.8315325329685498E-3</v>
      </c>
      <c r="AI249" s="31">
        <f t="shared" si="176"/>
        <v>1.5707963267948966</v>
      </c>
      <c r="AJ249" s="31" t="str">
        <f t="shared" si="162"/>
        <v>1+0.011047769490257i</v>
      </c>
      <c r="AK249" s="31">
        <f t="shared" si="177"/>
        <v>1.0000610247433452</v>
      </c>
      <c r="AL249" s="31">
        <f t="shared" si="178"/>
        <v>1.1047320051257336E-2</v>
      </c>
      <c r="AM249" s="31" t="str">
        <f t="shared" si="163"/>
        <v>1+3.38675511373547i</v>
      </c>
      <c r="AN249" s="31">
        <f t="shared" si="179"/>
        <v>3.5313043199947183</v>
      </c>
      <c r="AO249" s="31">
        <f t="shared" si="180"/>
        <v>1.2836865617987152</v>
      </c>
      <c r="AP249" s="58" t="str">
        <f t="shared" si="181"/>
        <v>-0.591088459090189+0.181652203651592i</v>
      </c>
      <c r="AQ249" s="49">
        <f t="shared" si="182"/>
        <v>-4.1750132212996887</v>
      </c>
      <c r="AR249" s="61">
        <f t="shared" si="183"/>
        <v>162.91685739485854</v>
      </c>
      <c r="AS249" s="58" t="str">
        <f t="shared" si="184"/>
        <v>0.167911535799899+0.203031172028018i</v>
      </c>
      <c r="AT249" s="64">
        <f t="shared" si="185"/>
        <v>-11.585407867503637</v>
      </c>
      <c r="AU249" s="61">
        <f t="shared" si="186"/>
        <v>50.408454625208897</v>
      </c>
    </row>
    <row r="250" spans="14:47" x14ac:dyDescent="0.25">
      <c r="N250" s="10">
        <v>32</v>
      </c>
      <c r="O250" s="50">
        <f t="shared" si="187"/>
        <v>2089.2961308540398</v>
      </c>
      <c r="P250" s="48" t="str">
        <f t="shared" si="155"/>
        <v>304.285714285714</v>
      </c>
      <c r="Q250" s="17" t="str">
        <f t="shared" si="156"/>
        <v>1+683.564281000763i</v>
      </c>
      <c r="R250" s="17">
        <f t="shared" si="164"/>
        <v>683.56501246047549</v>
      </c>
      <c r="S250" s="17">
        <f t="shared" si="165"/>
        <v>1.5693334076307204</v>
      </c>
      <c r="T250" s="17" t="str">
        <f t="shared" si="157"/>
        <v>1+0.0141776295318676i</v>
      </c>
      <c r="U250" s="17">
        <f t="shared" si="166"/>
        <v>1.0001004975396937</v>
      </c>
      <c r="V250" s="17">
        <f t="shared" si="167"/>
        <v>1.4176679720760515E-2</v>
      </c>
      <c r="W250" s="31" t="str">
        <f t="shared" si="158"/>
        <v>1-0.0443050922870864i</v>
      </c>
      <c r="X250" s="17">
        <f t="shared" si="168"/>
        <v>1.0009809894311517</v>
      </c>
      <c r="Y250" s="17">
        <f t="shared" si="169"/>
        <v>-4.4276136951638262E-2</v>
      </c>
      <c r="Z250" s="31" t="str">
        <f t="shared" si="159"/>
        <v>0.999725917510605+0.390835117969324i</v>
      </c>
      <c r="AA250" s="17">
        <f t="shared" si="170"/>
        <v>1.0734076576867322</v>
      </c>
      <c r="AB250" s="17">
        <f t="shared" si="171"/>
        <v>0.37267368319723687</v>
      </c>
      <c r="AC250" s="66" t="str">
        <f t="shared" si="172"/>
        <v>-0.162168438581567-0.382167625435975i</v>
      </c>
      <c r="AD250" s="64">
        <f t="shared" si="173"/>
        <v>-7.6358695743431459</v>
      </c>
      <c r="AE250" s="61">
        <f t="shared" si="174"/>
        <v>-112.99338195388493</v>
      </c>
      <c r="AF250" s="31" t="str">
        <f t="shared" si="160"/>
        <v>-0.000495863624968664</v>
      </c>
      <c r="AG250" s="31" t="str">
        <f t="shared" si="161"/>
        <v>0.00289748739840168i</v>
      </c>
      <c r="AH250" s="31">
        <f t="shared" si="175"/>
        <v>2.8974873984016799E-3</v>
      </c>
      <c r="AI250" s="31">
        <f t="shared" si="176"/>
        <v>1.5707963267948966</v>
      </c>
      <c r="AJ250" s="31" t="str">
        <f t="shared" si="162"/>
        <v>1+0.0113051050997132i</v>
      </c>
      <c r="AK250" s="31">
        <f t="shared" si="177"/>
        <v>1.0000639006590106</v>
      </c>
      <c r="AL250" s="31">
        <f t="shared" si="178"/>
        <v>1.1304623518810451E-2</v>
      </c>
      <c r="AM250" s="31" t="str">
        <f t="shared" si="163"/>
        <v>1+3.46564277445653i</v>
      </c>
      <c r="AN250" s="31">
        <f t="shared" si="179"/>
        <v>3.6070319987688988</v>
      </c>
      <c r="AO250" s="31">
        <f t="shared" si="180"/>
        <v>1.2898799273429147</v>
      </c>
      <c r="AP250" s="58" t="str">
        <f t="shared" si="181"/>
        <v>-0.591085059471203+0.177818010058383i</v>
      </c>
      <c r="AQ250" s="49">
        <f t="shared" si="182"/>
        <v>-4.1907412127640091</v>
      </c>
      <c r="AR250" s="61">
        <f t="shared" si="183"/>
        <v>163.25696869877811</v>
      </c>
      <c r="AS250" s="58" t="str">
        <f t="shared" si="184"/>
        <v>0.1638116278271+0.197057104565942i</v>
      </c>
      <c r="AT250" s="64">
        <f t="shared" si="185"/>
        <v>-11.826610787107168</v>
      </c>
      <c r="AU250" s="61">
        <f t="shared" si="186"/>
        <v>50.263586744893175</v>
      </c>
    </row>
    <row r="251" spans="14:47" x14ac:dyDescent="0.25">
      <c r="N251" s="10">
        <v>33</v>
      </c>
      <c r="O251" s="50">
        <f t="shared" si="187"/>
        <v>2137.9620895022344</v>
      </c>
      <c r="P251" s="48" t="str">
        <f t="shared" si="155"/>
        <v>304.285714285714</v>
      </c>
      <c r="Q251" s="17" t="str">
        <f t="shared" si="156"/>
        <v>1+699.486538521511i</v>
      </c>
      <c r="R251" s="17">
        <f t="shared" si="164"/>
        <v>699.48725333118489</v>
      </c>
      <c r="S251" s="17">
        <f t="shared" si="165"/>
        <v>1.5693667076905129</v>
      </c>
      <c r="T251" s="17" t="str">
        <f t="shared" si="157"/>
        <v>1+0.0145078689471128i</v>
      </c>
      <c r="U251" s="17">
        <f t="shared" si="166"/>
        <v>1.0001052335936387</v>
      </c>
      <c r="V251" s="17">
        <f t="shared" si="167"/>
        <v>1.4506851211958913E-2</v>
      </c>
      <c r="W251" s="31" t="str">
        <f t="shared" si="158"/>
        <v>1-0.0453370904597275i</v>
      </c>
      <c r="X251" s="17">
        <f t="shared" si="168"/>
        <v>1.001027198317485</v>
      </c>
      <c r="Y251" s="17">
        <f t="shared" si="169"/>
        <v>-4.5306065978046622E-2</v>
      </c>
      <c r="Z251" s="31" t="str">
        <f t="shared" si="159"/>
        <v>0.999713000400834+0.399938837355231i</v>
      </c>
      <c r="AA251" s="17">
        <f t="shared" si="170"/>
        <v>1.0767437749044533</v>
      </c>
      <c r="AB251" s="17">
        <f t="shared" si="171"/>
        <v>0.38055262849213156</v>
      </c>
      <c r="AC251" s="66" t="str">
        <f t="shared" si="172"/>
        <v>-0.16119467845027-0.370955829083869i</v>
      </c>
      <c r="AD251" s="64">
        <f t="shared" si="173"/>
        <v>-7.8623806685419133</v>
      </c>
      <c r="AE251" s="61">
        <f t="shared" si="174"/>
        <v>-113.48681337263037</v>
      </c>
      <c r="AF251" s="31" t="str">
        <f t="shared" si="160"/>
        <v>-0.000495863624968664</v>
      </c>
      <c r="AG251" s="31" t="str">
        <f t="shared" si="161"/>
        <v>0.00296497855000624i</v>
      </c>
      <c r="AH251" s="31">
        <f t="shared" si="175"/>
        <v>2.9649785500062398E-3</v>
      </c>
      <c r="AI251" s="31">
        <f t="shared" si="176"/>
        <v>1.5707963267948966</v>
      </c>
      <c r="AJ251" s="31" t="str">
        <f t="shared" si="162"/>
        <v>1+0.0115684348255339i</v>
      </c>
      <c r="AK251" s="31">
        <f t="shared" si="177"/>
        <v>1.0000669121035415</v>
      </c>
      <c r="AL251" s="31">
        <f t="shared" si="178"/>
        <v>1.1567918804164258E-2</v>
      </c>
      <c r="AM251" s="31" t="str">
        <f t="shared" si="163"/>
        <v>1+3.54636796484979i</v>
      </c>
      <c r="AN251" s="31">
        <f t="shared" si="179"/>
        <v>3.6846608720631049</v>
      </c>
      <c r="AO251" s="31">
        <f t="shared" si="180"/>
        <v>1.2959537796972254</v>
      </c>
      <c r="AP251" s="58" t="str">
        <f t="shared" si="181"/>
        <v>-0.591081499675016+0.174078094304743i</v>
      </c>
      <c r="AQ251" s="49">
        <f t="shared" si="182"/>
        <v>-4.2058168184087892</v>
      </c>
      <c r="AR251" s="61">
        <f t="shared" si="183"/>
        <v>163.58988909544925</v>
      </c>
      <c r="AS251" s="58" t="str">
        <f t="shared" si="184"/>
        <v>0.159854476076173+0.191204665331393i</v>
      </c>
      <c r="AT251" s="64">
        <f t="shared" si="185"/>
        <v>-12.068197486950719</v>
      </c>
      <c r="AU251" s="61">
        <f t="shared" si="186"/>
        <v>50.1030757228189</v>
      </c>
    </row>
    <row r="252" spans="14:47" x14ac:dyDescent="0.25">
      <c r="N252" s="10">
        <v>34</v>
      </c>
      <c r="O252" s="50">
        <f t="shared" si="187"/>
        <v>2187.7616239495528</v>
      </c>
      <c r="P252" s="48" t="str">
        <f t="shared" si="155"/>
        <v>304.285714285714</v>
      </c>
      <c r="Q252" s="17" t="str">
        <f t="shared" si="156"/>
        <v>1+715.779673063785i</v>
      </c>
      <c r="R252" s="17">
        <f t="shared" si="164"/>
        <v>715.78037160242036</v>
      </c>
      <c r="S252" s="17">
        <f t="shared" si="165"/>
        <v>1.5693992497514657</v>
      </c>
      <c r="T252" s="17" t="str">
        <f t="shared" si="157"/>
        <v>1+0.0148458006265081i</v>
      </c>
      <c r="U252" s="17">
        <f t="shared" si="166"/>
        <v>1.0001101928268914</v>
      </c>
      <c r="V252" s="17">
        <f t="shared" si="167"/>
        <v>1.4844710110132402E-2</v>
      </c>
      <c r="W252" s="31" t="str">
        <f t="shared" si="158"/>
        <v>1-0.0463931269578378i</v>
      </c>
      <c r="X252" s="17">
        <f t="shared" si="168"/>
        <v>1.0010755826754172</v>
      </c>
      <c r="Y252" s="17">
        <f t="shared" si="169"/>
        <v>-4.6359885555541921E-2</v>
      </c>
      <c r="Z252" s="31" t="str">
        <f t="shared" si="159"/>
        <v>0.999699474526434+0.40925460960652i</v>
      </c>
      <c r="AA252" s="17">
        <f t="shared" si="170"/>
        <v>1.0802260758066402</v>
      </c>
      <c r="AB252" s="17">
        <f t="shared" si="171"/>
        <v>0.38856431614295539</v>
      </c>
      <c r="AC252" s="66" t="str">
        <f t="shared" si="172"/>
        <v>-0.160185542247443-0.359973070370946i</v>
      </c>
      <c r="AD252" s="64">
        <f t="shared" si="173"/>
        <v>-8.0899631183434995</v>
      </c>
      <c r="AE252" s="61">
        <f t="shared" si="174"/>
        <v>-113.98873530977143</v>
      </c>
      <c r="AF252" s="31" t="str">
        <f t="shared" si="160"/>
        <v>-0.000495863624968664</v>
      </c>
      <c r="AG252" s="31" t="str">
        <f t="shared" si="161"/>
        <v>0.00303404177248413i</v>
      </c>
      <c r="AH252" s="31">
        <f t="shared" si="175"/>
        <v>3.03404177248413E-3</v>
      </c>
      <c r="AI252" s="31">
        <f t="shared" si="176"/>
        <v>1.5707963267948966</v>
      </c>
      <c r="AJ252" s="31" t="str">
        <f t="shared" si="162"/>
        <v>1+0.0118378982886255i</v>
      </c>
      <c r="AK252" s="31">
        <f t="shared" si="177"/>
        <v>1.0000700654633614</v>
      </c>
      <c r="AL252" s="31">
        <f t="shared" si="178"/>
        <v>1.1837345363858207E-2</v>
      </c>
      <c r="AM252" s="31" t="str">
        <f t="shared" si="163"/>
        <v>1+3.62897348647975i</v>
      </c>
      <c r="AN252" s="31">
        <f t="shared" si="179"/>
        <v>3.7642327990671611</v>
      </c>
      <c r="AO252" s="31">
        <f t="shared" si="180"/>
        <v>1.3019095460025578</v>
      </c>
      <c r="AP252" s="58" t="str">
        <f t="shared" si="181"/>
        <v>-0.591077772156761+0.170430473178788i</v>
      </c>
      <c r="AQ252" s="49">
        <f t="shared" si="182"/>
        <v>-4.2202651663537516</v>
      </c>
      <c r="AR252" s="61">
        <f t="shared" si="183"/>
        <v>163.91569236375179</v>
      </c>
      <c r="AS252" s="58" t="str">
        <f t="shared" si="184"/>
        <v>0.156032494158283+0.185471582709655i</v>
      </c>
      <c r="AT252" s="64">
        <f t="shared" si="185"/>
        <v>-12.310228284697256</v>
      </c>
      <c r="AU252" s="61">
        <f t="shared" si="186"/>
        <v>49.926957053980303</v>
      </c>
    </row>
    <row r="253" spans="14:47" x14ac:dyDescent="0.25">
      <c r="N253" s="10">
        <v>35</v>
      </c>
      <c r="O253" s="50">
        <f t="shared" si="187"/>
        <v>2238.7211385683418</v>
      </c>
      <c r="P253" s="48" t="str">
        <f t="shared" si="155"/>
        <v>304.285714285714</v>
      </c>
      <c r="Q253" s="17" t="str">
        <f t="shared" si="156"/>
        <v>1+732.452323463182i</v>
      </c>
      <c r="R253" s="17">
        <f t="shared" si="164"/>
        <v>732.45300610115169</v>
      </c>
      <c r="S253" s="17">
        <f t="shared" si="165"/>
        <v>1.5694310510675349</v>
      </c>
      <c r="T253" s="17" t="str">
        <f t="shared" si="157"/>
        <v>1+0.015191603745903i</v>
      </c>
      <c r="U253" s="17">
        <f t="shared" si="166"/>
        <v>1.0001153857552501</v>
      </c>
      <c r="V253" s="17">
        <f t="shared" si="167"/>
        <v>1.5190435243834781E-2</v>
      </c>
      <c r="W253" s="31" t="str">
        <f t="shared" si="158"/>
        <v>1-0.0474737617059469i</v>
      </c>
      <c r="X253" s="17">
        <f t="shared" si="168"/>
        <v>1.0011262448115688</v>
      </c>
      <c r="Y253" s="17">
        <f t="shared" si="169"/>
        <v>-4.7438145065452283E-2</v>
      </c>
      <c r="Z253" s="31" t="str">
        <f t="shared" si="159"/>
        <v>0.999685311197212+0.418787374068949i</v>
      </c>
      <c r="AA253" s="17">
        <f t="shared" si="170"/>
        <v>1.0838605012191527</v>
      </c>
      <c r="AB253" s="17">
        <f t="shared" si="171"/>
        <v>0.39670890477485138</v>
      </c>
      <c r="AC253" s="66" t="str">
        <f t="shared" si="172"/>
        <v>-0.15914048140791-0.349215174914355i</v>
      </c>
      <c r="AD253" s="64">
        <f t="shared" si="173"/>
        <v>-8.3186527373717851</v>
      </c>
      <c r="AE253" s="61">
        <f t="shared" si="174"/>
        <v>-114.49917907354799</v>
      </c>
      <c r="AF253" s="31" t="str">
        <f t="shared" si="160"/>
        <v>-0.000495863624968664</v>
      </c>
      <c r="AG253" s="31" t="str">
        <f t="shared" si="161"/>
        <v>0.00310471368407009i</v>
      </c>
      <c r="AH253" s="31">
        <f t="shared" si="175"/>
        <v>3.1047136840700899E-3</v>
      </c>
      <c r="AI253" s="31">
        <f t="shared" si="176"/>
        <v>1.5707963267948966</v>
      </c>
      <c r="AJ253" s="31" t="str">
        <f t="shared" si="162"/>
        <v>1+0.0121136383620828i</v>
      </c>
      <c r="AK253" s="31">
        <f t="shared" si="177"/>
        <v>1.000073367425794</v>
      </c>
      <c r="AL253" s="31">
        <f t="shared" si="178"/>
        <v>1.2113045894867763E-2</v>
      </c>
      <c r="AM253" s="31" t="str">
        <f t="shared" si="163"/>
        <v>1+3.7135031378874i</v>
      </c>
      <c r="AN253" s="31">
        <f t="shared" si="179"/>
        <v>3.845790628089309</v>
      </c>
      <c r="AO253" s="31">
        <f t="shared" si="180"/>
        <v>1.3077486933509126</v>
      </c>
      <c r="AP253" s="58" t="str">
        <f t="shared" si="181"/>
        <v>-0.591073869016374+0.166873212385947i</v>
      </c>
      <c r="AQ253" s="49">
        <f t="shared" si="182"/>
        <v>-4.2341106004224134</v>
      </c>
      <c r="AR253" s="61">
        <f t="shared" si="183"/>
        <v>164.23445438593114</v>
      </c>
      <c r="AS253" s="58" t="str">
        <f t="shared" si="184"/>
        <v>0.15233843811478+0.179855681202674i</v>
      </c>
      <c r="AT253" s="64">
        <f t="shared" si="185"/>
        <v>-12.5527633377942</v>
      </c>
      <c r="AU253" s="61">
        <f t="shared" si="186"/>
        <v>49.735275312383308</v>
      </c>
    </row>
    <row r="254" spans="14:47" x14ac:dyDescent="0.25">
      <c r="N254" s="10">
        <v>36</v>
      </c>
      <c r="O254" s="50">
        <f t="shared" si="187"/>
        <v>2290.8676527677749</v>
      </c>
      <c r="P254" s="48" t="str">
        <f t="shared" si="155"/>
        <v>304.285714285714</v>
      </c>
      <c r="Q254" s="17" t="str">
        <f t="shared" si="156"/>
        <v>1+749.51332977963i</v>
      </c>
      <c r="R254" s="17">
        <f t="shared" si="164"/>
        <v>749.51399687887647</v>
      </c>
      <c r="S254" s="17">
        <f t="shared" si="165"/>
        <v>1.5694621284999413</v>
      </c>
      <c r="T254" s="17" t="str">
        <f t="shared" si="157"/>
        <v>1+0.0155454616546886i</v>
      </c>
      <c r="U254" s="17">
        <f t="shared" si="166"/>
        <v>1.0001208233898828</v>
      </c>
      <c r="V254" s="17">
        <f t="shared" si="167"/>
        <v>1.5544209590333608E-2</v>
      </c>
      <c r="W254" s="31" t="str">
        <f t="shared" si="158"/>
        <v>1-0.0485795676709019i</v>
      </c>
      <c r="X254" s="17">
        <f t="shared" si="168"/>
        <v>1.0011792918329323</v>
      </c>
      <c r="Y254" s="17">
        <f t="shared" si="169"/>
        <v>-4.8541406180486808E-2</v>
      </c>
      <c r="Z254" s="31" t="str">
        <f t="shared" si="159"/>
        <v>0.999670480370849+0.428542185140414i</v>
      </c>
      <c r="AA254" s="17">
        <f t="shared" si="170"/>
        <v>1.0876531955406581</v>
      </c>
      <c r="AB254" s="17">
        <f t="shared" si="171"/>
        <v>0.40498641680470221</v>
      </c>
      <c r="AC254" s="66" t="str">
        <f t="shared" si="172"/>
        <v>-0.158058979329193-0.338678143673841i</v>
      </c>
      <c r="AD254" s="64">
        <f t="shared" si="173"/>
        <v>-8.5484859264148501</v>
      </c>
      <c r="AE254" s="61">
        <f t="shared" si="174"/>
        <v>-115.01816861208019</v>
      </c>
      <c r="AF254" s="31" t="str">
        <f t="shared" si="160"/>
        <v>-0.000495863624968664</v>
      </c>
      <c r="AG254" s="31" t="str">
        <f t="shared" si="161"/>
        <v>0.00317703175594709i</v>
      </c>
      <c r="AH254" s="31">
        <f t="shared" si="175"/>
        <v>3.1770317559470899E-3</v>
      </c>
      <c r="AI254" s="31">
        <f t="shared" si="176"/>
        <v>1.5707963267948966</v>
      </c>
      <c r="AJ254" s="31" t="str">
        <f t="shared" si="162"/>
        <v>1+0.0123958012469426i</v>
      </c>
      <c r="AK254" s="31">
        <f t="shared" si="177"/>
        <v>1.000076824993237</v>
      </c>
      <c r="AL254" s="31">
        <f t="shared" si="178"/>
        <v>1.2395166409517832E-2</v>
      </c>
      <c r="AM254" s="31" t="str">
        <f t="shared" si="163"/>
        <v>1+3.80000173781276i</v>
      </c>
      <c r="AN254" s="31">
        <f t="shared" si="179"/>
        <v>3.9293782214721955</v>
      </c>
      <c r="AO254" s="31">
        <f t="shared" si="180"/>
        <v>1.3134727243763997</v>
      </c>
      <c r="AP254" s="58" t="str">
        <f t="shared" si="181"/>
        <v>-0.591069781981892+0.163404425522052i</v>
      </c>
      <c r="AQ254" s="49">
        <f t="shared" si="182"/>
        <v>-4.2473766903883767</v>
      </c>
      <c r="AR254" s="61">
        <f t="shared" si="183"/>
        <v>164.54625289069006</v>
      </c>
      <c r="AS254" s="58" t="str">
        <f t="shared" si="184"/>
        <v>0.148765393956285+0.17435487982744i</v>
      </c>
      <c r="AT254" s="64">
        <f t="shared" si="185"/>
        <v>-12.795862616803252</v>
      </c>
      <c r="AU254" s="61">
        <f t="shared" si="186"/>
        <v>49.52808427860986</v>
      </c>
    </row>
    <row r="255" spans="14:47" x14ac:dyDescent="0.25">
      <c r="N255" s="10">
        <v>37</v>
      </c>
      <c r="O255" s="50">
        <f t="shared" si="187"/>
        <v>2344.2288153199238</v>
      </c>
      <c r="P255" s="48" t="str">
        <f t="shared" si="155"/>
        <v>304.285714285714</v>
      </c>
      <c r="Q255" s="17" t="str">
        <f t="shared" si="156"/>
        <v>1+766.97173798451i</v>
      </c>
      <c r="R255" s="17">
        <f t="shared" si="164"/>
        <v>766.97238989873676</v>
      </c>
      <c r="S255" s="17">
        <f t="shared" si="165"/>
        <v>1.5694924985261109</v>
      </c>
      <c r="T255" s="17" t="str">
        <f t="shared" si="157"/>
        <v>1+0.015907561973012i</v>
      </c>
      <c r="U255" s="17">
        <f t="shared" si="166"/>
        <v>1.0001265172606539</v>
      </c>
      <c r="V255" s="17">
        <f t="shared" si="167"/>
        <v>1.5906220371050203E-2</v>
      </c>
      <c r="W255" s="31" t="str">
        <f t="shared" si="158"/>
        <v>1-0.0497111311656626i</v>
      </c>
      <c r="X255" s="17">
        <f t="shared" si="168"/>
        <v>1.0012348358710705</v>
      </c>
      <c r="Y255" s="17">
        <f t="shared" si="169"/>
        <v>-4.9670243115201948E-2</v>
      </c>
      <c r="Z255" s="31" t="str">
        <f t="shared" si="159"/>
        <v>0.999654950589173+0.438524214950867i</v>
      </c>
      <c r="AA255" s="17">
        <f t="shared" si="170"/>
        <v>1.0916105108213807</v>
      </c>
      <c r="AB255" s="17">
        <f t="shared" si="171"/>
        <v>0.41339673158466878</v>
      </c>
      <c r="AC255" s="66" t="str">
        <f t="shared" si="172"/>
        <v>-0.156940555706182-0.328358149953491i</v>
      </c>
      <c r="AD255" s="64">
        <f t="shared" si="173"/>
        <v>-8.7794996319819312</v>
      </c>
      <c r="AE255" s="61">
        <f t="shared" si="174"/>
        <v>-115.54572012991643</v>
      </c>
      <c r="AF255" s="31" t="str">
        <f t="shared" si="160"/>
        <v>-0.000495863624968664</v>
      </c>
      <c r="AG255" s="31" t="str">
        <f t="shared" si="161"/>
        <v>0.00325103433211407i</v>
      </c>
      <c r="AH255" s="31">
        <f t="shared" si="175"/>
        <v>3.2510343321140701E-3</v>
      </c>
      <c r="AI255" s="31">
        <f t="shared" si="176"/>
        <v>1.5707963267948966</v>
      </c>
      <c r="AJ255" s="31" t="str">
        <f t="shared" si="162"/>
        <v>1+0.0126845365497015i</v>
      </c>
      <c r="AK255" s="31">
        <f t="shared" si="177"/>
        <v>1.0000804454980012</v>
      </c>
      <c r="AL255" s="31">
        <f t="shared" si="178"/>
        <v>1.2683856312100391E-2</v>
      </c>
      <c r="AM255" s="31" t="str">
        <f t="shared" si="163"/>
        <v>1+3.88851514895849i</v>
      </c>
      <c r="AN255" s="31">
        <f t="shared" si="179"/>
        <v>4.0150404809515523</v>
      </c>
      <c r="AO255" s="31">
        <f t="shared" si="180"/>
        <v>1.3190831730585117</v>
      </c>
      <c r="AP255" s="58" t="str">
        <f t="shared" si="181"/>
        <v>-0.591065502391991+0.160022273071726i</v>
      </c>
      <c r="AQ255" s="49">
        <f t="shared" si="182"/>
        <v>-4.2600862434560396</v>
      </c>
      <c r="AR255" s="61">
        <f t="shared" si="183"/>
        <v>164.85116720834378</v>
      </c>
      <c r="AS255" s="58" t="str">
        <f t="shared" si="184"/>
        <v>0.145306765941337+0.168967190405522i</v>
      </c>
      <c r="AT255" s="64">
        <f t="shared" si="185"/>
        <v>-13.039585875437963</v>
      </c>
      <c r="AU255" s="61">
        <f t="shared" si="186"/>
        <v>49.305447078427385</v>
      </c>
    </row>
    <row r="256" spans="14:47" x14ac:dyDescent="0.25">
      <c r="N256" s="10">
        <v>38</v>
      </c>
      <c r="O256" s="50">
        <f t="shared" si="187"/>
        <v>2398.8329190194918</v>
      </c>
      <c r="P256" s="48" t="str">
        <f t="shared" si="155"/>
        <v>304.285714285714</v>
      </c>
      <c r="Q256" s="17" t="str">
        <f t="shared" si="156"/>
        <v>1+784.836804756937i</v>
      </c>
      <c r="R256" s="17">
        <f t="shared" si="164"/>
        <v>784.83744183179635</v>
      </c>
      <c r="S256" s="17">
        <f t="shared" si="165"/>
        <v>1.5695221772484094</v>
      </c>
      <c r="T256" s="17" t="str">
        <f t="shared" si="157"/>
        <v>1+0.016278096691255i</v>
      </c>
      <c r="U256" s="17">
        <f t="shared" si="166"/>
        <v>1.0001324794405437</v>
      </c>
      <c r="V256" s="17">
        <f t="shared" si="167"/>
        <v>1.6276659149137212E-2</v>
      </c>
      <c r="W256" s="31" t="str">
        <f t="shared" si="158"/>
        <v>1-0.0508690521601718i</v>
      </c>
      <c r="X256" s="17">
        <f t="shared" si="168"/>
        <v>1.0012929943166857</v>
      </c>
      <c r="Y256" s="17">
        <f t="shared" si="169"/>
        <v>-5.0825242879774669E-2</v>
      </c>
      <c r="Z256" s="31" t="str">
        <f t="shared" si="159"/>
        <v>0.999638688911435+0.44873875610464i</v>
      </c>
      <c r="AA256" s="17">
        <f t="shared" si="170"/>
        <v>1.0957390107132776</v>
      </c>
      <c r="AB256" s="17">
        <f t="shared" si="171"/>
        <v>0.4219395785985543</v>
      </c>
      <c r="AC256" s="66" t="str">
        <f t="shared" si="172"/>
        <v>-0.155784770990429-0.318251536160773i</v>
      </c>
      <c r="AD256" s="64">
        <f t="shared" si="173"/>
        <v>-9.0117313001803865</v>
      </c>
      <c r="AE256" s="61">
        <f t="shared" si="174"/>
        <v>-116.08184170766324</v>
      </c>
      <c r="AF256" s="31" t="str">
        <f t="shared" si="160"/>
        <v>-0.000495863624968664</v>
      </c>
      <c r="AG256" s="31" t="str">
        <f t="shared" si="161"/>
        <v>0.00332676064971647i</v>
      </c>
      <c r="AH256" s="31">
        <f t="shared" si="175"/>
        <v>3.3267606497164701E-3</v>
      </c>
      <c r="AI256" s="31">
        <f t="shared" si="176"/>
        <v>1.5707963267948966</v>
      </c>
      <c r="AJ256" s="31" t="str">
        <f t="shared" si="162"/>
        <v>1+0.0129799973616386i</v>
      </c>
      <c r="AK256" s="31">
        <f t="shared" si="177"/>
        <v>1.0000842366178502</v>
      </c>
      <c r="AL256" s="31">
        <f t="shared" si="178"/>
        <v>1.2979268477232637E-2</v>
      </c>
      <c r="AM256" s="31" t="str">
        <f t="shared" si="163"/>
        <v>1+3.97909030230677i</v>
      </c>
      <c r="AN256" s="31">
        <f t="shared" si="179"/>
        <v>4.1028233734724413</v>
      </c>
      <c r="AO256" s="31">
        <f t="shared" si="180"/>
        <v>1.324581600735488</v>
      </c>
      <c r="AP256" s="58" t="str">
        <f t="shared" si="181"/>
        <v>-0.591061021177653+0.156724961431524i</v>
      </c>
      <c r="AQ256" s="49">
        <f t="shared" si="182"/>
        <v>-4.2722613168321768</v>
      </c>
      <c r="AR256" s="61">
        <f t="shared" si="183"/>
        <v>165.14927803791355</v>
      </c>
      <c r="AS256" s="58" t="str">
        <f t="shared" si="184"/>
        <v>0.14195626555585+0.163690715729449i</v>
      </c>
      <c r="AT256" s="64">
        <f t="shared" si="185"/>
        <v>-13.283992617012583</v>
      </c>
      <c r="AU256" s="61">
        <f t="shared" si="186"/>
        <v>49.067436330250246</v>
      </c>
    </row>
    <row r="257" spans="14:47" x14ac:dyDescent="0.25">
      <c r="N257" s="10">
        <v>39</v>
      </c>
      <c r="O257" s="50">
        <f t="shared" si="187"/>
        <v>2454.7089156850338</v>
      </c>
      <c r="P257" s="48" t="str">
        <f t="shared" si="155"/>
        <v>304.285714285714</v>
      </c>
      <c r="Q257" s="17" t="str">
        <f t="shared" si="156"/>
        <v>1+803.118002391791i</v>
      </c>
      <c r="R257" s="17">
        <f t="shared" si="164"/>
        <v>803.11862496506751</v>
      </c>
      <c r="S257" s="17">
        <f t="shared" si="165"/>
        <v>1.5695511804026787</v>
      </c>
      <c r="T257" s="17" t="str">
        <f t="shared" si="157"/>
        <v>1+0.0166572622718297i</v>
      </c>
      <c r="U257" s="17">
        <f t="shared" si="166"/>
        <v>1.0001387225712204</v>
      </c>
      <c r="V257" s="17">
        <f t="shared" si="167"/>
        <v>1.6655721929237286E-2</v>
      </c>
      <c r="W257" s="31" t="str">
        <f t="shared" si="158"/>
        <v>1-0.0520539445994678i</v>
      </c>
      <c r="X257" s="17">
        <f t="shared" si="168"/>
        <v>1.0013538900650281</v>
      </c>
      <c r="Y257" s="17">
        <f t="shared" si="169"/>
        <v>-5.2007005536985798E-2</v>
      </c>
      <c r="Z257" s="31" t="str">
        <f t="shared" si="159"/>
        <v>0.999621660844436+0.45919122448666i</v>
      </c>
      <c r="AA257" s="17">
        <f t="shared" si="170"/>
        <v>1.1000454742759258</v>
      </c>
      <c r="AB257" s="17">
        <f t="shared" si="171"/>
        <v>0.43061453075001194</v>
      </c>
      <c r="AC257" s="66" t="str">
        <f t="shared" si="172"/>
        <v>-0.154591230954578-0.308354810298223i</v>
      </c>
      <c r="AD257" s="64">
        <f t="shared" si="173"/>
        <v>-9.2452188257805954</v>
      </c>
      <c r="AE257" s="61">
        <f t="shared" si="174"/>
        <v>-116.62653292692599</v>
      </c>
      <c r="AF257" s="31" t="str">
        <f t="shared" si="160"/>
        <v>-0.000495863624968664</v>
      </c>
      <c r="AG257" s="31" t="str">
        <f t="shared" si="161"/>
        <v>0.00340425085985024i</v>
      </c>
      <c r="AH257" s="31">
        <f t="shared" si="175"/>
        <v>3.4042508598502402E-3</v>
      </c>
      <c r="AI257" s="31">
        <f t="shared" si="176"/>
        <v>1.5707963267948966</v>
      </c>
      <c r="AJ257" s="31" t="str">
        <f t="shared" si="162"/>
        <v>1+0.0132823403399874i</v>
      </c>
      <c r="AK257" s="31">
        <f t="shared" si="177"/>
        <v>1.0000882063922698</v>
      </c>
      <c r="AL257" s="31">
        <f t="shared" si="178"/>
        <v>1.3281559329995444E-2</v>
      </c>
      <c r="AM257" s="31" t="str">
        <f t="shared" si="163"/>
        <v>1+4.07177522200281i</v>
      </c>
      <c r="AN257" s="31">
        <f t="shared" si="179"/>
        <v>4.1927739574792282</v>
      </c>
      <c r="AO257" s="31">
        <f t="shared" si="180"/>
        <v>1.3299695923248176</v>
      </c>
      <c r="AP257" s="58" t="str">
        <f t="shared" si="181"/>
        <v>-0.591056328843009+0.153510741957313i</v>
      </c>
      <c r="AQ257" s="49">
        <f t="shared" si="182"/>
        <v>-4.2839232312511859</v>
      </c>
      <c r="AR257" s="61">
        <f t="shared" si="183"/>
        <v>165.44066722598532</v>
      </c>
      <c r="AS257" s="58" t="str">
        <f t="shared" si="184"/>
        <v>0.138707901154321+0.158523647592019i</v>
      </c>
      <c r="AT257" s="64">
        <f t="shared" si="185"/>
        <v>-13.529142057031775</v>
      </c>
      <c r="AU257" s="61">
        <f t="shared" si="186"/>
        <v>48.814134299059475</v>
      </c>
    </row>
    <row r="258" spans="14:47" x14ac:dyDescent="0.25">
      <c r="N258" s="10">
        <v>40</v>
      </c>
      <c r="O258" s="50">
        <f t="shared" si="187"/>
        <v>2511.8864315095811</v>
      </c>
      <c r="P258" s="48" t="str">
        <f t="shared" si="155"/>
        <v>304.285714285714</v>
      </c>
      <c r="Q258" s="17" t="str">
        <f t="shared" si="156"/>
        <v>1+821.82502382204i</v>
      </c>
      <c r="R258" s="17">
        <f t="shared" si="164"/>
        <v>821.82563222382919</v>
      </c>
      <c r="S258" s="17">
        <f t="shared" si="165"/>
        <v>1.5695795233665799</v>
      </c>
      <c r="T258" s="17" t="str">
        <f t="shared" si="157"/>
        <v>1+0.017045259753346i</v>
      </c>
      <c r="U258" s="17">
        <f t="shared" si="166"/>
        <v>1.0001452598898117</v>
      </c>
      <c r="V258" s="17">
        <f t="shared" si="167"/>
        <v>1.7043609259468157E-2</v>
      </c>
      <c r="W258" s="31" t="str">
        <f t="shared" si="158"/>
        <v>1-0.0532664367292063i</v>
      </c>
      <c r="X258" s="17">
        <f t="shared" si="168"/>
        <v>1.001417651772639</v>
      </c>
      <c r="Y258" s="17">
        <f t="shared" si="169"/>
        <v>-5.3216144462298304E-2</v>
      </c>
      <c r="Z258" s="31" t="str">
        <f t="shared" si="159"/>
        <v>0.999603830269363+0.46988716213402i</v>
      </c>
      <c r="AA258" s="17">
        <f t="shared" si="170"/>
        <v>1.1045368996224363</v>
      </c>
      <c r="AB258" s="17">
        <f t="shared" si="171"/>
        <v>0.43942099778436994</v>
      </c>
      <c r="AC258" s="66" t="str">
        <f t="shared" si="172"/>
        <v>-0.153359591339315-0.29866464216408i</v>
      </c>
      <c r="AD258" s="64">
        <f t="shared" si="173"/>
        <v>-9.4800004963571816</v>
      </c>
      <c r="AE258" s="61">
        <f t="shared" si="174"/>
        <v>-117.17978450294289</v>
      </c>
      <c r="AF258" s="31" t="str">
        <f t="shared" si="160"/>
        <v>-0.000495863624968664</v>
      </c>
      <c r="AG258" s="31" t="str">
        <f t="shared" si="161"/>
        <v>0.00348354604885048i</v>
      </c>
      <c r="AH258" s="31">
        <f t="shared" si="175"/>
        <v>3.4835460488504802E-3</v>
      </c>
      <c r="AI258" s="31">
        <f t="shared" si="176"/>
        <v>1.5707963267948966</v>
      </c>
      <c r="AJ258" s="31" t="str">
        <f t="shared" si="162"/>
        <v>1+0.0135917257909971i</v>
      </c>
      <c r="AK258" s="31">
        <f t="shared" si="177"/>
        <v>1.0000923632395049</v>
      </c>
      <c r="AL258" s="31">
        <f t="shared" si="178"/>
        <v>1.3590888927887353E-2</v>
      </c>
      <c r="AM258" s="31" t="str">
        <f t="shared" si="163"/>
        <v>1+4.16661905081791i</v>
      </c>
      <c r="AN258" s="31">
        <f t="shared" si="179"/>
        <v>4.2849404096951851</v>
      </c>
      <c r="AO258" s="31">
        <f t="shared" si="180"/>
        <v>1.3352487527471379</v>
      </c>
      <c r="AP258" s="58" t="str">
        <f t="shared" si="181"/>
        <v>-0.59105141544531+0.150377910035381i</v>
      </c>
      <c r="AQ258" s="49">
        <f t="shared" si="182"/>
        <v>-4.2950925853264161</v>
      </c>
      <c r="AR258" s="61">
        <f t="shared" si="183"/>
        <v>165.72541755711907</v>
      </c>
      <c r="AS258" s="58" t="str">
        <f t="shared" si="184"/>
        <v>0.135555968223316+0.15346426466506i</v>
      </c>
      <c r="AT258" s="64">
        <f t="shared" si="185"/>
        <v>-13.775093081683597</v>
      </c>
      <c r="AU258" s="61">
        <f t="shared" si="186"/>
        <v>48.545633054176101</v>
      </c>
    </row>
    <row r="259" spans="14:47" x14ac:dyDescent="0.25">
      <c r="N259" s="10">
        <v>41</v>
      </c>
      <c r="O259" s="50">
        <f t="shared" si="187"/>
        <v>2570.3957827688669</v>
      </c>
      <c r="P259" s="48" t="str">
        <f t="shared" si="155"/>
        <v>304.285714285714</v>
      </c>
      <c r="Q259" s="17" t="str">
        <f t="shared" si="156"/>
        <v>1+840.967787758056i</v>
      </c>
      <c r="R259" s="17">
        <f t="shared" si="164"/>
        <v>840.96838231093955</v>
      </c>
      <c r="S259" s="17">
        <f t="shared" si="165"/>
        <v>1.5696072211677456</v>
      </c>
      <c r="T259" s="17" t="str">
        <f t="shared" si="157"/>
        <v>1+0.0174422948572041i</v>
      </c>
      <c r="U259" s="17">
        <f t="shared" si="166"/>
        <v>1.0001521052569382</v>
      </c>
      <c r="V259" s="17">
        <f t="shared" si="167"/>
        <v>1.744052633567687E-2</v>
      </c>
      <c r="W259" s="31" t="str">
        <f t="shared" si="158"/>
        <v>1-0.0545071714287628i</v>
      </c>
      <c r="X259" s="17">
        <f t="shared" si="168"/>
        <v>1.0014844141259336</v>
      </c>
      <c r="Y259" s="17">
        <f t="shared" si="169"/>
        <v>-5.445328660690029E-2</v>
      </c>
      <c r="Z259" s="31" t="str">
        <f t="shared" si="159"/>
        <v>0.999585159365177+0.480832240174432i</v>
      </c>
      <c r="AA259" s="17">
        <f t="shared" si="170"/>
        <v>1.1092205073898826</v>
      </c>
      <c r="AB259" s="17">
        <f t="shared" si="171"/>
        <v>0.44835821988856422</v>
      </c>
      <c r="AC259" s="66" t="str">
        <f t="shared" si="172"/>
        <v>-0.152089562557036-0.289177859239314i</v>
      </c>
      <c r="AD259" s="64">
        <f t="shared" si="173"/>
        <v>-9.7161149314227586</v>
      </c>
      <c r="AE259" s="61">
        <f t="shared" si="174"/>
        <v>-117.74157792745294</v>
      </c>
      <c r="AF259" s="31" t="str">
        <f t="shared" si="160"/>
        <v>-0.000495863624968664</v>
      </c>
      <c r="AG259" s="31" t="str">
        <f t="shared" si="161"/>
        <v>0.00356468826007601i</v>
      </c>
      <c r="AH259" s="31">
        <f t="shared" si="175"/>
        <v>3.5646882600760101E-3</v>
      </c>
      <c r="AI259" s="31">
        <f t="shared" si="176"/>
        <v>1.5707963267948966</v>
      </c>
      <c r="AJ259" s="31" t="str">
        <f t="shared" si="162"/>
        <v>1+0.0139083177549289i</v>
      </c>
      <c r="AK259" s="31">
        <f t="shared" si="177"/>
        <v>1.0000967159743961</v>
      </c>
      <c r="AL259" s="31">
        <f t="shared" si="178"/>
        <v>1.3907421044634457E-2</v>
      </c>
      <c r="AM259" s="31" t="str">
        <f t="shared" si="163"/>
        <v>1+4.26367207620544i</v>
      </c>
      <c r="AN259" s="31">
        <f t="shared" si="179"/>
        <v>4.3793720524081996</v>
      </c>
      <c r="AO259" s="31">
        <f t="shared" si="180"/>
        <v>1.3404207035491618</v>
      </c>
      <c r="AP259" s="58" t="str">
        <f t="shared" si="181"/>
        <v>-0.59104627057386+0.147324804176749i</v>
      </c>
      <c r="AQ259" s="49">
        <f t="shared" si="182"/>
        <v>-4.30578927061012</v>
      </c>
      <c r="AR259" s="61">
        <f t="shared" si="183"/>
        <v>166.00361255555447</v>
      </c>
      <c r="AS259" s="58" t="str">
        <f t="shared" si="184"/>
        <v>0.132495040227229+0.148510930214886i</v>
      </c>
      <c r="AT259" s="64">
        <f t="shared" si="185"/>
        <v>-14.021904202032902</v>
      </c>
      <c r="AU259" s="61">
        <f t="shared" si="186"/>
        <v>48.262034628101524</v>
      </c>
    </row>
    <row r="260" spans="14:47" x14ac:dyDescent="0.25">
      <c r="N260" s="10">
        <v>42</v>
      </c>
      <c r="O260" s="50">
        <f t="shared" si="187"/>
        <v>2630.2679918953822</v>
      </c>
      <c r="P260" s="48" t="str">
        <f t="shared" si="155"/>
        <v>304.285714285714</v>
      </c>
      <c r="Q260" s="17" t="str">
        <f t="shared" si="156"/>
        <v>1+860.556443946666i</v>
      </c>
      <c r="R260" s="17">
        <f t="shared" si="164"/>
        <v>860.55702496588299</v>
      </c>
      <c r="S260" s="17">
        <f t="shared" si="165"/>
        <v>1.5696342884917462</v>
      </c>
      <c r="T260" s="17" t="str">
        <f t="shared" si="157"/>
        <v>1+0.0178485780966715i</v>
      </c>
      <c r="U260" s="17">
        <f t="shared" si="166"/>
        <v>1.0001592731860625</v>
      </c>
      <c r="V260" s="17">
        <f t="shared" si="167"/>
        <v>1.7846683108011522E-2</v>
      </c>
      <c r="W260" s="31" t="str">
        <f t="shared" si="158"/>
        <v>1-0.0557768065520986i</v>
      </c>
      <c r="X260" s="17">
        <f t="shared" si="168"/>
        <v>1.0015543181221627</v>
      </c>
      <c r="Y260" s="17">
        <f t="shared" si="169"/>
        <v>-5.5719072763573303E-2</v>
      </c>
      <c r="Z260" s="31" t="str">
        <f t="shared" si="159"/>
        <v>0.999565608528385+0.492032261833152i</v>
      </c>
      <c r="AA260" s="17">
        <f t="shared" si="170"/>
        <v>1.1141037440190964</v>
      </c>
      <c r="AB260" s="17">
        <f t="shared" si="171"/>
        <v>0.45742526151621027</v>
      </c>
      <c r="AC260" s="66" t="str">
        <f t="shared" si="172"/>
        <v>-0.150780914423221-0.279891442240149i</v>
      </c>
      <c r="AD260" s="64">
        <f t="shared" si="173"/>
        <v>-9.9536010164989985</v>
      </c>
      <c r="AE260" s="61">
        <f t="shared" si="174"/>
        <v>-118.3118851244823</v>
      </c>
      <c r="AF260" s="31" t="str">
        <f t="shared" si="160"/>
        <v>-0.000495863624968664</v>
      </c>
      <c r="AG260" s="31" t="str">
        <f t="shared" si="161"/>
        <v>0.00364772051620125i</v>
      </c>
      <c r="AH260" s="31">
        <f t="shared" si="175"/>
        <v>3.6477205162012498E-3</v>
      </c>
      <c r="AI260" s="31">
        <f t="shared" si="176"/>
        <v>1.5707963267948966</v>
      </c>
      <c r="AJ260" s="31" t="str">
        <f t="shared" si="162"/>
        <v>1+0.0142322840930327i</v>
      </c>
      <c r="AK260" s="31">
        <f t="shared" si="177"/>
        <v>1.0001012738270583</v>
      </c>
      <c r="AL260" s="31">
        <f t="shared" si="178"/>
        <v>1.4231323255895895E-2</v>
      </c>
      <c r="AM260" s="31" t="str">
        <f t="shared" si="163"/>
        <v>1+4.36298575696415i</v>
      </c>
      <c r="AN260" s="31">
        <f t="shared" si="179"/>
        <v>4.4761193812801778</v>
      </c>
      <c r="AO260" s="31">
        <f t="shared" si="180"/>
        <v>1.3454870797207672</v>
      </c>
      <c r="AP260" s="58" t="str">
        <f t="shared" si="181"/>
        <v>-0.591040883328088+0.144349805134236i</v>
      </c>
      <c r="AQ260" s="49">
        <f t="shared" si="182"/>
        <v>-4.3160324872478419</v>
      </c>
      <c r="AR260" s="61">
        <f t="shared" si="183"/>
        <v>166.27533629793291</v>
      </c>
      <c r="AS260" s="58" t="str">
        <f t="shared" si="184"/>
        <v>0.129519959995823+0.143662089642636i</v>
      </c>
      <c r="AT260" s="64">
        <f t="shared" si="185"/>
        <v>-14.269633503746856</v>
      </c>
      <c r="AU260" s="61">
        <f t="shared" si="186"/>
        <v>47.963451173450572</v>
      </c>
    </row>
    <row r="261" spans="14:47" x14ac:dyDescent="0.25">
      <c r="N261" s="10">
        <v>43</v>
      </c>
      <c r="O261" s="50">
        <f t="shared" si="187"/>
        <v>2691.5348039269184</v>
      </c>
      <c r="P261" s="48" t="str">
        <f t="shared" si="155"/>
        <v>304.285714285714</v>
      </c>
      <c r="Q261" s="17" t="str">
        <f t="shared" si="156"/>
        <v>1+880.60137855267i</v>
      </c>
      <c r="R261" s="17">
        <f t="shared" si="164"/>
        <v>880.60194634628351</v>
      </c>
      <c r="S261" s="17">
        <f t="shared" si="165"/>
        <v>1.5696607396898765</v>
      </c>
      <c r="T261" s="17" t="str">
        <f t="shared" si="157"/>
        <v>1+0.0182643248884998i</v>
      </c>
      <c r="U261" s="17">
        <f t="shared" si="166"/>
        <v>1.0001667788742199</v>
      </c>
      <c r="V261" s="17">
        <f t="shared" si="167"/>
        <v>1.8262294389853898E-2</v>
      </c>
      <c r="W261" s="31" t="str">
        <f t="shared" si="158"/>
        <v>1-0.0570760152765619i</v>
      </c>
      <c r="X261" s="17">
        <f t="shared" si="168"/>
        <v>1.0016275113633062</v>
      </c>
      <c r="Y261" s="17">
        <f t="shared" si="169"/>
        <v>-5.7014157835213124E-2</v>
      </c>
      <c r="Z261" s="31" t="str">
        <f t="shared" si="159"/>
        <v>0.999545136289042+0.503493165509914i</v>
      </c>
      <c r="AA261" s="17">
        <f t="shared" si="170"/>
        <v>1.1191942848291681</v>
      </c>
      <c r="AB261" s="17">
        <f t="shared" si="171"/>
        <v>0.46662100548705565</v>
      </c>
      <c r="AC261" s="66" t="str">
        <f t="shared" si="172"/>
        <v>-0.149433480883296-0.270802520317278i</v>
      </c>
      <c r="AD261" s="64">
        <f t="shared" si="173"/>
        <v>-10.192497832102191</v>
      </c>
      <c r="AE261" s="61">
        <f t="shared" si="174"/>
        <v>-118.89066812185843</v>
      </c>
      <c r="AF261" s="31" t="str">
        <f t="shared" si="160"/>
        <v>-0.000495863624968664</v>
      </c>
      <c r="AG261" s="31" t="str">
        <f t="shared" si="161"/>
        <v>0.00373268684202748i</v>
      </c>
      <c r="AH261" s="31">
        <f t="shared" si="175"/>
        <v>3.7326868420274801E-3</v>
      </c>
      <c r="AI261" s="31">
        <f t="shared" si="176"/>
        <v>1.5707963267948966</v>
      </c>
      <c r="AJ261" s="31" t="str">
        <f t="shared" si="162"/>
        <v>1+0.0145637965765493i</v>
      </c>
      <c r="AK261" s="31">
        <f t="shared" si="177"/>
        <v>1.0001060464624354</v>
      </c>
      <c r="AL261" s="31">
        <f t="shared" si="178"/>
        <v>1.4562767026904039E-2</v>
      </c>
      <c r="AM261" s="31" t="str">
        <f t="shared" si="163"/>
        <v>1+4.46461275052217i</v>
      </c>
      <c r="AN261" s="31">
        <f t="shared" si="179"/>
        <v>4.5752340936967517</v>
      </c>
      <c r="AO261" s="31">
        <f t="shared" si="180"/>
        <v>1.3504495267008643</v>
      </c>
      <c r="AP261" s="58" t="str">
        <f t="shared" si="181"/>
        <v>-0.591035242294502+0.141451335041761i</v>
      </c>
      <c r="AQ261" s="49">
        <f t="shared" si="182"/>
        <v>-4.325840760127198</v>
      </c>
      <c r="AR261" s="61">
        <f t="shared" si="183"/>
        <v>166.54067323672521</v>
      </c>
      <c r="AS261" s="58" t="str">
        <f t="shared" si="184"/>
        <v>0.126625831612322+0.138916267838805i</v>
      </c>
      <c r="AT261" s="64">
        <f t="shared" si="185"/>
        <v>-14.518338592229384</v>
      </c>
      <c r="AU261" s="61">
        <f t="shared" si="186"/>
        <v>47.650005114866971</v>
      </c>
    </row>
    <row r="262" spans="14:47" x14ac:dyDescent="0.25">
      <c r="N262" s="10">
        <v>44</v>
      </c>
      <c r="O262" s="50">
        <f t="shared" si="187"/>
        <v>2754.228703338169</v>
      </c>
      <c r="P262" s="48" t="str">
        <f t="shared" si="155"/>
        <v>304.285714285714</v>
      </c>
      <c r="Q262" s="17" t="str">
        <f t="shared" si="156"/>
        <v>1+901.113219665721i</v>
      </c>
      <c r="R262" s="17">
        <f t="shared" si="164"/>
        <v>901.11377453478201</v>
      </c>
      <c r="S262" s="17">
        <f t="shared" si="165"/>
        <v>1.5696865887867639</v>
      </c>
      <c r="T262" s="17" t="str">
        <f t="shared" si="157"/>
        <v>1+0.0186897556671408i</v>
      </c>
      <c r="U262" s="17">
        <f t="shared" si="166"/>
        <v>1.0001746382341923</v>
      </c>
      <c r="V262" s="17">
        <f t="shared" si="167"/>
        <v>1.8687579969159762E-2</v>
      </c>
      <c r="W262" s="31" t="str">
        <f t="shared" si="158"/>
        <v>1-0.0584054864598152i</v>
      </c>
      <c r="X262" s="17">
        <f t="shared" si="168"/>
        <v>1.0017041483634814</v>
      </c>
      <c r="Y262" s="17">
        <f t="shared" si="169"/>
        <v>-5.8339211105826204E-2</v>
      </c>
      <c r="Z262" s="31" t="str">
        <f t="shared" si="159"/>
        <v>0.999523699222784+0.51522102792755i</v>
      </c>
      <c r="AA262" s="17">
        <f t="shared" si="170"/>
        <v>1.1245000368727069</v>
      </c>
      <c r="AB262" s="17">
        <f t="shared" si="171"/>
        <v>0.47594414741217028</v>
      </c>
      <c r="AC262" s="66" t="str">
        <f t="shared" si="172"/>
        <v>-0.148047164699643-0.261908365885432i</v>
      </c>
      <c r="AD262" s="64">
        <f t="shared" si="173"/>
        <v>-10.432844577657718</v>
      </c>
      <c r="AE262" s="61">
        <f t="shared" si="174"/>
        <v>-119.47787874137887</v>
      </c>
      <c r="AF262" s="31" t="str">
        <f t="shared" si="160"/>
        <v>-0.000495863624968664</v>
      </c>
      <c r="AG262" s="31" t="str">
        <f t="shared" si="161"/>
        <v>0.00381963228782529i</v>
      </c>
      <c r="AH262" s="31">
        <f t="shared" si="175"/>
        <v>3.81963228782529E-3</v>
      </c>
      <c r="AI262" s="31">
        <f t="shared" si="176"/>
        <v>1.5707963267948966</v>
      </c>
      <c r="AJ262" s="31" t="str">
        <f t="shared" si="162"/>
        <v>1+0.0149030309777853i</v>
      </c>
      <c r="AK262" s="31">
        <f t="shared" si="177"/>
        <v>1.0001110440007774</v>
      </c>
      <c r="AL262" s="31">
        <f t="shared" si="178"/>
        <v>1.4901927802080045E-2</v>
      </c>
      <c r="AM262" s="31" t="str">
        <f t="shared" si="163"/>
        <v>1+4.56860694085665i</v>
      </c>
      <c r="AN262" s="31">
        <f t="shared" si="179"/>
        <v>4.6767691176755308</v>
      </c>
      <c r="AO262" s="31">
        <f t="shared" si="180"/>
        <v>1.3553096975663521</v>
      </c>
      <c r="AP262" s="58" t="str">
        <f t="shared" si="181"/>
        <v>-0.591029335522607+0.138627856575444i</v>
      </c>
      <c r="AQ262" s="49">
        <f t="shared" si="182"/>
        <v>-4.3352319554239855</v>
      </c>
      <c r="AR262" s="61">
        <f t="shared" si="183"/>
        <v>166.79970803403614</v>
      </c>
      <c r="AS262" s="58" t="str">
        <f t="shared" si="184"/>
        <v>0.123808012760311+0.134272066342695i</v>
      </c>
      <c r="AT262" s="64">
        <f t="shared" si="185"/>
        <v>-14.768076533081704</v>
      </c>
      <c r="AU262" s="61">
        <f t="shared" si="186"/>
        <v>47.321829292657036</v>
      </c>
    </row>
    <row r="263" spans="14:47" x14ac:dyDescent="0.25">
      <c r="N263" s="10">
        <v>45</v>
      </c>
      <c r="O263" s="50">
        <f t="shared" si="187"/>
        <v>2818.3829312644561</v>
      </c>
      <c r="P263" s="48" t="str">
        <f t="shared" si="155"/>
        <v>304.285714285714</v>
      </c>
      <c r="Q263" s="17" t="str">
        <f t="shared" si="156"/>
        <v>1+922.10284293548i</v>
      </c>
      <c r="R263" s="17">
        <f t="shared" si="164"/>
        <v>922.10338517418666</v>
      </c>
      <c r="S263" s="17">
        <f t="shared" si="165"/>
        <v>1.5697118494878035</v>
      </c>
      <c r="T263" s="17" t="str">
        <f t="shared" si="157"/>
        <v>1+0.0191250960016247i</v>
      </c>
      <c r="U263" s="17">
        <f t="shared" si="166"/>
        <v>1.0001828679281961</v>
      </c>
      <c r="V263" s="17">
        <f t="shared" si="167"/>
        <v>1.9122764722255922E-2</v>
      </c>
      <c r="W263" s="31" t="str">
        <f t="shared" si="158"/>
        <v>1-0.0597659250050773i</v>
      </c>
      <c r="X263" s="17">
        <f t="shared" si="168"/>
        <v>1.0017843908704669</v>
      </c>
      <c r="Y263" s="17">
        <f t="shared" si="169"/>
        <v>-5.9694916513796888E-2</v>
      </c>
      <c r="Z263" s="31" t="str">
        <f t="shared" si="159"/>
        <v>0.999501251858718+0.527222067353949i</v>
      </c>
      <c r="AA263" s="17">
        <f t="shared" si="170"/>
        <v>1.1300291415587991</v>
      </c>
      <c r="AB263" s="17">
        <f t="shared" si="171"/>
        <v>0.48539319049784502</v>
      </c>
      <c r="AC263" s="66" t="str">
        <f t="shared" si="172"/>
        <v>-0.146621942060474-0.253206389069972i</v>
      </c>
      <c r="AD263" s="64">
        <f t="shared" si="173"/>
        <v>-10.67468049039633</v>
      </c>
      <c r="AE263" s="61">
        <f t="shared" si="174"/>
        <v>-120.07345831066141</v>
      </c>
      <c r="AF263" s="31" t="str">
        <f t="shared" si="160"/>
        <v>-0.000495863624968664</v>
      </c>
      <c r="AG263" s="31" t="str">
        <f t="shared" si="161"/>
        <v>0.00390860295322093i</v>
      </c>
      <c r="AH263" s="31">
        <f t="shared" si="175"/>
        <v>3.9086029532209299E-3</v>
      </c>
      <c r="AI263" s="31">
        <f t="shared" si="176"/>
        <v>1.5707963267948966</v>
      </c>
      <c r="AJ263" s="31" t="str">
        <f t="shared" si="162"/>
        <v>1+0.0152501671633107i</v>
      </c>
      <c r="AK263" s="31">
        <f t="shared" si="177"/>
        <v>1.0001162770390795</v>
      </c>
      <c r="AL263" s="31">
        <f t="shared" si="178"/>
        <v>1.524898509666788E-2</v>
      </c>
      <c r="AM263" s="31" t="str">
        <f t="shared" si="163"/>
        <v>1+4.67502346706382i</v>
      </c>
      <c r="AN263" s="31">
        <f t="shared" si="179"/>
        <v>4.7807786413509481</v>
      </c>
      <c r="AO263" s="31">
        <f t="shared" si="180"/>
        <v>1.3600692503981666</v>
      </c>
      <c r="AP263" s="58" t="str">
        <f t="shared" si="181"/>
        <v>-0.591023150499665+0.13587787213603i</v>
      </c>
      <c r="AQ263" s="49">
        <f t="shared" si="182"/>
        <v>-4.344223297458945</v>
      </c>
      <c r="AR263" s="61">
        <f t="shared" si="183"/>
        <v>167.0525254054395</v>
      </c>
      <c r="AS263" s="58" t="str">
        <f t="shared" si="184"/>
        <v>0.121062107487036+0.129728160299149i</v>
      </c>
      <c r="AT263" s="64">
        <f t="shared" si="185"/>
        <v>-15.018903787855296</v>
      </c>
      <c r="AU263" s="61">
        <f t="shared" si="186"/>
        <v>46.979067094778067</v>
      </c>
    </row>
    <row r="264" spans="14:47" x14ac:dyDescent="0.25">
      <c r="N264" s="10">
        <v>46</v>
      </c>
      <c r="O264" s="50">
        <f t="shared" si="187"/>
        <v>2884.0315031266077</v>
      </c>
      <c r="P264" s="48" t="str">
        <f t="shared" si="155"/>
        <v>304.285714285714</v>
      </c>
      <c r="Q264" s="17" t="str">
        <f t="shared" si="156"/>
        <v>1+943.581377338038i</v>
      </c>
      <c r="R264" s="17">
        <f t="shared" si="164"/>
        <v>943.5819072338918</v>
      </c>
      <c r="S264" s="17">
        <f t="shared" si="165"/>
        <v>1.5697365351864241</v>
      </c>
      <c r="T264" s="17" t="str">
        <f t="shared" si="157"/>
        <v>1+0.0195705767151593i</v>
      </c>
      <c r="U264" s="17">
        <f t="shared" si="166"/>
        <v>1.0001914854031522</v>
      </c>
      <c r="V264" s="17">
        <f t="shared" si="167"/>
        <v>1.9568078730138296E-2</v>
      </c>
      <c r="W264" s="31" t="str">
        <f t="shared" si="158"/>
        <v>1-0.0611580522348727i</v>
      </c>
      <c r="X264" s="17">
        <f t="shared" si="168"/>
        <v>1.0018684082019771</v>
      </c>
      <c r="Y264" s="17">
        <f t="shared" si="169"/>
        <v>-6.1081972927198386E-2</v>
      </c>
      <c r="Z264" s="31" t="str">
        <f t="shared" si="159"/>
        <v>0.999477746582976+0.539502646899068i</v>
      </c>
      <c r="AA264" s="17">
        <f t="shared" si="170"/>
        <v>1.1357899770317061</v>
      </c>
      <c r="AB264" s="17">
        <f t="shared" si="171"/>
        <v>0.49496644078247931</v>
      </c>
      <c r="AC264" s="66" t="str">
        <f t="shared" si="172"/>
        <v>-0.145157867069449-0.244694131760619i</v>
      </c>
      <c r="AD264" s="64">
        <f t="shared" si="173"/>
        <v>-10.918044759328547</v>
      </c>
      <c r="AE264" s="61">
        <f t="shared" si="174"/>
        <v>-120.67733739976346</v>
      </c>
      <c r="AF264" s="31" t="str">
        <f t="shared" si="160"/>
        <v>-0.000495863624968664</v>
      </c>
      <c r="AG264" s="31" t="str">
        <f t="shared" si="161"/>
        <v>0.00399964601163883i</v>
      </c>
      <c r="AH264" s="31">
        <f t="shared" si="175"/>
        <v>3.9996460116388296E-3</v>
      </c>
      <c r="AI264" s="31">
        <f t="shared" si="176"/>
        <v>1.5707963267948966</v>
      </c>
      <c r="AJ264" s="31" t="str">
        <f t="shared" si="162"/>
        <v>1+0.0156053891893259i</v>
      </c>
      <c r="AK264" s="31">
        <f t="shared" si="177"/>
        <v>1.0001217566735314</v>
      </c>
      <c r="AL264" s="31">
        <f t="shared" si="178"/>
        <v>1.5604122590426015E-2</v>
      </c>
      <c r="AM264" s="31" t="str">
        <f t="shared" si="163"/>
        <v>1+4.78391875259448i</v>
      </c>
      <c r="AN264" s="31">
        <f t="shared" si="179"/>
        <v>4.8873181430540331</v>
      </c>
      <c r="AO264" s="31">
        <f t="shared" si="180"/>
        <v>1.3647298458181885</v>
      </c>
      <c r="AP264" s="58" t="str">
        <f t="shared" si="181"/>
        <v>-0.59101667412432+0.133199923052209i</v>
      </c>
      <c r="AQ264" s="49">
        <f t="shared" si="182"/>
        <v>-4.3528313857836416</v>
      </c>
      <c r="AR264" s="61">
        <f t="shared" si="183"/>
        <v>167.29920997348563</v>
      </c>
      <c r="AS264" s="58" t="str">
        <f t="shared" si="184"/>
        <v>0.118383959340207+0.125283295206826i</v>
      </c>
      <c r="AT264" s="64">
        <f t="shared" si="185"/>
        <v>-15.270876145112195</v>
      </c>
      <c r="AU264" s="61">
        <f t="shared" si="186"/>
        <v>46.621872573722321</v>
      </c>
    </row>
    <row r="265" spans="14:47" x14ac:dyDescent="0.25">
      <c r="N265" s="10">
        <v>47</v>
      </c>
      <c r="O265" s="50">
        <f t="shared" si="187"/>
        <v>2951.2092266663876</v>
      </c>
      <c r="P265" s="48" t="str">
        <f t="shared" si="155"/>
        <v>304.285714285714</v>
      </c>
      <c r="Q265" s="17" t="str">
        <f t="shared" si="156"/>
        <v>1+965.560211076635i</v>
      </c>
      <c r="R265" s="17">
        <f t="shared" si="164"/>
        <v>965.56072891059318</v>
      </c>
      <c r="S265" s="17">
        <f t="shared" si="165"/>
        <v>1.5697606589711894</v>
      </c>
      <c r="T265" s="17" t="str">
        <f t="shared" si="157"/>
        <v>1+0.0200264340075153i</v>
      </c>
      <c r="U265" s="17">
        <f t="shared" si="166"/>
        <v>1.0002005089276136</v>
      </c>
      <c r="V265" s="17">
        <f t="shared" si="167"/>
        <v>2.0023757397320475E-2</v>
      </c>
      <c r="W265" s="31" t="str">
        <f t="shared" si="158"/>
        <v>1-0.0625826062734855i</v>
      </c>
      <c r="X265" s="17">
        <f t="shared" si="168"/>
        <v>1.0019563775973395</v>
      </c>
      <c r="Y265" s="17">
        <f t="shared" si="169"/>
        <v>-6.2501094420895895E-2</v>
      </c>
      <c r="Z265" s="31" t="str">
        <f t="shared" si="159"/>
        <v>0.999453133537717+0.552069277888733i</v>
      </c>
      <c r="AA265" s="17">
        <f t="shared" si="170"/>
        <v>1.141791160294626</v>
      </c>
      <c r="AB265" s="17">
        <f t="shared" si="171"/>
        <v>0.50466200286156693</v>
      </c>
      <c r="AC265" s="66" t="str">
        <f t="shared" si="172"/>
        <v>-0.143655076072475-0.236369261266362i</v>
      </c>
      <c r="AD265" s="64">
        <f t="shared" si="173"/>
        <v>-11.162976434437917</v>
      </c>
      <c r="AE265" s="61">
        <f t="shared" si="174"/>
        <v>-121.28943558571665</v>
      </c>
      <c r="AF265" s="31" t="str">
        <f t="shared" si="160"/>
        <v>-0.000495863624968664</v>
      </c>
      <c r="AG265" s="31" t="str">
        <f t="shared" si="161"/>
        <v>0.00409280973531369i</v>
      </c>
      <c r="AH265" s="31">
        <f t="shared" si="175"/>
        <v>4.0928097353136903E-3</v>
      </c>
      <c r="AI265" s="31">
        <f t="shared" si="176"/>
        <v>1.5707963267948966</v>
      </c>
      <c r="AJ265" s="31" t="str">
        <f t="shared" si="162"/>
        <v>1+0.015968885399251i</v>
      </c>
      <c r="AK265" s="31">
        <f t="shared" si="177"/>
        <v>1.0001274945230205</v>
      </c>
      <c r="AL265" s="31">
        <f t="shared" si="178"/>
        <v>1.5967528223421772E-2</v>
      </c>
      <c r="AM265" s="31" t="str">
        <f t="shared" si="163"/>
        <v>1+4.89535053517042i</v>
      </c>
      <c r="AN265" s="31">
        <f t="shared" si="179"/>
        <v>4.9964444220058439</v>
      </c>
      <c r="AO265" s="31">
        <f t="shared" si="180"/>
        <v>1.3692931446906316</v>
      </c>
      <c r="AP265" s="58" t="str">
        <f t="shared" si="181"/>
        <v>-0.591009892678925+0.130592588804382i</v>
      </c>
      <c r="AQ265" s="49">
        <f t="shared" si="182"/>
        <v>-4.3610722124234176</v>
      </c>
      <c r="AR265" s="61">
        <f t="shared" si="183"/>
        <v>167.53984613051142</v>
      </c>
      <c r="AS265" s="58" t="str">
        <f t="shared" si="184"/>
        <v>0.11576964483493+0.120936283454434i</v>
      </c>
      <c r="AT265" s="64">
        <f t="shared" si="185"/>
        <v>-15.524048646861345</v>
      </c>
      <c r="AU265" s="61">
        <f t="shared" si="186"/>
        <v>46.250410544794633</v>
      </c>
    </row>
    <row r="266" spans="14:47" x14ac:dyDescent="0.25">
      <c r="N266" s="10">
        <v>48</v>
      </c>
      <c r="O266" s="50">
        <f t="shared" si="187"/>
        <v>3019.9517204020176</v>
      </c>
      <c r="P266" s="48" t="str">
        <f t="shared" si="155"/>
        <v>304.285714285714</v>
      </c>
      <c r="Q266" s="17" t="str">
        <f t="shared" si="156"/>
        <v>1+988.050997619847i</v>
      </c>
      <c r="R266" s="17">
        <f t="shared" si="164"/>
        <v>988.05150366647115</v>
      </c>
      <c r="S266" s="17">
        <f t="shared" si="165"/>
        <v>1.5697842336327372</v>
      </c>
      <c r="T266" s="17" t="str">
        <f t="shared" si="157"/>
        <v>1+0.0204929095802634i</v>
      </c>
      <c r="U266" s="17">
        <f t="shared" si="166"/>
        <v>1.0002099576304291</v>
      </c>
      <c r="V266" s="17">
        <f t="shared" si="167"/>
        <v>2.0490041573281582E-2</v>
      </c>
      <c r="W266" s="31" t="str">
        <f t="shared" si="158"/>
        <v>1-0.0640403424383233i</v>
      </c>
      <c r="X266" s="17">
        <f t="shared" si="168"/>
        <v>1.0020484845852609</v>
      </c>
      <c r="Y266" s="17">
        <f t="shared" si="169"/>
        <v>-6.3953010555168679E-2</v>
      </c>
      <c r="Z266" s="31" t="str">
        <f t="shared" si="159"/>
        <v>0.999427360515372+0.564928623317037i</v>
      </c>
      <c r="AA266" s="17">
        <f t="shared" si="170"/>
        <v>1.1480415490693732</v>
      </c>
      <c r="AB266" s="17">
        <f t="shared" si="171"/>
        <v>0.51447777615622936</v>
      </c>
      <c r="AC266" s="66" t="str">
        <f t="shared" si="172"/>
        <v>-0.142113791775938-0.228229563569958i</v>
      </c>
      <c r="AD266" s="64">
        <f t="shared" si="173"/>
        <v>-11.409514331282187</v>
      </c>
      <c r="AE266" s="61">
        <f t="shared" si="174"/>
        <v>-121.90966124813248</v>
      </c>
      <c r="AF266" s="31" t="str">
        <f t="shared" si="160"/>
        <v>-0.000495863624968664</v>
      </c>
      <c r="AG266" s="31" t="str">
        <f t="shared" si="161"/>
        <v>0.00418814352088494i</v>
      </c>
      <c r="AH266" s="31">
        <f t="shared" si="175"/>
        <v>4.1881435208849403E-3</v>
      </c>
      <c r="AI266" s="31">
        <f t="shared" si="176"/>
        <v>1.5707963267948966</v>
      </c>
      <c r="AJ266" s="31" t="str">
        <f t="shared" si="162"/>
        <v>1+0.016340848523588i</v>
      </c>
      <c r="AK266" s="31">
        <f t="shared" si="177"/>
        <v>1.0001335027537428</v>
      </c>
      <c r="AL266" s="31">
        <f t="shared" si="178"/>
        <v>1.6339394293970338E-2</v>
      </c>
      <c r="AM266" s="31" t="str">
        <f t="shared" si="163"/>
        <v>1+5.00937789739773i</v>
      </c>
      <c r="AN266" s="31">
        <f t="shared" si="179"/>
        <v>5.1082156296437704</v>
      </c>
      <c r="AO266" s="31">
        <f t="shared" si="180"/>
        <v>1.3737608059814315</v>
      </c>
      <c r="AP266" s="58" t="str">
        <f t="shared" si="181"/>
        <v>-0.591002791800658+0.128054486268455i</v>
      </c>
      <c r="AQ266" s="49">
        <f t="shared" si="182"/>
        <v>-4.3689611792085374</v>
      </c>
      <c r="AR266" s="61">
        <f t="shared" si="183"/>
        <v>167.77451791038175</v>
      </c>
      <c r="AS266" s="58" t="str">
        <f t="shared" si="184"/>
        <v>0.113215467207181+0.116686000643761i</v>
      </c>
      <c r="AT266" s="64">
        <f t="shared" si="185"/>
        <v>-15.778475510490736</v>
      </c>
      <c r="AU266" s="61">
        <f t="shared" si="186"/>
        <v>45.864856662249345</v>
      </c>
    </row>
    <row r="267" spans="14:47" x14ac:dyDescent="0.25">
      <c r="N267" s="10">
        <v>49</v>
      </c>
      <c r="O267" s="50">
        <f t="shared" si="187"/>
        <v>3090.295432513592</v>
      </c>
      <c r="P267" s="48" t="str">
        <f t="shared" si="155"/>
        <v>304.285714285714</v>
      </c>
      <c r="Q267" s="17" t="str">
        <f t="shared" si="156"/>
        <v>1+1011.0656618804i</v>
      </c>
      <c r="R267" s="17">
        <f t="shared" si="164"/>
        <v>1011.0661564080024</v>
      </c>
      <c r="S267" s="17">
        <f t="shared" si="165"/>
        <v>1.5698072716705602</v>
      </c>
      <c r="T267" s="17" t="str">
        <f t="shared" si="157"/>
        <v>1+0.0209702507649267i</v>
      </c>
      <c r="U267" s="17">
        <f t="shared" si="166"/>
        <v>1.0002198515412219</v>
      </c>
      <c r="V267" s="17">
        <f t="shared" si="167"/>
        <v>2.0967177676559024E-2</v>
      </c>
      <c r="W267" s="31" t="str">
        <f t="shared" si="158"/>
        <v>1-0.065532033640396i</v>
      </c>
      <c r="X267" s="17">
        <f t="shared" si="168"/>
        <v>1.0021449233683948</v>
      </c>
      <c r="Y267" s="17">
        <f t="shared" si="169"/>
        <v>-6.5438466655544605E-2</v>
      </c>
      <c r="Z267" s="31" t="str">
        <f t="shared" si="159"/>
        <v>0.999400372847905+0.578087501379138i</v>
      </c>
      <c r="AA267" s="17">
        <f t="shared" si="170"/>
        <v>1.1545502433845425</v>
      </c>
      <c r="AB267" s="17">
        <f t="shared" si="171"/>
        <v>0.52441145178048187</v>
      </c>
      <c r="AC267" s="66" t="str">
        <f t="shared" si="172"/>
        <v>-0.140534327108888-0.220272936185238i</v>
      </c>
      <c r="AD267" s="64">
        <f t="shared" si="173"/>
        <v>-11.65769693124145</v>
      </c>
      <c r="AE267" s="61">
        <f t="shared" si="174"/>
        <v>-122.53791139902231</v>
      </c>
      <c r="AF267" s="31" t="str">
        <f t="shared" si="160"/>
        <v>-0.000495863624968664</v>
      </c>
      <c r="AG267" s="31" t="str">
        <f t="shared" si="161"/>
        <v>0.00428569791558761i</v>
      </c>
      <c r="AH267" s="31">
        <f t="shared" si="175"/>
        <v>4.2856979155876098E-3</v>
      </c>
      <c r="AI267" s="31">
        <f t="shared" si="176"/>
        <v>1.5707963267948966</v>
      </c>
      <c r="AJ267" s="31" t="str">
        <f t="shared" si="162"/>
        <v>1+0.0167214757821089i</v>
      </c>
      <c r="AK267" s="31">
        <f t="shared" si="177"/>
        <v>1.0001397941049699</v>
      </c>
      <c r="AL267" s="31">
        <f t="shared" si="178"/>
        <v>1.6719917558762312E-2</v>
      </c>
      <c r="AM267" s="31" t="str">
        <f t="shared" si="163"/>
        <v>1+5.12606129809319i</v>
      </c>
      <c r="AN267" s="31">
        <f t="shared" si="179"/>
        <v>5.2226913016000518</v>
      </c>
      <c r="AO267" s="31">
        <f t="shared" si="180"/>
        <v>1.3781344847690864</v>
      </c>
      <c r="AP267" s="58" t="str">
        <f t="shared" si="181"/>
        <v>-0.590995356451184+0.125584268979244i</v>
      </c>
      <c r="AQ267" s="49">
        <f t="shared" si="182"/>
        <v>-4.3765131151353254</v>
      </c>
      <c r="AR267" s="61">
        <f t="shared" si="183"/>
        <v>168.00330886878112</v>
      </c>
      <c r="AS267" s="58" t="str">
        <f t="shared" si="184"/>
        <v>0.110717950410079+0.112531381700884i</v>
      </c>
      <c r="AT267" s="64">
        <f t="shared" si="185"/>
        <v>-16.034210046376785</v>
      </c>
      <c r="AU267" s="61">
        <f t="shared" si="186"/>
        <v>45.465397469758905</v>
      </c>
    </row>
    <row r="268" spans="14:47" x14ac:dyDescent="0.25">
      <c r="N268" s="10">
        <v>50</v>
      </c>
      <c r="O268" s="50">
        <f t="shared" si="187"/>
        <v>3162.2776601683804</v>
      </c>
      <c r="P268" s="48" t="str">
        <f t="shared" si="155"/>
        <v>304.285714285714</v>
      </c>
      <c r="Q268" s="17" t="str">
        <f t="shared" si="156"/>
        <v>1+1034.61640653791i</v>
      </c>
      <c r="R268" s="17">
        <f t="shared" si="164"/>
        <v>1034.6168898086953</v>
      </c>
      <c r="S268" s="17">
        <f t="shared" si="165"/>
        <v>1.5698297852996332</v>
      </c>
      <c r="T268" s="17" t="str">
        <f t="shared" si="157"/>
        <v>1+0.0214587106541196i</v>
      </c>
      <c r="U268" s="17">
        <f t="shared" si="166"/>
        <v>1.0002302116327706</v>
      </c>
      <c r="V268" s="17">
        <f t="shared" si="167"/>
        <v>2.1455417821537995E-2</v>
      </c>
      <c r="W268" s="31" t="str">
        <f t="shared" si="158"/>
        <v>1-0.0670584707941237i</v>
      </c>
      <c r="X268" s="17">
        <f t="shared" si="168"/>
        <v>1.0022458972254495</v>
      </c>
      <c r="Y268" s="17">
        <f t="shared" si="169"/>
        <v>-6.6958224093515442E-2</v>
      </c>
      <c r="Z268" s="31" t="str">
        <f t="shared" si="159"/>
        <v>0.999372113290855+0.591552889086361i</v>
      </c>
      <c r="AA268" s="17">
        <f t="shared" si="170"/>
        <v>1.1613265868866733</v>
      </c>
      <c r="AB268" s="17">
        <f t="shared" si="171"/>
        <v>0.53446051006161177</v>
      </c>
      <c r="AC268" s="66" t="str">
        <f t="shared" si="172"/>
        <v>-0.138917088780467-0.212497380625636i</v>
      </c>
      <c r="AD268" s="64">
        <f t="shared" si="173"/>
        <v>-11.907562277703896</v>
      </c>
      <c r="AE268" s="61">
        <f t="shared" si="174"/>
        <v>-123.17407154992257</v>
      </c>
      <c r="AF268" s="31" t="str">
        <f t="shared" si="160"/>
        <v>-0.000495863624968664</v>
      </c>
      <c r="AG268" s="31" t="str">
        <f t="shared" si="161"/>
        <v>0.00438552464405303i</v>
      </c>
      <c r="AH268" s="31">
        <f t="shared" si="175"/>
        <v>4.3855246440530297E-3</v>
      </c>
      <c r="AI268" s="31">
        <f t="shared" si="176"/>
        <v>1.5707963267948966</v>
      </c>
      <c r="AJ268" s="31" t="str">
        <f t="shared" si="162"/>
        <v>1+0.0171109689884244i</v>
      </c>
      <c r="AK268" s="31">
        <f t="shared" si="177"/>
        <v>1.0001463819160288</v>
      </c>
      <c r="AL268" s="31">
        <f t="shared" si="178"/>
        <v>1.7109299335224697E-2</v>
      </c>
      <c r="AM268" s="31" t="str">
        <f t="shared" si="163"/>
        <v>1+5.24546260434034i</v>
      </c>
      <c r="AN268" s="31">
        <f t="shared" si="179"/>
        <v>5.339932390352236</v>
      </c>
      <c r="AO268" s="31">
        <f t="shared" si="180"/>
        <v>1.3824158304004033</v>
      </c>
      <c r="AP268" s="58" t="str">
        <f t="shared" si="181"/>
        <v>-0.590987570885003+0.123180626413088i</v>
      </c>
      <c r="AQ268" s="49">
        <f t="shared" si="182"/>
        <v>-4.3837422936997692</v>
      </c>
      <c r="AR268" s="61">
        <f t="shared" si="183"/>
        <v>168.22630197168178</v>
      </c>
      <c r="AS268" s="58" t="str">
        <f t="shared" si="184"/>
        <v>0.108273833309391+0.10847141677991i</v>
      </c>
      <c r="AT268" s="64">
        <f t="shared" si="185"/>
        <v>-16.291304571403657</v>
      </c>
      <c r="AU268" s="61">
        <f t="shared" si="186"/>
        <v>45.052230421759106</v>
      </c>
    </row>
    <row r="269" spans="14:47" x14ac:dyDescent="0.25">
      <c r="N269" s="10">
        <v>51</v>
      </c>
      <c r="O269" s="50">
        <f t="shared" si="187"/>
        <v>3235.9365692962833</v>
      </c>
      <c r="P269" s="48" t="str">
        <f t="shared" si="155"/>
        <v>304.285714285714</v>
      </c>
      <c r="Q269" s="17" t="str">
        <f t="shared" si="156"/>
        <v>1+1058.71571850894i</v>
      </c>
      <c r="R269" s="17">
        <f t="shared" si="164"/>
        <v>1058.7161907791442</v>
      </c>
      <c r="S269" s="17">
        <f t="shared" si="165"/>
        <v>1.5698517864568888</v>
      </c>
      <c r="T269" s="17" t="str">
        <f t="shared" si="157"/>
        <v>1+0.0219585482357409i</v>
      </c>
      <c r="U269" s="17">
        <f t="shared" si="166"/>
        <v>1.0002410598653815</v>
      </c>
      <c r="V269" s="17">
        <f t="shared" si="167"/>
        <v>2.1955019947984804E-2</v>
      </c>
      <c r="W269" s="31" t="str">
        <f t="shared" si="158"/>
        <v>1-0.0686204632366904i</v>
      </c>
      <c r="X269" s="17">
        <f t="shared" si="168"/>
        <v>1.0023516189316093</v>
      </c>
      <c r="Y269" s="17">
        <f t="shared" si="169"/>
        <v>-6.8513060567767237E-2</v>
      </c>
      <c r="Z269" s="31" t="str">
        <f t="shared" si="159"/>
        <v>0.999342521901912+0.605331925965507i</v>
      </c>
      <c r="AA269" s="17">
        <f t="shared" si="170"/>
        <v>1.1683801678710501</v>
      </c>
      <c r="AB269" s="17">
        <f t="shared" si="171"/>
        <v>0.54462221876650274</v>
      </c>
      <c r="AC269" s="66" t="str">
        <f t="shared" si="172"/>
        <v>-0.137262580483248-0.204900994497914i</v>
      </c>
      <c r="AD269" s="64">
        <f t="shared" si="173"/>
        <v>-12.159147868531122</v>
      </c>
      <c r="AE269" s="61">
        <f t="shared" si="174"/>
        <v>-123.8180156193357</v>
      </c>
      <c r="AF269" s="31" t="str">
        <f t="shared" si="160"/>
        <v>-0.000495863624968664</v>
      </c>
      <c r="AG269" s="31" t="str">
        <f t="shared" si="161"/>
        <v>0.00448767663573402i</v>
      </c>
      <c r="AH269" s="31">
        <f t="shared" si="175"/>
        <v>4.4876766357340196E-3</v>
      </c>
      <c r="AI269" s="31">
        <f t="shared" si="176"/>
        <v>1.5707963267948966</v>
      </c>
      <c r="AJ269" s="31" t="str">
        <f t="shared" si="162"/>
        <v>1+0.017509534656988i</v>
      </c>
      <c r="AK269" s="31">
        <f t="shared" si="177"/>
        <v>1.0001532801545492</v>
      </c>
      <c r="AL269" s="31">
        <f t="shared" si="178"/>
        <v>1.7507745606159631E-2</v>
      </c>
      <c r="AM269" s="31" t="str">
        <f t="shared" si="163"/>
        <v>1+5.36764512429222i</v>
      </c>
      <c r="AN269" s="31">
        <f t="shared" si="179"/>
        <v>5.4600012985655999</v>
      </c>
      <c r="AO269" s="31">
        <f t="shared" si="180"/>
        <v>1.3866064847846156</v>
      </c>
      <c r="AP269" s="58" t="str">
        <f t="shared" si="181"/>
        <v>-0.590979418616252+0.120842283289269i</v>
      </c>
      <c r="AQ269" s="49">
        <f t="shared" si="182"/>
        <v>-4.3906624501567562</v>
      </c>
      <c r="AR269" s="61">
        <f t="shared" si="183"/>
        <v>168.44357949160789</v>
      </c>
      <c r="AS269" s="58" t="str">
        <f t="shared" si="184"/>
        <v>0.105880064035126+0.104505146966496i</v>
      </c>
      <c r="AT269" s="64">
        <f t="shared" si="185"/>
        <v>-16.549810318687904</v>
      </c>
      <c r="AU269" s="61">
        <f t="shared" si="186"/>
        <v>44.62556387227216</v>
      </c>
    </row>
    <row r="270" spans="14:47" x14ac:dyDescent="0.25">
      <c r="N270" s="10">
        <v>52</v>
      </c>
      <c r="O270" s="50">
        <f t="shared" si="187"/>
        <v>3311.3112148259115</v>
      </c>
      <c r="P270" s="48" t="str">
        <f t="shared" si="155"/>
        <v>304.285714285714</v>
      </c>
      <c r="Q270" s="17" t="str">
        <f t="shared" si="156"/>
        <v>1+1083.37637556768i</v>
      </c>
      <c r="R270" s="17">
        <f t="shared" si="164"/>
        <v>1083.3768370877065</v>
      </c>
      <c r="S270" s="17">
        <f t="shared" si="165"/>
        <v>1.5698732868075469</v>
      </c>
      <c r="T270" s="17" t="str">
        <f t="shared" si="157"/>
        <v>1+0.0224700285302927i</v>
      </c>
      <c r="U270" s="17">
        <f t="shared" si="166"/>
        <v>1.0002524192333413</v>
      </c>
      <c r="V270" s="17">
        <f t="shared" si="167"/>
        <v>2.2466247953373566E-2</v>
      </c>
      <c r="W270" s="31" t="str">
        <f t="shared" si="158"/>
        <v>1-0.0702188391571646i</v>
      </c>
      <c r="X270" s="17">
        <f t="shared" si="168"/>
        <v>1.0024623111980717</v>
      </c>
      <c r="Y270" s="17">
        <f t="shared" si="169"/>
        <v>-7.010377038552533E-2</v>
      </c>
      <c r="Z270" s="31" t="str">
        <f t="shared" si="159"/>
        <v>0.999311535913774+0.619431917844318i</v>
      </c>
      <c r="AA270" s="17">
        <f t="shared" si="170"/>
        <v>1.1757208200311142</v>
      </c>
      <c r="AB270" s="17">
        <f t="shared" si="171"/>
        <v>0.55489363208453302</v>
      </c>
      <c r="AC270" s="66" t="str">
        <f>(IMDIV(IMPRODUCT(P270,T270,W270),IMPRODUCT(Q270,Z270)))</f>
        <v>-0.135571405693051-0.19748196324086i</v>
      </c>
      <c r="AD270" s="64">
        <f t="shared" si="173"/>
        <v>-12.412490545200088</v>
      </c>
      <c r="AE270" s="61">
        <f t="shared" si="174"/>
        <v>-124.46960588335403</v>
      </c>
      <c r="AF270" s="31" t="str">
        <f t="shared" si="160"/>
        <v>-0.000495863624968664</v>
      </c>
      <c r="AG270" s="31" t="str">
        <f t="shared" si="161"/>
        <v>0.00459220805296869i</v>
      </c>
      <c r="AH270" s="31">
        <f t="shared" si="175"/>
        <v>4.5922080529686897E-3</v>
      </c>
      <c r="AI270" s="31">
        <f t="shared" si="176"/>
        <v>1.5707963267948966</v>
      </c>
      <c r="AJ270" s="31" t="str">
        <f t="shared" si="162"/>
        <v>1+0.0179173841125929i</v>
      </c>
      <c r="AK270" s="31">
        <f t="shared" si="177"/>
        <v>1.000160503446041</v>
      </c>
      <c r="AL270" s="31">
        <f t="shared" si="178"/>
        <v>1.7915467126706948E-2</v>
      </c>
      <c r="AM270" s="31" t="str">
        <f t="shared" si="163"/>
        <v>1+5.4926736407382i</v>
      </c>
      <c r="AN270" s="31">
        <f t="shared" si="179"/>
        <v>5.5829619131479156</v>
      </c>
      <c r="AO270" s="31">
        <f t="shared" si="180"/>
        <v>1.3907080808194097</v>
      </c>
      <c r="AP270" s="58" t="str">
        <f t="shared" si="181"/>
        <v>-0.590970882383963+0.118567998889852i</v>
      </c>
      <c r="AQ270" s="49">
        <f t="shared" si="182"/>
        <v>-4.3972867986600495</v>
      </c>
      <c r="AR270" s="61">
        <f t="shared" si="183"/>
        <v>168.65522291132507</v>
      </c>
      <c r="AS270" s="58" t="str">
        <f t="shared" si="184"/>
        <v>0.103533794446765+0.100631659791659i</v>
      </c>
      <c r="AT270" s="64">
        <f t="shared" si="185"/>
        <v>-16.809777343860123</v>
      </c>
      <c r="AU270" s="61">
        <f t="shared" si="186"/>
        <v>44.185617027970935</v>
      </c>
    </row>
    <row r="271" spans="14:47" x14ac:dyDescent="0.25">
      <c r="N271" s="10">
        <v>53</v>
      </c>
      <c r="O271" s="50">
        <f t="shared" si="187"/>
        <v>3388.4415613920314</v>
      </c>
      <c r="P271" s="48" t="str">
        <f t="shared" si="155"/>
        <v>304.285714285714</v>
      </c>
      <c r="Q271" s="17" t="str">
        <f t="shared" si="156"/>
        <v>1+1108.61145312093i</v>
      </c>
      <c r="R271" s="17">
        <f t="shared" si="164"/>
        <v>1108.6119041354825</v>
      </c>
      <c r="S271" s="17">
        <f t="shared" si="165"/>
        <v>1.569894297751298</v>
      </c>
      <c r="T271" s="17" t="str">
        <f t="shared" si="157"/>
        <v>1+0.0229934227313971i</v>
      </c>
      <c r="U271" s="17">
        <f t="shared" si="166"/>
        <v>1.0002643138135563</v>
      </c>
      <c r="V271" s="17">
        <f t="shared" si="167"/>
        <v>2.298937182805446E-2</v>
      </c>
      <c r="W271" s="31" t="str">
        <f t="shared" si="158"/>
        <v>1-0.071854446035616i</v>
      </c>
      <c r="X271" s="17">
        <f t="shared" si="168"/>
        <v>1.0025782071315361</v>
      </c>
      <c r="Y271" s="17">
        <f t="shared" si="169"/>
        <v>-7.1731164743579739E-2</v>
      </c>
      <c r="Z271" s="31" t="str">
        <f t="shared" si="159"/>
        <v>0.999279089601005+0.633860340725119i</v>
      </c>
      <c r="AA271" s="17">
        <f t="shared" si="170"/>
        <v>1.1833586229279682</v>
      </c>
      <c r="AB271" s="17">
        <f t="shared" si="171"/>
        <v>0.56527159041476316</v>
      </c>
      <c r="AC271" s="66" t="str">
        <f t="shared" si="172"/>
        <v>-0.133844270016582-0.190238551534807i</v>
      </c>
      <c r="AD271" s="64">
        <f t="shared" si="173"/>
        <v>-12.667626379068469</v>
      </c>
      <c r="AE271" s="61">
        <f t="shared" si="174"/>
        <v>-125.1286929721774</v>
      </c>
      <c r="AF271" s="31" t="str">
        <f t="shared" si="160"/>
        <v>-0.000495863624968664</v>
      </c>
      <c r="AG271" s="31" t="str">
        <f t="shared" si="161"/>
        <v>0.00469917431969811i</v>
      </c>
      <c r="AH271" s="31">
        <f t="shared" si="175"/>
        <v>4.6991743196981104E-3</v>
      </c>
      <c r="AI271" s="31">
        <f t="shared" si="176"/>
        <v>1.5707963267948966</v>
      </c>
      <c r="AJ271" s="31" t="str">
        <f t="shared" si="162"/>
        <v>1+0.0183347336024188i</v>
      </c>
      <c r="AK271" s="31">
        <f t="shared" si="177"/>
        <v>1.0001680671048601</v>
      </c>
      <c r="AL271" s="31">
        <f t="shared" si="178"/>
        <v>1.8332679533675737E-2</v>
      </c>
      <c r="AM271" s="31" t="str">
        <f t="shared" si="163"/>
        <v>1+5.62061444545262i</v>
      </c>
      <c r="AN271" s="31">
        <f t="shared" si="179"/>
        <v>5.7088796400371464</v>
      </c>
      <c r="AO271" s="31">
        <f t="shared" si="180"/>
        <v>1.3947222409424782</v>
      </c>
      <c r="AP271" s="58" t="str">
        <f t="shared" si="181"/>
        <v>-0.590961944115746+0.116356566397567i</v>
      </c>
      <c r="AQ271" s="49">
        <f t="shared" si="182"/>
        <v>-4.4036280492434363</v>
      </c>
      <c r="AR271" s="61">
        <f t="shared" si="183"/>
        <v>168.86131283458693</v>
      </c>
      <c r="AS271" s="58" t="str">
        <f t="shared" si="184"/>
        <v>0.101232374670789+0.0968500845696548i</v>
      </c>
      <c r="AT271" s="64">
        <f t="shared" si="185"/>
        <v>-17.071254428311896</v>
      </c>
      <c r="AU271" s="61">
        <f t="shared" si="186"/>
        <v>43.732619862409493</v>
      </c>
    </row>
    <row r="272" spans="14:47" x14ac:dyDescent="0.25">
      <c r="N272" s="10">
        <v>54</v>
      </c>
      <c r="O272" s="50">
        <f t="shared" si="187"/>
        <v>3467.3685045253224</v>
      </c>
      <c r="P272" s="48" t="str">
        <f t="shared" si="155"/>
        <v>304.285714285714</v>
      </c>
      <c r="Q272" s="17" t="str">
        <f t="shared" si="156"/>
        <v>1+1134.43433114084i</v>
      </c>
      <c r="R272" s="17">
        <f t="shared" si="164"/>
        <v>1134.4347718890517</v>
      </c>
      <c r="S272" s="17">
        <f t="shared" si="165"/>
        <v>1.5699148304283486</v>
      </c>
      <c r="T272" s="17" t="str">
        <f t="shared" si="157"/>
        <v>1+0.0235290083495877i</v>
      </c>
      <c r="U272" s="17">
        <f t="shared" si="166"/>
        <v>1.0002767688164687</v>
      </c>
      <c r="V272" s="17">
        <f t="shared" si="167"/>
        <v>2.3524667793315333E-2</v>
      </c>
      <c r="W272" s="31" t="str">
        <f t="shared" si="158"/>
        <v>1-0.0735281510924615i</v>
      </c>
      <c r="X272" s="17">
        <f t="shared" si="168"/>
        <v>1.0026995507145078</v>
      </c>
      <c r="Y272" s="17">
        <f t="shared" si="169"/>
        <v>-7.3396072008517318E-2</v>
      </c>
      <c r="Z272" s="31" t="str">
        <f t="shared" si="159"/>
        <v>0.999245114140626+0.648624844748706i</v>
      </c>
      <c r="AA272" s="17">
        <f t="shared" si="170"/>
        <v>1.1913039021841554</v>
      </c>
      <c r="AB272" s="17">
        <f t="shared" si="171"/>
        <v>0.57575272100143426</v>
      </c>
      <c r="AC272" s="66" t="str">
        <f t="shared" si="172"/>
        <v>-0.132081983039631-0.183169094413913i</v>
      </c>
      <c r="AD272" s="64">
        <f t="shared" si="173"/>
        <v>-12.924590555264338</v>
      </c>
      <c r="AE272" s="61">
        <f t="shared" si="174"/>
        <v>-125.79511591501802</v>
      </c>
      <c r="AF272" s="31" t="str">
        <f t="shared" si="160"/>
        <v>-0.000495863624968664</v>
      </c>
      <c r="AG272" s="31" t="str">
        <f t="shared" si="161"/>
        <v>0.00480863215085276i</v>
      </c>
      <c r="AH272" s="31">
        <f t="shared" si="175"/>
        <v>4.8086321508527602E-3</v>
      </c>
      <c r="AI272" s="31">
        <f t="shared" si="176"/>
        <v>1.5707963267948966</v>
      </c>
      <c r="AJ272" s="31" t="str">
        <f t="shared" si="162"/>
        <v>1+0.0187618044106896i</v>
      </c>
      <c r="AK272" s="31">
        <f t="shared" si="177"/>
        <v>1.0001759871666311</v>
      </c>
      <c r="AL272" s="31">
        <f t="shared" si="178"/>
        <v>1.8759603457292884E-2</v>
      </c>
      <c r="AM272" s="31" t="str">
        <f t="shared" si="163"/>
        <v>1+5.75153537434365i</v>
      </c>
      <c r="AN272" s="31">
        <f t="shared" si="179"/>
        <v>5.8378214397432844</v>
      </c>
      <c r="AO272" s="31">
        <f t="shared" si="180"/>
        <v>1.3986505758023393</v>
      </c>
      <c r="AP272" s="58" t="str">
        <f t="shared" si="181"/>
        <v>-0.590952584889707+0.114206812251365i</v>
      </c>
      <c r="AQ272" s="49">
        <f t="shared" si="182"/>
        <v>-4.4096984246102799</v>
      </c>
      <c r="AR272" s="61">
        <f t="shared" si="183"/>
        <v>169.06192890357451</v>
      </c>
      <c r="AS272" s="58" t="str">
        <f t="shared" si="184"/>
        <v>0.0989733476706107+0.0931595875770136i</v>
      </c>
      <c r="AT272" s="64">
        <f t="shared" si="185"/>
        <v>-17.334288979874618</v>
      </c>
      <c r="AU272" s="61">
        <f t="shared" si="186"/>
        <v>43.266812988556545</v>
      </c>
    </row>
    <row r="273" spans="14:47" x14ac:dyDescent="0.25">
      <c r="N273" s="10">
        <v>55</v>
      </c>
      <c r="O273" s="50">
        <f t="shared" si="187"/>
        <v>3548.1338923357539</v>
      </c>
      <c r="P273" s="48" t="str">
        <f t="shared" si="155"/>
        <v>304.285714285714</v>
      </c>
      <c r="Q273" s="17" t="str">
        <f t="shared" si="156"/>
        <v>1+1160.85870125912i</v>
      </c>
      <c r="R273" s="17">
        <f t="shared" si="164"/>
        <v>1160.8591319746813</v>
      </c>
      <c r="S273" s="17">
        <f t="shared" si="165"/>
        <v>1.5699348957253265</v>
      </c>
      <c r="T273" s="17" t="str">
        <f t="shared" si="157"/>
        <v>1+0.0240770693594483i</v>
      </c>
      <c r="U273" s="17">
        <f t="shared" si="166"/>
        <v>1.0002898106393665</v>
      </c>
      <c r="V273" s="17">
        <f t="shared" si="167"/>
        <v>2.4072418442381734E-2</v>
      </c>
      <c r="W273" s="31" t="str">
        <f t="shared" si="158"/>
        <v>1-0.075240841748276i</v>
      </c>
      <c r="X273" s="17">
        <f t="shared" si="168"/>
        <v>1.0028265973073256</v>
      </c>
      <c r="Y273" s="17">
        <f t="shared" si="169"/>
        <v>-7.5099337995641488E-2</v>
      </c>
      <c r="Z273" s="31" t="str">
        <f t="shared" si="159"/>
        <v>0.999209537466129+0.663733258250539i</v>
      </c>
      <c r="AA273" s="17">
        <f t="shared" si="170"/>
        <v>1.199567229408653</v>
      </c>
      <c r="AB273" s="17">
        <f t="shared" si="171"/>
        <v>0.58633343945732208</v>
      </c>
      <c r="AC273" s="66" t="str">
        <f t="shared" si="172"/>
        <v>-0.130285459630832-0.176271988119395i</v>
      </c>
      <c r="AD273" s="64">
        <f t="shared" si="173"/>
        <v>-13.183417254747754</v>
      </c>
      <c r="AE273" s="61">
        <f t="shared" si="174"/>
        <v>-126.46870223562139</v>
      </c>
      <c r="AF273" s="31" t="str">
        <f t="shared" si="160"/>
        <v>-0.000495863624968664</v>
      </c>
      <c r="AG273" s="31" t="str">
        <f t="shared" si="161"/>
        <v>0.00492063958242355i</v>
      </c>
      <c r="AH273" s="31">
        <f t="shared" si="175"/>
        <v>4.9206395824235496E-3</v>
      </c>
      <c r="AI273" s="31">
        <f t="shared" si="176"/>
        <v>1.5707963267948966</v>
      </c>
      <c r="AJ273" s="31" t="str">
        <f t="shared" si="162"/>
        <v>1+0.0191988229760007i</v>
      </c>
      <c r="AK273" s="31">
        <f t="shared" si="177"/>
        <v>1.000184280422195</v>
      </c>
      <c r="AL273" s="31">
        <f t="shared" si="178"/>
        <v>1.9196464635413513E-2</v>
      </c>
      <c r="AM273" s="31" t="str">
        <f t="shared" si="163"/>
        <v>1+5.88550584342069i</v>
      </c>
      <c r="AN273" s="31">
        <f t="shared" si="179"/>
        <v>5.9698558636653107</v>
      </c>
      <c r="AO273" s="31">
        <f t="shared" si="180"/>
        <v>1.4024946830422798</v>
      </c>
      <c r="AP273" s="58" t="str">
        <f t="shared" si="181"/>
        <v>-0.590942784894662+0.11211759551927i</v>
      </c>
      <c r="AQ273" s="49">
        <f t="shared" si="182"/>
        <v>-4.4155096766994282</v>
      </c>
      <c r="AR273" s="61">
        <f t="shared" si="183"/>
        <v>169.25714972267934</v>
      </c>
      <c r="AS273" s="58" t="str">
        <f t="shared" si="184"/>
        <v>0.0967544438108728+0.0895593670932623i</v>
      </c>
      <c r="AT273" s="64">
        <f t="shared" si="185"/>
        <v>-17.598926931447181</v>
      </c>
      <c r="AU273" s="61">
        <f t="shared" si="186"/>
        <v>42.788447487057972</v>
      </c>
    </row>
    <row r="274" spans="14:47" x14ac:dyDescent="0.25">
      <c r="N274" s="10">
        <v>56</v>
      </c>
      <c r="O274" s="50">
        <f t="shared" si="187"/>
        <v>3630.7805477010188</v>
      </c>
      <c r="P274" s="48" t="str">
        <f t="shared" si="155"/>
        <v>304.285714285714</v>
      </c>
      <c r="Q274" s="17" t="str">
        <f t="shared" si="156"/>
        <v>1+1187.8985740266i</v>
      </c>
      <c r="R274" s="17">
        <f t="shared" si="164"/>
        <v>1187.8989949378818</v>
      </c>
      <c r="S274" s="17">
        <f t="shared" si="165"/>
        <v>1.569954504281053</v>
      </c>
      <c r="T274" s="17" t="str">
        <f t="shared" si="157"/>
        <v>1+0.0246378963501812i</v>
      </c>
      <c r="U274" s="17">
        <f t="shared" si="166"/>
        <v>1.0003034669221946</v>
      </c>
      <c r="V274" s="17">
        <f t="shared" si="167"/>
        <v>2.463291288440881E-2</v>
      </c>
      <c r="W274" s="31" t="str">
        <f t="shared" si="158"/>
        <v>1-0.0769934260943163i</v>
      </c>
      <c r="X274" s="17">
        <f t="shared" si="168"/>
        <v>1.0029596141728443</v>
      </c>
      <c r="Y274" s="17">
        <f t="shared" si="169"/>
        <v>-7.684182624602387E-2</v>
      </c>
      <c r="Z274" s="31" t="str">
        <f t="shared" si="159"/>
        <v>0.999172284114619+0.679193591911451i</v>
      </c>
      <c r="AA274" s="17">
        <f t="shared" si="170"/>
        <v>1.2081594218630272</v>
      </c>
      <c r="AB274" s="17">
        <f t="shared" si="171"/>
        <v>0.59700995220936048</v>
      </c>
      <c r="AC274" s="66" t="str">
        <f t="shared" si="172"/>
        <v>-0.128455720659074-0.169545680737889i</v>
      </c>
      <c r="AD274" s="64">
        <f t="shared" si="173"/>
        <v>-13.444139535141289</v>
      </c>
      <c r="AE274" s="61">
        <f t="shared" si="174"/>
        <v>-127.14926810034578</v>
      </c>
      <c r="AF274" s="31" t="str">
        <f t="shared" si="160"/>
        <v>-0.000495863624968664</v>
      </c>
      <c r="AG274" s="31" t="str">
        <f t="shared" si="161"/>
        <v>0.00503525600223332i</v>
      </c>
      <c r="AH274" s="31">
        <f t="shared" si="175"/>
        <v>5.0352560022333204E-3</v>
      </c>
      <c r="AI274" s="31">
        <f t="shared" si="176"/>
        <v>1.5707963267948966</v>
      </c>
      <c r="AJ274" s="31" t="str">
        <f t="shared" si="162"/>
        <v>1+0.0196460210113804i</v>
      </c>
      <c r="AK274" s="31">
        <f t="shared" si="177"/>
        <v>1.0001929644531498</v>
      </c>
      <c r="AL274" s="31">
        <f t="shared" si="178"/>
        <v>1.9643494030243035E-2</v>
      </c>
      <c r="AM274" s="31" t="str">
        <f t="shared" si="163"/>
        <v>1+6.02259688559984i</v>
      </c>
      <c r="AN274" s="31">
        <f t="shared" si="179"/>
        <v>6.1050530912054226</v>
      </c>
      <c r="AO274" s="31">
        <f t="shared" si="180"/>
        <v>1.406256146191456</v>
      </c>
      <c r="AP274" s="58" t="str">
        <f t="shared" si="181"/>
        <v>-0.590932523388453+0.110087807288195i</v>
      </c>
      <c r="AQ274" s="49">
        <f t="shared" si="182"/>
        <v>-4.4210731030028114</v>
      </c>
      <c r="AR274" s="61">
        <f t="shared" si="183"/>
        <v>169.44705278827911</v>
      </c>
      <c r="AS274" s="58" t="str">
        <f t="shared" si="184"/>
        <v>0.0945735753803674+0.0860486483270714i</v>
      </c>
      <c r="AT274" s="64">
        <f t="shared" si="185"/>
        <v>-17.865212638144104</v>
      </c>
      <c r="AU274" s="61">
        <f t="shared" si="186"/>
        <v>42.297784687933316</v>
      </c>
    </row>
    <row r="275" spans="14:47" x14ac:dyDescent="0.25">
      <c r="N275" s="10">
        <v>57</v>
      </c>
      <c r="O275" s="50">
        <f t="shared" si="187"/>
        <v>3715.352290971724</v>
      </c>
      <c r="P275" s="48" t="str">
        <f t="shared" ref="P275:P338" si="188">COMPLEX(Adc,0)</f>
        <v>304.285714285714</v>
      </c>
      <c r="Q275" s="17" t="str">
        <f t="shared" ref="Q275:Q338" si="189">IMSUM(COMPLEX(1,0),IMDIV(COMPLEX(0,2*PI()*O275),COMPLEX(wp_lf,0)))</f>
        <v>1+1215.56828634172i</v>
      </c>
      <c r="R275" s="17">
        <f t="shared" si="164"/>
        <v>1215.5686976718946</v>
      </c>
      <c r="S275" s="17">
        <f t="shared" si="165"/>
        <v>1.5699736664921837</v>
      </c>
      <c r="T275" s="17" t="str">
        <f t="shared" ref="T275:T338" si="190">IMSUM(COMPLEX(1,0),IMDIV(COMPLEX(0,2*PI()*O275),COMPLEX(wz_esr,0)))</f>
        <v>1+0.02521178667968i</v>
      </c>
      <c r="U275" s="17">
        <f t="shared" si="166"/>
        <v>1.0003177666059828</v>
      </c>
      <c r="V275" s="17">
        <f t="shared" si="167"/>
        <v>2.5206446891508718E-2</v>
      </c>
      <c r="W275" s="31" t="str">
        <f t="shared" ref="W275:W338" si="191">IMSUB(COMPLEX(1,0),IMDIV(COMPLEX(0,2*PI()*O275),COMPLEX(wz_rhp,0)))</f>
        <v>1-0.078786833374i</v>
      </c>
      <c r="X275" s="17">
        <f t="shared" si="168"/>
        <v>1.0030988810247485</v>
      </c>
      <c r="Y275" s="17">
        <f t="shared" si="169"/>
        <v>-7.8624418301072807E-2</v>
      </c>
      <c r="Z275" s="31" t="str">
        <f t="shared" ref="Z275:Z338" si="192">IMSUM(COMPLEX(1,0),IMDIV(COMPLEX(0,2*PI()*O275),COMPLEX(Q*(wsl/2),0)),IMDIV(IMPOWER(COMPLEX(0,2*PI()*O275),2),IMPOWER(COMPLEX(wsl/2,0),2)))</f>
        <v>0.999133275066743+0.695014043004982i</v>
      </c>
      <c r="AA275" s="17">
        <f t="shared" si="170"/>
        <v>1.2170915418815986</v>
      </c>
      <c r="AB275" s="17">
        <f t="shared" si="171"/>
        <v>0.6077782598949194</v>
      </c>
      <c r="AC275" s="66" t="str">
        <f t="shared" si="172"/>
        <v>-0.126593893086594-0.16298866267509i</v>
      </c>
      <c r="AD275" s="64">
        <f t="shared" si="173"/>
        <v>-13.70678921096559</v>
      </c>
      <c r="AE275" s="61">
        <f t="shared" si="174"/>
        <v>-127.83661852038419</v>
      </c>
      <c r="AF275" s="31" t="str">
        <f t="shared" ref="AF275:AF338" si="193">COMPLEX(Adc_ea,0)</f>
        <v>-0.000495863624968664</v>
      </c>
      <c r="AG275" s="31" t="str">
        <f t="shared" ref="AG275:AG338" si="194">COMPLEX(0,2*PI()*O275*wp0_ea)</f>
        <v>0.00515254218142495i</v>
      </c>
      <c r="AH275" s="31">
        <f t="shared" si="175"/>
        <v>5.1525421814249501E-3</v>
      </c>
      <c r="AI275" s="31">
        <f t="shared" si="176"/>
        <v>1.5707963267948966</v>
      </c>
      <c r="AJ275" s="31" t="str">
        <f t="shared" ref="AJ275:AJ338" si="195">IMSUM(COMPLEX(1,0),IMDIV(COMPLEX(0,2*PI()*O275),COMPLEX(wp1_ea,0)))</f>
        <v>1+0.020103635627146i</v>
      </c>
      <c r="AK275" s="31">
        <f t="shared" si="177"/>
        <v>1.0002020576690638</v>
      </c>
      <c r="AL275" s="31">
        <f t="shared" si="178"/>
        <v>2.0100927947615487E-2</v>
      </c>
      <c r="AM275" s="31" t="str">
        <f t="shared" ref="AM275:AM338" si="196">IMSUM(COMPLEX(1,0),IMDIV(COMPLEX(0,2*PI()*O275),COMPLEX(wz_ea,0)))</f>
        <v>1+6.16288118836621i</v>
      </c>
      <c r="AN275" s="31">
        <f t="shared" si="179"/>
        <v>6.2434849677017823</v>
      </c>
      <c r="AO275" s="31">
        <f t="shared" si="180"/>
        <v>1.4099365336573124</v>
      </c>
      <c r="AP275" s="58" t="str">
        <f t="shared" si="181"/>
        <v>-0.590921778654314+0.108116370070349i</v>
      </c>
      <c r="AQ275" s="49">
        <f t="shared" si="182"/>
        <v>-4.4263995626119392</v>
      </c>
      <c r="AR275" s="61">
        <f t="shared" si="183"/>
        <v>169.63171442417408</v>
      </c>
      <c r="AS275" s="58" t="str">
        <f t="shared" si="184"/>
        <v>0.0924288310405555+0.0826266782548558i</v>
      </c>
      <c r="AT275" s="64">
        <f t="shared" si="185"/>
        <v>-18.133188773577523</v>
      </c>
      <c r="AU275" s="61">
        <f t="shared" si="186"/>
        <v>41.795095903789885</v>
      </c>
    </row>
    <row r="276" spans="14:47" x14ac:dyDescent="0.25">
      <c r="N276" s="10">
        <v>58</v>
      </c>
      <c r="O276" s="50">
        <f t="shared" si="187"/>
        <v>3801.8939632056172</v>
      </c>
      <c r="P276" s="48" t="str">
        <f t="shared" si="188"/>
        <v>304.285714285714</v>
      </c>
      <c r="Q276" s="17" t="str">
        <f t="shared" si="189"/>
        <v>1+1243.8825090522i</v>
      </c>
      <c r="R276" s="17">
        <f t="shared" ref="R276:R339" si="197">IMABS(Q276)</f>
        <v>1243.8829110193597</v>
      </c>
      <c r="S276" s="17">
        <f t="shared" ref="S276:S339" si="198">IMARGUMENT(Q276)</f>
        <v>1.5699923925187202</v>
      </c>
      <c r="T276" s="17" t="str">
        <f t="shared" si="190"/>
        <v>1+0.0257990446321938i</v>
      </c>
      <c r="U276" s="17">
        <f t="shared" ref="U276:U339" si="199">IMABS(T276)</f>
        <v>1.0003327399940152</v>
      </c>
      <c r="V276" s="17">
        <f t="shared" ref="V276:V339" si="200">IMARGUMENT(T276)</f>
        <v>2.5793323048867133E-2</v>
      </c>
      <c r="W276" s="31" t="str">
        <f t="shared" si="191"/>
        <v>1-0.0806220144756056i</v>
      </c>
      <c r="X276" s="17">
        <f t="shared" ref="X276:X339" si="201">IMABS(W276)</f>
        <v>1.0032446906005059</v>
      </c>
      <c r="Y276" s="17">
        <f t="shared" ref="Y276:Y339" si="202">IMARGUMENT(W276)</f>
        <v>-8.0448013973971153E-2</v>
      </c>
      <c r="Z276" s="31" t="str">
        <f t="shared" si="192"/>
        <v>0.999092427579079+0.711202999743713i</v>
      </c>
      <c r="AA276" s="17">
        <f t="shared" ref="AA276:AA339" si="203">IMABS(Z276)</f>
        <v>1.2263748960616867</v>
      </c>
      <c r="AB276" s="17">
        <f t="shared" ref="AB276:AB339" si="204">IMARGUMENT(Z276)</f>
        <v>0.61863416173062902</v>
      </c>
      <c r="AC276" s="66" t="str">
        <f t="shared" ref="AC276:AC339" si="205">(IMDIV(IMPRODUCT(P276,T276,W276),IMPRODUCT(Q276,Z276)))</f>
        <v>-0.12470120940455-0.156599457020234i</v>
      </c>
      <c r="AD276" s="64">
        <f t="shared" ref="AD276:AD339" si="206">20*LOG(IMABS(AC276))</f>
        <v>-13.971396733958187</v>
      </c>
      <c r="AE276" s="61">
        <f t="shared" ref="AE276:AE339" si="207">(180/PI())*IMARGUMENT(AC276)</f>
        <v>-128.53054760934825</v>
      </c>
      <c r="AF276" s="31" t="str">
        <f t="shared" si="193"/>
        <v>-0.000495863624968664</v>
      </c>
      <c r="AG276" s="31" t="str">
        <f t="shared" si="194"/>
        <v>0.00527256030668316i</v>
      </c>
      <c r="AH276" s="31">
        <f t="shared" ref="AH276:AH339" si="208">IMABS(AG276)</f>
        <v>5.2725603066831597E-3</v>
      </c>
      <c r="AI276" s="31">
        <f t="shared" ref="AI276:AI339" si="209">IMARGUMENT(AG276)</f>
        <v>1.5707963267948966</v>
      </c>
      <c r="AJ276" s="31" t="str">
        <f t="shared" si="195"/>
        <v>1+0.0205719094566242i</v>
      </c>
      <c r="AK276" s="31">
        <f t="shared" ref="AK276:AK339" si="210">IMABS(AJ276)</f>
        <v>1.0002115793464359</v>
      </c>
      <c r="AL276" s="31">
        <f t="shared" ref="AL276:AL339" si="211">IMARGUMENT(AJ276)</f>
        <v>2.0569008158880808E-2</v>
      </c>
      <c r="AM276" s="31" t="str">
        <f t="shared" si="196"/>
        <v>1+6.30643313231403i</v>
      </c>
      <c r="AN276" s="31">
        <f t="shared" ref="AN276:AN339" si="212">IMABS(AM276)</f>
        <v>6.3852250432031088</v>
      </c>
      <c r="AO276" s="31">
        <f t="shared" ref="AO276:AO339" si="213">IMARGUMENT(AM276)</f>
        <v>1.4135373978137116</v>
      </c>
      <c r="AP276" s="58" t="str">
        <f t="shared" ref="AP276:AP339" si="214">IMPRODUCT(AF276,IMDIV(AM276,IMPRODUCT(AG276,AJ276)))</f>
        <v>-0.590910527955233+0.106202237225914i</v>
      </c>
      <c r="AQ276" s="49">
        <f t="shared" ref="AQ276:AQ339" si="215">20*LOG(IMABS(AP276))</f>
        <v>-4.4314994919735353</v>
      </c>
      <c r="AR276" s="61">
        <f t="shared" ref="AR276:AR339" si="216">(180/PI())*IMARGUMENT(AP276)</f>
        <v>169.81120972235655</v>
      </c>
      <c r="AS276" s="58" t="str">
        <f t="shared" ref="AS276:AS339" si="217">IMPRODUCT(AC276,AP276)</f>
        <v>0.0903184701698109+0.0792927204017889i</v>
      </c>
      <c r="AT276" s="64">
        <f t="shared" ref="AT276:AT339" si="218">20*LOG(IMABS(AS276))</f>
        <v>-18.402896225931727</v>
      </c>
      <c r="AU276" s="61">
        <f t="shared" ref="AU276:AU339" si="219">(180/PI())*IMARGUMENT(AS276)</f>
        <v>41.280662113008312</v>
      </c>
    </row>
    <row r="277" spans="14:47" x14ac:dyDescent="0.25">
      <c r="N277" s="10">
        <v>59</v>
      </c>
      <c r="O277" s="50">
        <f t="shared" si="187"/>
        <v>3890.451449942811</v>
      </c>
      <c r="P277" s="48" t="str">
        <f t="shared" si="188"/>
        <v>304.285714285714</v>
      </c>
      <c r="Q277" s="17" t="str">
        <f t="shared" si="189"/>
        <v>1+1272.85625473372i</v>
      </c>
      <c r="R277" s="17">
        <f t="shared" si="197"/>
        <v>1272.8566475509931</v>
      </c>
      <c r="S277" s="17">
        <f t="shared" si="198"/>
        <v>1.5700106922893973</v>
      </c>
      <c r="T277" s="17" t="str">
        <f t="shared" si="190"/>
        <v>1+0.0263999815796623i</v>
      </c>
      <c r="U277" s="17">
        <f t="shared" si="199"/>
        <v>1.0003484188158676</v>
      </c>
      <c r="V277" s="17">
        <f t="shared" si="200"/>
        <v>2.6393850907992577E-2</v>
      </c>
      <c r="W277" s="31" t="str">
        <f t="shared" si="191"/>
        <v>1-0.0824999424364448i</v>
      </c>
      <c r="X277" s="17">
        <f t="shared" si="201"/>
        <v>1.003397349260011</v>
      </c>
      <c r="Y277" s="17">
        <f t="shared" si="202"/>
        <v>-8.2313531617261917E-2</v>
      </c>
      <c r="Z277" s="31" t="str">
        <f t="shared" si="192"/>
        <v>0.99904965500863+0.727769045726792i</v>
      </c>
      <c r="AA277" s="17">
        <f t="shared" si="203"/>
        <v>1.2360210342429243</v>
      </c>
      <c r="AB277" s="17">
        <f t="shared" si="204"/>
        <v>0.62957326086819643</v>
      </c>
      <c r="AC277" s="66" t="str">
        <f t="shared" si="205"/>
        <v>-0.122779006383459-0.150376609862158i</v>
      </c>
      <c r="AD277" s="64">
        <f t="shared" si="206"/>
        <v>-14.237991074183389</v>
      </c>
      <c r="AE277" s="61">
        <f t="shared" si="207"/>
        <v>-129.23083889699166</v>
      </c>
      <c r="AF277" s="31" t="str">
        <f t="shared" si="193"/>
        <v>-0.000495863624968664</v>
      </c>
      <c r="AG277" s="31" t="str">
        <f t="shared" si="194"/>
        <v>0.00539537401320654i</v>
      </c>
      <c r="AH277" s="31">
        <f t="shared" si="208"/>
        <v>5.3953740132065397E-3</v>
      </c>
      <c r="AI277" s="31">
        <f t="shared" si="209"/>
        <v>1.5707963267948966</v>
      </c>
      <c r="AJ277" s="31" t="str">
        <f t="shared" si="195"/>
        <v>1+0.0210510907847977i</v>
      </c>
      <c r="AK277" s="31">
        <f t="shared" si="210"/>
        <v>1.0002215496694868</v>
      </c>
      <c r="AL277" s="31">
        <f t="shared" si="211"/>
        <v>2.1047982025444747E-2</v>
      </c>
      <c r="AM277" s="31" t="str">
        <f t="shared" si="196"/>
        <v>1+6.45332883058411i</v>
      </c>
      <c r="AN277" s="31">
        <f t="shared" si="212"/>
        <v>6.5303486121070184</v>
      </c>
      <c r="AO277" s="31">
        <f t="shared" si="213"/>
        <v>1.4170602741792904</v>
      </c>
      <c r="AP277" s="58" t="str">
        <f t="shared" si="214"/>
        <v>-0.590898747486201+0.104344392401641i</v>
      </c>
      <c r="AQ277" s="49">
        <f t="shared" si="215"/>
        <v>-4.4363829203387457</v>
      </c>
      <c r="AR277" s="61">
        <f t="shared" si="216"/>
        <v>169.98561248879938</v>
      </c>
      <c r="AS277" s="58" t="str">
        <f t="shared" si="217"/>
        <v>0.0882409170770717+0.076046049598011i</v>
      </c>
      <c r="AT277" s="64">
        <f t="shared" si="218"/>
        <v>-18.674373994522135</v>
      </c>
      <c r="AU277" s="61">
        <f t="shared" si="219"/>
        <v>40.754773591807691</v>
      </c>
    </row>
    <row r="278" spans="14:47" x14ac:dyDescent="0.25">
      <c r="N278" s="10">
        <v>60</v>
      </c>
      <c r="O278" s="50">
        <f t="shared" si="187"/>
        <v>3981.0717055349769</v>
      </c>
      <c r="P278" s="48" t="str">
        <f t="shared" si="188"/>
        <v>304.285714285714</v>
      </c>
      <c r="Q278" s="17" t="str">
        <f t="shared" si="189"/>
        <v>1+1302.50488564974i</v>
      </c>
      <c r="R278" s="17">
        <f t="shared" si="197"/>
        <v>1302.5052695254026</v>
      </c>
      <c r="S278" s="17">
        <f t="shared" si="198"/>
        <v>1.5700285755069463</v>
      </c>
      <c r="T278" s="17" t="str">
        <f t="shared" si="190"/>
        <v>1+0.0270149161468094i</v>
      </c>
      <c r="U278" s="17">
        <f t="shared" si="199"/>
        <v>1.0003648362944486</v>
      </c>
      <c r="V278" s="17">
        <f t="shared" si="200"/>
        <v>2.7008347143147943E-2</v>
      </c>
      <c r="W278" s="31" t="str">
        <f t="shared" si="191"/>
        <v>1-0.0844216129587793i</v>
      </c>
      <c r="X278" s="17">
        <f t="shared" si="201"/>
        <v>1.0035571776110028</v>
      </c>
      <c r="Y278" s="17">
        <f t="shared" si="202"/>
        <v>-8.4221908385817543E-2</v>
      </c>
      <c r="Z278" s="31" t="str">
        <f t="shared" si="192"/>
        <v>0.999004866629039+0.744720964491077i</v>
      </c>
      <c r="AA278" s="17">
        <f t="shared" si="203"/>
        <v>1.2460417482977943</v>
      </c>
      <c r="AB278" s="17">
        <f t="shared" si="204"/>
        <v>0.6405909707439208</v>
      </c>
      <c r="AC278" s="66" t="str">
        <f t="shared" si="205"/>
        <v>-0.12082872311732-0.144318680622098i</v>
      </c>
      <c r="AD278" s="64">
        <f t="shared" si="206"/>
        <v>-14.506599602667016</v>
      </c>
      <c r="AE278" s="61">
        <f t="shared" si="207"/>
        <v>-129.93726569941802</v>
      </c>
      <c r="AF278" s="31" t="str">
        <f t="shared" si="193"/>
        <v>-0.000495863624968664</v>
      </c>
      <c r="AG278" s="31" t="str">
        <f t="shared" si="194"/>
        <v>0.00552104841844794i</v>
      </c>
      <c r="AH278" s="31">
        <f t="shared" si="208"/>
        <v>5.5210484184479401E-3</v>
      </c>
      <c r="AI278" s="31">
        <f t="shared" si="209"/>
        <v>1.5707963267948966</v>
      </c>
      <c r="AJ278" s="31" t="str">
        <f t="shared" si="195"/>
        <v>1+0.0215414336799494i</v>
      </c>
      <c r="AK278" s="31">
        <f t="shared" si="210"/>
        <v>1.0002319897728664</v>
      </c>
      <c r="AL278" s="31">
        <f t="shared" si="211"/>
        <v>2.1538102626013272E-2</v>
      </c>
      <c r="AM278" s="31" t="str">
        <f t="shared" si="196"/>
        <v>1+6.60364616922006i</v>
      </c>
      <c r="AN278" s="31">
        <f t="shared" si="212"/>
        <v>6.6789327536856344</v>
      </c>
      <c r="AO278" s="31">
        <f t="shared" si="213"/>
        <v>1.4205066806808013</v>
      </c>
      <c r="AP278" s="58" t="str">
        <f t="shared" si="214"/>
        <v>-0.590886412324204+0.102541848985048i</v>
      </c>
      <c r="AQ278" s="49">
        <f t="shared" si="215"/>
        <v>-4.4410594848933469</v>
      </c>
      <c r="AR278" s="61">
        <f t="shared" si="216"/>
        <v>170.15499519395749</v>
      </c>
      <c r="AS278" s="58" t="str">
        <f t="shared" si="217"/>
        <v>0.0861947550625804+0.0728859467452017i</v>
      </c>
      <c r="AT278" s="64">
        <f t="shared" si="218"/>
        <v>-18.947659087560364</v>
      </c>
      <c r="AU278" s="61">
        <f t="shared" si="219"/>
        <v>40.217729494539462</v>
      </c>
    </row>
    <row r="279" spans="14:47" x14ac:dyDescent="0.25">
      <c r="N279" s="10">
        <v>61</v>
      </c>
      <c r="O279" s="50">
        <f t="shared" si="187"/>
        <v>4073.8027780411317</v>
      </c>
      <c r="P279" s="48" t="str">
        <f t="shared" si="188"/>
        <v>304.285714285714</v>
      </c>
      <c r="Q279" s="17" t="str">
        <f t="shared" si="189"/>
        <v>1+1332.84412189683i</v>
      </c>
      <c r="R279" s="17">
        <f t="shared" si="197"/>
        <v>1332.8444970344185</v>
      </c>
      <c r="S279" s="17">
        <f t="shared" si="198"/>
        <v>1.57004605165324</v>
      </c>
      <c r="T279" s="17" t="str">
        <f t="shared" si="190"/>
        <v>1+0.0276441743800822i</v>
      </c>
      <c r="U279" s="17">
        <f t="shared" si="199"/>
        <v>1.0003820272161812</v>
      </c>
      <c r="V279" s="17">
        <f t="shared" si="200"/>
        <v>2.7637135711010095E-2</v>
      </c>
      <c r="W279" s="31" t="str">
        <f t="shared" si="191"/>
        <v>1-0.0863880449377571i</v>
      </c>
      <c r="X279" s="17">
        <f t="shared" si="201"/>
        <v>1.0037245111623847</v>
      </c>
      <c r="Y279" s="17">
        <f t="shared" si="202"/>
        <v>-8.6174100494364608E-2</v>
      </c>
      <c r="Z279" s="31" t="str">
        <f t="shared" si="192"/>
        <v>0.998957967438148+0.762067744168284i</v>
      </c>
      <c r="AA279" s="17">
        <f t="shared" si="203"/>
        <v>1.2564490707584979</v>
      </c>
      <c r="AB279" s="17">
        <f t="shared" si="204"/>
        <v>0.65168252242016034</v>
      </c>
      <c r="AC279" s="66" t="str">
        <f t="shared" si="205"/>
        <v>-0.118851898347234-0.138424232472119i</v>
      </c>
      <c r="AD279" s="64">
        <f t="shared" si="206"/>
        <v>-14.777247976312344</v>
      </c>
      <c r="AE279" s="61">
        <f t="shared" si="207"/>
        <v>-130.64959154561649</v>
      </c>
      <c r="AF279" s="31" t="str">
        <f t="shared" si="193"/>
        <v>-0.000495863624968664</v>
      </c>
      <c r="AG279" s="31" t="str">
        <f t="shared" si="194"/>
        <v>0.00564965015664051i</v>
      </c>
      <c r="AH279" s="31">
        <f t="shared" si="208"/>
        <v>5.6496501566405096E-3</v>
      </c>
      <c r="AI279" s="31">
        <f t="shared" si="209"/>
        <v>1.5707963267948966</v>
      </c>
      <c r="AJ279" s="31" t="str">
        <f t="shared" si="195"/>
        <v>1+0.0220431981283729i</v>
      </c>
      <c r="AK279" s="31">
        <f t="shared" si="210"/>
        <v>1.0002429217863662</v>
      </c>
      <c r="AL279" s="31">
        <f t="shared" si="211"/>
        <v>2.2039628886589353E-2</v>
      </c>
      <c r="AM279" s="31" t="str">
        <f t="shared" si="196"/>
        <v>1+6.75746484846454i</v>
      </c>
      <c r="AN279" s="31">
        <f t="shared" si="212"/>
        <v>6.8310563735218794</v>
      </c>
      <c r="AO279" s="31">
        <f t="shared" si="213"/>
        <v>1.4238781169963666</v>
      </c>
      <c r="AP279" s="58" t="str">
        <f t="shared" si="214"/>
        <v>-0.590873496375897+0.100793649573897i</v>
      </c>
      <c r="AQ279" s="49">
        <f t="shared" si="215"/>
        <v>-4.4455384455579932</v>
      </c>
      <c r="AR279" s="61">
        <f t="shared" si="216"/>
        <v>170.31942892769052</v>
      </c>
      <c r="AS279" s="58" t="str">
        <f t="shared" si="217"/>
        <v>0.0841787203076733+0.0698116936307474i</v>
      </c>
      <c r="AT279" s="64">
        <f t="shared" si="218"/>
        <v>-19.222786421870335</v>
      </c>
      <c r="AU279" s="61">
        <f t="shared" si="219"/>
        <v>39.669837382074022</v>
      </c>
    </row>
    <row r="280" spans="14:47" x14ac:dyDescent="0.25">
      <c r="N280" s="10">
        <v>62</v>
      </c>
      <c r="O280" s="50">
        <f t="shared" si="187"/>
        <v>4168.6938347033583</v>
      </c>
      <c r="P280" s="48" t="str">
        <f t="shared" si="188"/>
        <v>304.285714285714</v>
      </c>
      <c r="Q280" s="17" t="str">
        <f t="shared" si="189"/>
        <v>1+1363.89004973962i</v>
      </c>
      <c r="R280" s="17">
        <f t="shared" si="197"/>
        <v>1363.8904163380366</v>
      </c>
      <c r="S280" s="17">
        <f t="shared" si="198"/>
        <v>1.57006312999432</v>
      </c>
      <c r="T280" s="17" t="str">
        <f t="shared" si="190"/>
        <v>1+0.0282880899205254i</v>
      </c>
      <c r="U280" s="17">
        <f t="shared" si="199"/>
        <v>1.0004000280044738</v>
      </c>
      <c r="V280" s="17">
        <f t="shared" si="200"/>
        <v>2.8280548013603697E-2</v>
      </c>
      <c r="W280" s="31" t="str">
        <f t="shared" si="191"/>
        <v>1-0.0884002810016419i</v>
      </c>
      <c r="X280" s="17">
        <f t="shared" si="201"/>
        <v>1.0038997010066142</v>
      </c>
      <c r="Y280" s="17">
        <f t="shared" si="202"/>
        <v>-8.8171083468663411E-2</v>
      </c>
      <c r="Z280" s="31" t="str">
        <f t="shared" si="192"/>
        <v>0.998908857956487+0.779818582250609i</v>
      </c>
      <c r="AA280" s="17">
        <f t="shared" si="203"/>
        <v>1.2672552733081377</v>
      </c>
      <c r="AB280" s="17">
        <f t="shared" si="204"/>
        <v>0.66284297290824101</v>
      </c>
      <c r="AC280" s="66" t="str">
        <f t="shared" si="205"/>
        <v>-0.116850167058161-0.132691822911057i</v>
      </c>
      <c r="AD280" s="64">
        <f t="shared" si="206"/>
        <v>-15.049960025858946</v>
      </c>
      <c r="AE280" s="61">
        <f t="shared" si="207"/>
        <v>-131.36757065967473</v>
      </c>
      <c r="AF280" s="31" t="str">
        <f t="shared" si="193"/>
        <v>-0.000495863624968664</v>
      </c>
      <c r="AG280" s="31" t="str">
        <f t="shared" si="194"/>
        <v>0.0057812474141281i</v>
      </c>
      <c r="AH280" s="31">
        <f t="shared" si="208"/>
        <v>5.7812474141280996E-3</v>
      </c>
      <c r="AI280" s="31">
        <f t="shared" si="209"/>
        <v>1.5707963267948966</v>
      </c>
      <c r="AJ280" s="31" t="str">
        <f t="shared" si="195"/>
        <v>1+0.0225566501722202i</v>
      </c>
      <c r="AK280" s="31">
        <f t="shared" si="210"/>
        <v>1.000254368881732</v>
      </c>
      <c r="AL280" s="31">
        <f t="shared" si="211"/>
        <v>2.2552825713270584E-2</v>
      </c>
      <c r="AM280" s="31" t="str">
        <f t="shared" si="196"/>
        <v>1+6.91486642501731i</v>
      </c>
      <c r="AN280" s="31">
        <f t="shared" si="212"/>
        <v>6.9868002458802039</v>
      </c>
      <c r="AO280" s="31">
        <f t="shared" si="213"/>
        <v>1.4271760639737769</v>
      </c>
      <c r="AP280" s="58" t="str">
        <f t="shared" si="214"/>
        <v>-0.590859972322877+0.0990988654606229i</v>
      </c>
      <c r="AQ280" s="49">
        <f t="shared" si="215"/>
        <v>-4.4498286994500864</v>
      </c>
      <c r="AR280" s="61">
        <f t="shared" si="216"/>
        <v>170.47898335832568</v>
      </c>
      <c r="AS280" s="58" t="str">
        <f t="shared" si="217"/>
        <v>0.0821916955802962+0.0668225678283512i</v>
      </c>
      <c r="AT280" s="64">
        <f t="shared" si="218"/>
        <v>-19.499788725309031</v>
      </c>
      <c r="AU280" s="61">
        <f t="shared" si="219"/>
        <v>39.111412698650945</v>
      </c>
    </row>
    <row r="281" spans="14:47" x14ac:dyDescent="0.25">
      <c r="N281" s="10">
        <v>63</v>
      </c>
      <c r="O281" s="50">
        <f t="shared" si="187"/>
        <v>4265.7951880159299</v>
      </c>
      <c r="P281" s="48" t="str">
        <f t="shared" si="188"/>
        <v>304.285714285714</v>
      </c>
      <c r="Q281" s="17" t="str">
        <f t="shared" si="189"/>
        <v>1+1395.65913014i</v>
      </c>
      <c r="R281" s="17">
        <f t="shared" si="197"/>
        <v>1395.6594883936202</v>
      </c>
      <c r="S281" s="17">
        <f t="shared" si="198"/>
        <v>1.5700798195853087</v>
      </c>
      <c r="T281" s="17" t="str">
        <f t="shared" si="190"/>
        <v>1+0.0289470041806814i</v>
      </c>
      <c r="U281" s="17">
        <f t="shared" si="199"/>
        <v>1.0004188767966327</v>
      </c>
      <c r="V281" s="17">
        <f t="shared" si="200"/>
        <v>2.8938923064552521E-2</v>
      </c>
      <c r="W281" s="31" t="str">
        <f t="shared" si="191"/>
        <v>1-0.0904593880646296i</v>
      </c>
      <c r="X281" s="17">
        <f t="shared" si="201"/>
        <v>1.0040831145323714</v>
      </c>
      <c r="Y281" s="17">
        <f t="shared" si="202"/>
        <v>-9.0213852389387145E-2</v>
      </c>
      <c r="Z281" s="31" t="str">
        <f t="shared" si="192"/>
        <v>0.998857434016258+0.79798289046736i</v>
      </c>
      <c r="AA281" s="17">
        <f t="shared" si="203"/>
        <v>1.2784728651669484</v>
      </c>
      <c r="AB281" s="17">
        <f t="shared" si="204"/>
        <v>0.6740672144532176</v>
      </c>
      <c r="AC281" s="66" t="str">
        <f t="shared" si="205"/>
        <v>-0.114825256350598-0.127119994571765i</v>
      </c>
      <c r="AD281" s="64">
        <f t="shared" si="206"/>
        <v>-15.324757647653559</v>
      </c>
      <c r="AE281" s="61">
        <f t="shared" si="207"/>
        <v>-132.09094849748436</v>
      </c>
      <c r="AF281" s="31" t="str">
        <f t="shared" si="193"/>
        <v>-0.000495863624968664</v>
      </c>
      <c r="AG281" s="31" t="str">
        <f t="shared" si="194"/>
        <v>0.00591590996551852i</v>
      </c>
      <c r="AH281" s="31">
        <f t="shared" si="208"/>
        <v>5.9159099655185197E-3</v>
      </c>
      <c r="AI281" s="31">
        <f t="shared" si="209"/>
        <v>1.5707963267948966</v>
      </c>
      <c r="AJ281" s="31" t="str">
        <f t="shared" si="195"/>
        <v>1+0.0230820620505614i</v>
      </c>
      <c r="AK281" s="31">
        <f t="shared" si="210"/>
        <v>1.0002663553216742</v>
      </c>
      <c r="AL281" s="31">
        <f t="shared" si="211"/>
        <v>2.3077964127898542E-2</v>
      </c>
      <c r="AM281" s="31" t="str">
        <f t="shared" si="196"/>
        <v>1+7.07593435527768i</v>
      </c>
      <c r="AN281" s="31">
        <f t="shared" si="212"/>
        <v>7.146247057036228</v>
      </c>
      <c r="AO281" s="31">
        <f t="shared" si="213"/>
        <v>1.4304019831191772</v>
      </c>
      <c r="AP281" s="58" t="str">
        <f t="shared" si="214"/>
        <v>-0.590845811564392+0.0974565961314183i</v>
      </c>
      <c r="AQ281" s="49">
        <f t="shared" si="215"/>
        <v>-4.4539387950021156</v>
      </c>
      <c r="AR281" s="61">
        <f t="shared" si="216"/>
        <v>170.63372669558916</v>
      </c>
      <c r="AS281" s="58" t="str">
        <f t="shared" si="217"/>
        <v>0.080232703747767+0.0639178377249688i</v>
      </c>
      <c r="AT281" s="64">
        <f t="shared" si="218"/>
        <v>-19.778696442655676</v>
      </c>
      <c r="AU281" s="61">
        <f t="shared" si="219"/>
        <v>38.542778198104827</v>
      </c>
    </row>
    <row r="282" spans="14:47" x14ac:dyDescent="0.25">
      <c r="N282" s="10">
        <v>64</v>
      </c>
      <c r="O282" s="50">
        <f t="shared" si="187"/>
        <v>4365.1583224016631</v>
      </c>
      <c r="P282" s="48" t="str">
        <f t="shared" si="188"/>
        <v>304.285714285714</v>
      </c>
      <c r="Q282" s="17" t="str">
        <f t="shared" si="189"/>
        <v>1+1428.16820748491i</v>
      </c>
      <c r="R282" s="17">
        <f t="shared" si="197"/>
        <v>1428.1685575836841</v>
      </c>
      <c r="S282" s="17">
        <f t="shared" si="198"/>
        <v>1.5700961292752111</v>
      </c>
      <c r="T282" s="17" t="str">
        <f t="shared" si="190"/>
        <v>1+0.0296212665256129i</v>
      </c>
      <c r="U282" s="17">
        <f t="shared" si="199"/>
        <v>1.0004386135243788</v>
      </c>
      <c r="V282" s="17">
        <f t="shared" si="200"/>
        <v>2.9612607658694844E-2</v>
      </c>
      <c r="W282" s="31" t="str">
        <f t="shared" si="191"/>
        <v>1-0.0925664578925405i</v>
      </c>
      <c r="X282" s="17">
        <f t="shared" si="201"/>
        <v>1.004275136168755</v>
      </c>
      <c r="Y282" s="17">
        <f t="shared" si="202"/>
        <v>-9.2303422127660295E-2</v>
      </c>
      <c r="Z282" s="31" t="str">
        <f t="shared" si="192"/>
        <v>0.998803586540392+0.816570299775189i</v>
      </c>
      <c r="AA282" s="17">
        <f t="shared" si="203"/>
        <v>1.2901145914068612</v>
      </c>
      <c r="AB282" s="17">
        <f t="shared" si="204"/>
        <v>0.68534998475160924</v>
      </c>
      <c r="AC282" s="66" t="str">
        <f t="shared" si="205"/>
        <v>-0.112778980597653-0.121707266334425i</v>
      </c>
      <c r="AD282" s="64">
        <f t="shared" si="206"/>
        <v>-15.601660699992429</v>
      </c>
      <c r="AE282" s="61">
        <f t="shared" si="207"/>
        <v>-132.81946233622855</v>
      </c>
      <c r="AF282" s="31" t="str">
        <f t="shared" si="193"/>
        <v>-0.000495863624968664</v>
      </c>
      <c r="AG282" s="31" t="str">
        <f t="shared" si="194"/>
        <v>0.00605370921067898i</v>
      </c>
      <c r="AH282" s="31">
        <f t="shared" si="208"/>
        <v>6.0537092106789803E-3</v>
      </c>
      <c r="AI282" s="31">
        <f t="shared" si="209"/>
        <v>1.5707963267948966</v>
      </c>
      <c r="AJ282" s="31" t="str">
        <f t="shared" si="195"/>
        <v>1+0.023619712343729i</v>
      </c>
      <c r="AK282" s="31">
        <f t="shared" si="210"/>
        <v>1.0002789065111792</v>
      </c>
      <c r="AL282" s="31">
        <f t="shared" si="211"/>
        <v>2.3615321406606809E-2</v>
      </c>
      <c r="AM282" s="31" t="str">
        <f t="shared" si="196"/>
        <v>1+7.24075403959427i</v>
      </c>
      <c r="AN282" s="31">
        <f t="shared" si="212"/>
        <v>7.3094814495900282</v>
      </c>
      <c r="AO282" s="31">
        <f t="shared" si="213"/>
        <v>1.4335573161516704</v>
      </c>
      <c r="AP282" s="58" t="str">
        <f t="shared" si="214"/>
        <v>-0.590830984157403+0.0958659687796607i</v>
      </c>
      <c r="AQ282" s="49">
        <f t="shared" si="215"/>
        <v>-4.4578769457320897</v>
      </c>
      <c r="AR282" s="61">
        <f t="shared" si="216"/>
        <v>170.78372565714861</v>
      </c>
      <c r="AS282" s="58" t="str">
        <f t="shared" si="217"/>
        <v>0.0783009010934538+0.0610967577144989i</v>
      </c>
      <c r="AT282" s="64">
        <f t="shared" si="218"/>
        <v>-20.059537645724525</v>
      </c>
      <c r="AU282" s="61">
        <f t="shared" si="219"/>
        <v>37.964263320920026</v>
      </c>
    </row>
    <row r="283" spans="14:47" x14ac:dyDescent="0.25">
      <c r="N283" s="10">
        <v>65</v>
      </c>
      <c r="O283" s="50">
        <f t="shared" si="187"/>
        <v>4466.8359215096343</v>
      </c>
      <c r="P283" s="48" t="str">
        <f t="shared" si="188"/>
        <v>304.285714285714</v>
      </c>
      <c r="Q283" s="17" t="str">
        <f t="shared" si="189"/>
        <v>1+1461.43451851748i</v>
      </c>
      <c r="R283" s="17">
        <f t="shared" si="197"/>
        <v>1461.4348606470351</v>
      </c>
      <c r="S283" s="17">
        <f t="shared" si="198"/>
        <v>1.5701120677116061</v>
      </c>
      <c r="T283" s="17" t="str">
        <f t="shared" si="190"/>
        <v>1+0.0303112344581402i</v>
      </c>
      <c r="U283" s="17">
        <f t="shared" si="199"/>
        <v>1.0004592799981298</v>
      </c>
      <c r="V283" s="17">
        <f t="shared" si="200"/>
        <v>3.0301956545101108E-2</v>
      </c>
      <c r="W283" s="31" t="str">
        <f t="shared" si="191"/>
        <v>1-0.0947226076816882i</v>
      </c>
      <c r="X283" s="17">
        <f t="shared" si="201"/>
        <v>1.0044761681623009</v>
      </c>
      <c r="Y283" s="17">
        <f t="shared" si="202"/>
        <v>-9.4440827571144428E-2</v>
      </c>
      <c r="Z283" s="31" t="str">
        <f t="shared" si="192"/>
        <v>0.998747201311173+0.835590665464546i</v>
      </c>
      <c r="AA283" s="17">
        <f t="shared" si="203"/>
        <v>1.3021934312299321</v>
      </c>
      <c r="AB283" s="17">
        <f t="shared" si="204"/>
        <v>0.69668587806393489</v>
      </c>
      <c r="AC283" s="66" t="str">
        <f t="shared" si="205"/>
        <v>-0.110713235906826-0.11645212482053i</v>
      </c>
      <c r="AD283" s="64">
        <f t="shared" si="206"/>
        <v>-15.880686904779509</v>
      </c>
      <c r="AE283" s="61">
        <f t="shared" si="207"/>
        <v>-133.55284191438943</v>
      </c>
      <c r="AF283" s="31" t="str">
        <f t="shared" si="193"/>
        <v>-0.000495863624968664</v>
      </c>
      <c r="AG283" s="31" t="str">
        <f t="shared" si="194"/>
        <v>0.00619471821259325i</v>
      </c>
      <c r="AH283" s="31">
        <f t="shared" si="208"/>
        <v>6.1947182125932504E-3</v>
      </c>
      <c r="AI283" s="31">
        <f t="shared" si="209"/>
        <v>1.5707963267948966</v>
      </c>
      <c r="AJ283" s="31" t="str">
        <f t="shared" si="195"/>
        <v>1+0.0241698861210251i</v>
      </c>
      <c r="AK283" s="31">
        <f t="shared" si="210"/>
        <v>1.0002920490512275</v>
      </c>
      <c r="AL283" s="31">
        <f t="shared" si="211"/>
        <v>2.4165181221318457E-2</v>
      </c>
      <c r="AM283" s="31" t="str">
        <f t="shared" si="196"/>
        <v>1+7.40941286754538i</v>
      </c>
      <c r="AN283" s="31">
        <f t="shared" si="212"/>
        <v>7.4765900677880577</v>
      </c>
      <c r="AO283" s="31">
        <f t="shared" si="213"/>
        <v>1.4366434846195755</v>
      </c>
      <c r="AP283" s="58" t="str">
        <f t="shared" si="214"/>
        <v>-0.590815458753863+0.0943261378333787i</v>
      </c>
      <c r="AQ283" s="49">
        <f t="shared" si="215"/>
        <v>-4.4616510436642001</v>
      </c>
      <c r="AR283" s="61">
        <f t="shared" si="216"/>
        <v>170.9290454385191</v>
      </c>
      <c r="AS283" s="58" t="str">
        <f t="shared" si="217"/>
        <v>0.0763955704392272+0.0583585635985769i</v>
      </c>
      <c r="AT283" s="64">
        <f t="shared" si="218"/>
        <v>-20.342337948443706</v>
      </c>
      <c r="AU283" s="61">
        <f t="shared" si="219"/>
        <v>37.376203524129657</v>
      </c>
    </row>
    <row r="284" spans="14:47" x14ac:dyDescent="0.25">
      <c r="N284" s="10">
        <v>66</v>
      </c>
      <c r="O284" s="50">
        <f t="shared" ref="O284:O318" si="220">10^(3+(N284/100))</f>
        <v>4570.8818961487532</v>
      </c>
      <c r="P284" s="48" t="str">
        <f t="shared" si="188"/>
        <v>304.285714285714</v>
      </c>
      <c r="Q284" s="17" t="str">
        <f t="shared" si="189"/>
        <v>1+1495.47570147613i</v>
      </c>
      <c r="R284" s="17">
        <f t="shared" si="197"/>
        <v>1495.4760358178671</v>
      </c>
      <c r="S284" s="17">
        <f t="shared" si="198"/>
        <v>1.5701276433452309</v>
      </c>
      <c r="T284" s="17" t="str">
        <f t="shared" si="190"/>
        <v>1+0.0310172738083938i</v>
      </c>
      <c r="U284" s="17">
        <f t="shared" si="199"/>
        <v>1.0004809199952316</v>
      </c>
      <c r="V284" s="17">
        <f t="shared" si="200"/>
        <v>3.10073326035369E-2</v>
      </c>
      <c r="W284" s="31" t="str">
        <f t="shared" si="191"/>
        <v>1-0.0969289806512307i</v>
      </c>
      <c r="X284" s="17">
        <f t="shared" si="201"/>
        <v>1.0046866313881591</v>
      </c>
      <c r="Y284" s="17">
        <f t="shared" si="202"/>
        <v>-9.6627123839475609E-2</v>
      </c>
      <c r="Z284" s="31" t="str">
        <f t="shared" si="192"/>
        <v>0.998688158727968+0.855054072385082i</v>
      </c>
      <c r="AA284" s="17">
        <f t="shared" si="203"/>
        <v>1.3147225962482625</v>
      </c>
      <c r="AB284" s="17">
        <f t="shared" si="204"/>
        <v>0.70806935717464758</v>
      </c>
      <c r="AC284" s="66" t="str">
        <f t="shared" si="205"/>
        <v>-0.108629993914822-0.111353016340758i</v>
      </c>
      <c r="AD284" s="64">
        <f t="shared" si="206"/>
        <v>-16.161851755219661</v>
      </c>
      <c r="AE284" s="61">
        <f t="shared" si="207"/>
        <v>-134.2908101195012</v>
      </c>
      <c r="AF284" s="31" t="str">
        <f t="shared" si="193"/>
        <v>-0.000495863624968664</v>
      </c>
      <c r="AG284" s="31" t="str">
        <f t="shared" si="194"/>
        <v>0.00633901173610063i</v>
      </c>
      <c r="AH284" s="31">
        <f t="shared" si="208"/>
        <v>6.3390117361006304E-3</v>
      </c>
      <c r="AI284" s="31">
        <f t="shared" si="209"/>
        <v>1.5707963267948966</v>
      </c>
      <c r="AJ284" s="31" t="str">
        <f t="shared" si="195"/>
        <v>1+0.0247328750918688i</v>
      </c>
      <c r="AK284" s="31">
        <f t="shared" si="210"/>
        <v>1.0003058107950338</v>
      </c>
      <c r="AL284" s="31">
        <f t="shared" si="211"/>
        <v>2.4727833784240878E-2</v>
      </c>
      <c r="AM284" s="31" t="str">
        <f t="shared" si="196"/>
        <v>1+7.58200026427404i</v>
      </c>
      <c r="AN284" s="31">
        <f t="shared" si="212"/>
        <v>7.647661603879425</v>
      </c>
      <c r="AO284" s="31">
        <f t="shared" si="213"/>
        <v>1.439661889574269</v>
      </c>
      <c r="AP284" s="58" t="str">
        <f t="shared" si="214"/>
        <v>-0.590799202535088+0.0928362844964673i</v>
      </c>
      <c r="AQ284" s="49">
        <f t="shared" si="215"/>
        <v>-4.4652686723991657</v>
      </c>
      <c r="AR284" s="61">
        <f t="shared" si="216"/>
        <v>171.06974968609677</v>
      </c>
      <c r="AS284" s="58" t="str">
        <f t="shared" si="217"/>
        <v>0.0745161140808187+0.0557024682340705i</v>
      </c>
      <c r="AT284" s="64">
        <f t="shared" si="218"/>
        <v>-20.627120427618827</v>
      </c>
      <c r="AU284" s="61">
        <f t="shared" si="219"/>
        <v>36.778939566595525</v>
      </c>
    </row>
    <row r="285" spans="14:47" x14ac:dyDescent="0.25">
      <c r="N285" s="10">
        <v>67</v>
      </c>
      <c r="O285" s="50">
        <f t="shared" si="220"/>
        <v>4677.3514128719844</v>
      </c>
      <c r="P285" s="48" t="str">
        <f t="shared" si="188"/>
        <v>304.285714285714</v>
      </c>
      <c r="Q285" s="17" t="str">
        <f t="shared" si="189"/>
        <v>1+1530.30980544667i</v>
      </c>
      <c r="R285" s="17">
        <f t="shared" si="197"/>
        <v>1530.3101321778618</v>
      </c>
      <c r="S285" s="17">
        <f t="shared" si="198"/>
        <v>1.5701428644344628</v>
      </c>
      <c r="T285" s="17" t="str">
        <f t="shared" si="190"/>
        <v>1+0.0317397589277827i</v>
      </c>
      <c r="U285" s="17">
        <f t="shared" si="199"/>
        <v>1.0005035793523149</v>
      </c>
      <c r="V285" s="17">
        <f t="shared" si="200"/>
        <v>3.1729107024409821E-2</v>
      </c>
      <c r="W285" s="31" t="str">
        <f t="shared" si="191"/>
        <v>1-0.0991867466493211i</v>
      </c>
      <c r="X285" s="17">
        <f t="shared" si="201"/>
        <v>1.00490696619681</v>
      </c>
      <c r="Y285" s="17">
        <f t="shared" si="202"/>
        <v>-9.8863386487775082E-2</v>
      </c>
      <c r="Z285" s="31" t="str">
        <f t="shared" si="192"/>
        <v>0.998626333553544+0.874970840292774i</v>
      </c>
      <c r="AA285" s="17">
        <f t="shared" si="203"/>
        <v>1.3277155288047349</v>
      </c>
      <c r="AB285" s="17">
        <f t="shared" si="204"/>
        <v>0.71949476614309815</v>
      </c>
      <c r="AC285" s="66" t="str">
        <f t="shared" si="205"/>
        <v>-0.106531294952562-0.106408339367492i</v>
      </c>
      <c r="AD285" s="64">
        <f t="shared" si="206"/>
        <v>-16.445168430230709</v>
      </c>
      <c r="AE285" s="61">
        <f t="shared" si="207"/>
        <v>-135.0330837203305</v>
      </c>
      <c r="AF285" s="31" t="str">
        <f t="shared" si="193"/>
        <v>-0.000495863624968664</v>
      </c>
      <c r="AG285" s="31" t="str">
        <f t="shared" si="194"/>
        <v>0.00648666628753723i</v>
      </c>
      <c r="AH285" s="31">
        <f t="shared" si="208"/>
        <v>6.4866662875372296E-3</v>
      </c>
      <c r="AI285" s="31">
        <f t="shared" si="209"/>
        <v>1.5707963267948966</v>
      </c>
      <c r="AJ285" s="31" t="str">
        <f t="shared" si="195"/>
        <v>1+0.0253089777604646i</v>
      </c>
      <c r="AK285" s="31">
        <f t="shared" si="210"/>
        <v>1.0003202209069253</v>
      </c>
      <c r="AL285" s="31">
        <f t="shared" si="211"/>
        <v>2.530357599540729E-2</v>
      </c>
      <c r="AM285" s="31" t="str">
        <f t="shared" si="196"/>
        <v>1+7.75860773790244i</v>
      </c>
      <c r="AN285" s="31">
        <f t="shared" si="212"/>
        <v>7.8227868455327112</v>
      </c>
      <c r="AO285" s="31">
        <f t="shared" si="213"/>
        <v>1.4426139112977421</v>
      </c>
      <c r="AP285" s="58" t="str">
        <f t="shared" si="214"/>
        <v>-0.590782181143109+0.0913956163033551i</v>
      </c>
      <c r="AQ285" s="49">
        <f t="shared" si="215"/>
        <v>-4.4687371198349783</v>
      </c>
      <c r="AR285" s="61">
        <f t="shared" si="216"/>
        <v>171.20590047309537</v>
      </c>
      <c r="AS285" s="58" t="str">
        <f t="shared" si="217"/>
        <v>0.0726620465483829+0.0531276574655592i</v>
      </c>
      <c r="AT285" s="64">
        <f t="shared" si="218"/>
        <v>-20.913905550065689</v>
      </c>
      <c r="AU285" s="61">
        <f t="shared" si="219"/>
        <v>36.172816752764874</v>
      </c>
    </row>
    <row r="286" spans="14:47" x14ac:dyDescent="0.25">
      <c r="N286" s="10">
        <v>68</v>
      </c>
      <c r="O286" s="50">
        <f t="shared" si="220"/>
        <v>4786.3009232263848</v>
      </c>
      <c r="P286" s="48" t="str">
        <f t="shared" si="188"/>
        <v>304.285714285714</v>
      </c>
      <c r="Q286" s="17" t="str">
        <f t="shared" si="189"/>
        <v>1+1565.9552999321i</v>
      </c>
      <c r="R286" s="17">
        <f t="shared" si="197"/>
        <v>1565.9556192259831</v>
      </c>
      <c r="S286" s="17">
        <f t="shared" si="198"/>
        <v>1.5701577390496961</v>
      </c>
      <c r="T286" s="17" t="str">
        <f t="shared" si="190"/>
        <v>1+0.0324790728874806i</v>
      </c>
      <c r="U286" s="17">
        <f t="shared" si="199"/>
        <v>1.0005273060619737</v>
      </c>
      <c r="V286" s="17">
        <f t="shared" si="200"/>
        <v>3.2467659492236407E-2</v>
      </c>
      <c r="W286" s="31" t="str">
        <f t="shared" si="191"/>
        <v>1-0.101497102773377i</v>
      </c>
      <c r="X286" s="17">
        <f t="shared" si="201"/>
        <v>1.0051376332977437</v>
      </c>
      <c r="Y286" s="17">
        <f t="shared" si="202"/>
        <v>-0.10115071169685869</v>
      </c>
      <c r="Z286" s="31" t="str">
        <f t="shared" si="192"/>
        <v>0.998561594648416+0.895351529321599i</v>
      </c>
      <c r="AA286" s="17">
        <f t="shared" si="203"/>
        <v>1.3411859003752289</v>
      </c>
      <c r="AB286" s="17">
        <f t="shared" si="204"/>
        <v>0.73095634378056362</v>
      </c>
      <c r="AC286" s="66" t="str">
        <f t="shared" si="205"/>
        <v>-0.104419240626272-0.101616437598983i</v>
      </c>
      <c r="AD286" s="64">
        <f t="shared" si="206"/>
        <v>-16.730647716212633</v>
      </c>
      <c r="AE286" s="61">
        <f t="shared" si="207"/>
        <v>-135.77937413969286</v>
      </c>
      <c r="AF286" s="31" t="str">
        <f t="shared" si="193"/>
        <v>-0.000495863624968664</v>
      </c>
      <c r="AG286" s="31" t="str">
        <f t="shared" si="194"/>
        <v>0.00663776015530067i</v>
      </c>
      <c r="AH286" s="31">
        <f t="shared" si="208"/>
        <v>6.6377601553006703E-3</v>
      </c>
      <c r="AI286" s="31">
        <f t="shared" si="209"/>
        <v>1.5707963267948966</v>
      </c>
      <c r="AJ286" s="31" t="str">
        <f t="shared" si="195"/>
        <v>1+0.0258984995840729i</v>
      </c>
      <c r="AK286" s="31">
        <f t="shared" si="210"/>
        <v>1.0003353099239805</v>
      </c>
      <c r="AL286" s="31">
        <f t="shared" si="211"/>
        <v>2.589271159331212E-2</v>
      </c>
      <c r="AM286" s="31" t="str">
        <f t="shared" si="196"/>
        <v>1+7.93932892805081i</v>
      </c>
      <c r="AN286" s="31">
        <f t="shared" si="212"/>
        <v>8.0020587243399071</v>
      </c>
      <c r="AO286" s="31">
        <f t="shared" si="213"/>
        <v>1.4455009090801825</v>
      </c>
      <c r="AP286" s="58" t="str">
        <f t="shared" si="214"/>
        <v>-0.590764358608831+0.0900033666868358i</v>
      </c>
      <c r="AQ286" s="49">
        <f t="shared" si="215"/>
        <v>-4.4720633905407965</v>
      </c>
      <c r="AR286" s="61">
        <f t="shared" si="216"/>
        <v>171.33755827817197</v>
      </c>
      <c r="AS286" s="58" t="str">
        <f t="shared" si="217"/>
        <v>0.070832987209632+0.0506332863790302i</v>
      </c>
      <c r="AT286" s="64">
        <f t="shared" si="218"/>
        <v>-21.20271110675343</v>
      </c>
      <c r="AU286" s="61">
        <f t="shared" si="219"/>
        <v>35.558184138479099</v>
      </c>
    </row>
    <row r="287" spans="14:47" x14ac:dyDescent="0.25">
      <c r="N287" s="10">
        <v>69</v>
      </c>
      <c r="O287" s="50">
        <f t="shared" si="220"/>
        <v>4897.7881936844633</v>
      </c>
      <c r="P287" s="48" t="str">
        <f t="shared" si="188"/>
        <v>304.285714285714</v>
      </c>
      <c r="Q287" s="17" t="str">
        <f t="shared" si="189"/>
        <v>1+1602.43108464543i</v>
      </c>
      <c r="R287" s="17">
        <f t="shared" si="197"/>
        <v>1602.4313966712989</v>
      </c>
      <c r="S287" s="17">
        <f t="shared" si="198"/>
        <v>1.5701722750776224</v>
      </c>
      <c r="T287" s="17" t="str">
        <f t="shared" si="190"/>
        <v>1+0.0332356076815348i</v>
      </c>
      <c r="U287" s="17">
        <f t="shared" si="199"/>
        <v>1.0005521503739627</v>
      </c>
      <c r="V287" s="17">
        <f t="shared" si="200"/>
        <v>3.322337837266303E-2</v>
      </c>
      <c r="W287" s="31" t="str">
        <f t="shared" si="191"/>
        <v>1-0.103861274004796i</v>
      </c>
      <c r="X287" s="17">
        <f t="shared" si="201"/>
        <v>1.0053791146815709</v>
      </c>
      <c r="Y287" s="17">
        <f t="shared" si="202"/>
        <v>-0.10349021644867419</v>
      </c>
      <c r="Z287" s="31" t="str">
        <f t="shared" si="192"/>
        <v>0.998493804692687+0.91620694558265i</v>
      </c>
      <c r="AA287" s="17">
        <f t="shared" si="203"/>
        <v>1.3551476100940321</v>
      </c>
      <c r="AB287" s="17">
        <f t="shared" si="204"/>
        <v>0.74244823778030089</v>
      </c>
      <c r="AC287" s="66" t="str">
        <f t="shared" si="205"/>
        <v>-0.102295985868675-0.0969755936772942i</v>
      </c>
      <c r="AD287" s="64">
        <f t="shared" si="206"/>
        <v>-17.018297936760572</v>
      </c>
      <c r="AE287" s="61">
        <f t="shared" si="207"/>
        <v>-136.52938826362345</v>
      </c>
      <c r="AF287" s="31" t="str">
        <f t="shared" si="193"/>
        <v>-0.000495863624968664</v>
      </c>
      <c r="AG287" s="31" t="str">
        <f t="shared" si="194"/>
        <v>0.00679237345135958i</v>
      </c>
      <c r="AH287" s="31">
        <f t="shared" si="208"/>
        <v>6.7923734513595799E-3</v>
      </c>
      <c r="AI287" s="31">
        <f t="shared" si="209"/>
        <v>1.5707963267948966</v>
      </c>
      <c r="AJ287" s="31" t="str">
        <f t="shared" si="195"/>
        <v>1+0.0265017531349678i</v>
      </c>
      <c r="AK287" s="31">
        <f t="shared" si="210"/>
        <v>1.0003511098205604</v>
      </c>
      <c r="AL287" s="31">
        <f t="shared" si="211"/>
        <v>2.6495551308689549E-2</v>
      </c>
      <c r="AM287" s="31" t="str">
        <f t="shared" si="196"/>
        <v>1+8.12425965548627i</v>
      </c>
      <c r="AN287" s="31">
        <f t="shared" si="212"/>
        <v>8.1855723654343127</v>
      </c>
      <c r="AO287" s="31">
        <f t="shared" si="213"/>
        <v>1.4483242210440848</v>
      </c>
      <c r="AP287" s="58" t="str">
        <f t="shared" si="214"/>
        <v>-0.590745697276896+0.0886587945587806i</v>
      </c>
      <c r="AQ287" s="49">
        <f t="shared" si="215"/>
        <v>-4.4752542177868984</v>
      </c>
      <c r="AR287" s="61">
        <f t="shared" si="216"/>
        <v>171.46478196653837</v>
      </c>
      <c r="AS287" s="58" t="str">
        <f t="shared" si="217"/>
        <v>0.0690286527376689+0.0482184759104153i</v>
      </c>
      <c r="AT287" s="64">
        <f t="shared" si="218"/>
        <v>-21.493552154547473</v>
      </c>
      <c r="AU287" s="61">
        <f t="shared" si="219"/>
        <v>34.935393702914965</v>
      </c>
    </row>
    <row r="288" spans="14:47" x14ac:dyDescent="0.25">
      <c r="N288" s="10">
        <v>70</v>
      </c>
      <c r="O288" s="50">
        <f t="shared" si="220"/>
        <v>5011.8723362727324</v>
      </c>
      <c r="P288" s="48" t="str">
        <f t="shared" si="188"/>
        <v>304.285714285714</v>
      </c>
      <c r="Q288" s="17" t="str">
        <f t="shared" si="189"/>
        <v>1+1639.75649953052i</v>
      </c>
      <c r="R288" s="17">
        <f t="shared" si="197"/>
        <v>1639.7568044538143</v>
      </c>
      <c r="S288" s="17">
        <f t="shared" si="198"/>
        <v>1.5701864802254117</v>
      </c>
      <c r="T288" s="17" t="str">
        <f t="shared" si="190"/>
        <v>1+0.034009764434707i</v>
      </c>
      <c r="U288" s="17">
        <f t="shared" si="199"/>
        <v>1.0005781649011256</v>
      </c>
      <c r="V288" s="17">
        <f t="shared" si="200"/>
        <v>3.3996660903074315E-2</v>
      </c>
      <c r="W288" s="31" t="str">
        <f t="shared" si="191"/>
        <v>1-0.106280513858459i</v>
      </c>
      <c r="X288" s="17">
        <f t="shared" si="201"/>
        <v>1.0056319145820791</v>
      </c>
      <c r="Y288" s="17">
        <f t="shared" si="202"/>
        <v>-0.10588303868540037</v>
      </c>
      <c r="Z288" s="31" t="str">
        <f t="shared" si="192"/>
        <v>0.998422819894773+0.937548146893681i</v>
      </c>
      <c r="AA288" s="17">
        <f t="shared" si="203"/>
        <v>1.3696147834447487</v>
      </c>
      <c r="AB288" s="17">
        <f t="shared" si="204"/>
        <v>0.75396451942023235</v>
      </c>
      <c r="AC288" s="66" t="str">
        <f t="shared" si="205"/>
        <v>-0.100163730522006-0.0924840236161458i</v>
      </c>
      <c r="AD288" s="64">
        <f t="shared" si="206"/>
        <v>-17.308124890844425</v>
      </c>
      <c r="AE288" s="61">
        <f t="shared" si="207"/>
        <v>-137.28282928221682</v>
      </c>
      <c r="AF288" s="31" t="str">
        <f t="shared" si="193"/>
        <v>-0.000495863624968664</v>
      </c>
      <c r="AG288" s="31" t="str">
        <f t="shared" si="194"/>
        <v>0.00695058815373011i</v>
      </c>
      <c r="AH288" s="31">
        <f t="shared" si="208"/>
        <v>6.95058815373011E-3</v>
      </c>
      <c r="AI288" s="31">
        <f t="shared" si="209"/>
        <v>1.5707963267948966</v>
      </c>
      <c r="AJ288" s="31" t="str">
        <f t="shared" si="195"/>
        <v>1+0.0271190582661671i</v>
      </c>
      <c r="AK288" s="31">
        <f t="shared" si="210"/>
        <v>1.0003676540758621</v>
      </c>
      <c r="AL288" s="31">
        <f t="shared" si="211"/>
        <v>2.7112413021481131E-2</v>
      </c>
      <c r="AM288" s="31" t="str">
        <f t="shared" si="196"/>
        <v>1+8.31349797292837i</v>
      </c>
      <c r="AN288" s="31">
        <f t="shared" si="212"/>
        <v>8.3734251382504237</v>
      </c>
      <c r="AO288" s="31">
        <f t="shared" si="213"/>
        <v>1.4510851640115723</v>
      </c>
      <c r="AP288" s="58" t="str">
        <f t="shared" si="214"/>
        <v>-0.590726157727054+0.0873611839034456i</v>
      </c>
      <c r="AQ288" s="49">
        <f t="shared" si="215"/>
        <v>-4.4783160752357771</v>
      </c>
      <c r="AR288" s="61">
        <f t="shared" si="216"/>
        <v>171.58762877336551</v>
      </c>
      <c r="AS288" s="58" t="str">
        <f t="shared" si="217"/>
        <v>0.0672488494701334+0.0458823098393158i</v>
      </c>
      <c r="AT288" s="64">
        <f t="shared" si="218"/>
        <v>-21.786440966080196</v>
      </c>
      <c r="AU288" s="61">
        <f t="shared" si="219"/>
        <v>34.304799491148678</v>
      </c>
    </row>
    <row r="289" spans="14:47" x14ac:dyDescent="0.25">
      <c r="N289" s="10">
        <v>71</v>
      </c>
      <c r="O289" s="50">
        <f t="shared" si="220"/>
        <v>5128.6138399136489</v>
      </c>
      <c r="P289" s="48" t="str">
        <f t="shared" si="188"/>
        <v>304.285714285714</v>
      </c>
      <c r="Q289" s="17" t="str">
        <f t="shared" si="189"/>
        <v>1+1677.95133501639i</v>
      </c>
      <c r="R289" s="17">
        <f t="shared" si="197"/>
        <v>1677.9516329987837</v>
      </c>
      <c r="S289" s="17">
        <f t="shared" si="198"/>
        <v>1.5702003620247986</v>
      </c>
      <c r="T289" s="17" t="str">
        <f t="shared" si="190"/>
        <v>1+0.0348019536151548i</v>
      </c>
      <c r="U289" s="17">
        <f t="shared" si="199"/>
        <v>1.0006054047302719</v>
      </c>
      <c r="V289" s="17">
        <f t="shared" si="200"/>
        <v>3.4787913386816791E-2</v>
      </c>
      <c r="W289" s="31" t="str">
        <f t="shared" si="191"/>
        <v>1-0.108756105047359i</v>
      </c>
      <c r="X289" s="17">
        <f t="shared" si="201"/>
        <v>1.0058965604797903</v>
      </c>
      <c r="Y289" s="17">
        <f t="shared" si="202"/>
        <v>-0.10833033745052294</v>
      </c>
      <c r="Z289" s="31" t="str">
        <f t="shared" si="192"/>
        <v>0.998348489686399+0.959386448642108i</v>
      </c>
      <c r="AA289" s="17">
        <f t="shared" si="203"/>
        <v>1.3846017711592131</v>
      </c>
      <c r="AB289" s="17">
        <f t="shared" si="204"/>
        <v>0.76549919875126449</v>
      </c>
      <c r="AC289" s="66" t="str">
        <f t="shared" si="205"/>
        <v>-0.0980247105213542-0.0881398719877947i</v>
      </c>
      <c r="AD289" s="64">
        <f t="shared" si="206"/>
        <v>-17.600131799909452</v>
      </c>
      <c r="AE289" s="61">
        <f t="shared" si="207"/>
        <v>-138.03939755704022</v>
      </c>
      <c r="AF289" s="31" t="str">
        <f t="shared" si="193"/>
        <v>-0.000495863624968664</v>
      </c>
      <c r="AG289" s="31" t="str">
        <f t="shared" si="194"/>
        <v>0.00711248814994163i</v>
      </c>
      <c r="AH289" s="31">
        <f t="shared" si="208"/>
        <v>7.1124881499416296E-3</v>
      </c>
      <c r="AI289" s="31">
        <f t="shared" si="209"/>
        <v>1.5707963267948966</v>
      </c>
      <c r="AJ289" s="31" t="str">
        <f t="shared" si="195"/>
        <v>1+0.0277507422810222i</v>
      </c>
      <c r="AK289" s="31">
        <f t="shared" si="210"/>
        <v>1.0003849777446419</v>
      </c>
      <c r="AL289" s="31">
        <f t="shared" si="211"/>
        <v>2.7743621921039012E-2</v>
      </c>
      <c r="AM289" s="31" t="str">
        <f t="shared" si="196"/>
        <v>1+8.50714421703783i</v>
      </c>
      <c r="AN289" s="31">
        <f t="shared" si="212"/>
        <v>8.565716708453543</v>
      </c>
      <c r="AO289" s="31">
        <f t="shared" si="213"/>
        <v>1.4537850334117832</v>
      </c>
      <c r="AP289" s="58" t="str">
        <f t="shared" si="214"/>
        <v>-0.590705698691951+0.0861098433830939i</v>
      </c>
      <c r="AQ289" s="49">
        <f t="shared" si="215"/>
        <v>-4.4812551882989133</v>
      </c>
      <c r="AR289" s="61">
        <f t="shared" si="216"/>
        <v>171.70615428929835</v>
      </c>
      <c r="AS289" s="58" t="str">
        <f t="shared" si="217"/>
        <v>0.0654934656902677+0.0436238321945025i</v>
      </c>
      <c r="AT289" s="64">
        <f t="shared" si="218"/>
        <v>-22.081386988208362</v>
      </c>
      <c r="AU289" s="61">
        <f t="shared" si="219"/>
        <v>33.666756732258186</v>
      </c>
    </row>
    <row r="290" spans="14:47" x14ac:dyDescent="0.25">
      <c r="N290" s="10">
        <v>72</v>
      </c>
      <c r="O290" s="50">
        <f t="shared" si="220"/>
        <v>5248.0746024977261</v>
      </c>
      <c r="P290" s="48" t="str">
        <f t="shared" si="188"/>
        <v>304.285714285714</v>
      </c>
      <c r="Q290" s="17" t="str">
        <f t="shared" si="189"/>
        <v>1+1717.03584251042i</v>
      </c>
      <c r="R290" s="17">
        <f t="shared" si="197"/>
        <v>1717.0361337099075</v>
      </c>
      <c r="S290" s="17">
        <f t="shared" si="198"/>
        <v>1.5702139278360752</v>
      </c>
      <c r="T290" s="17" t="str">
        <f t="shared" si="190"/>
        <v>1+0.0356125952520678i</v>
      </c>
      <c r="U290" s="17">
        <f t="shared" si="199"/>
        <v>1.0006339275382319</v>
      </c>
      <c r="V290" s="17">
        <f t="shared" si="200"/>
        <v>3.5597551391064693E-2</v>
      </c>
      <c r="W290" s="31" t="str">
        <f t="shared" si="191"/>
        <v>1-0.111289360162712i</v>
      </c>
      <c r="X290" s="17">
        <f t="shared" si="201"/>
        <v>1.0061736041486209</v>
      </c>
      <c r="Y290" s="17">
        <f t="shared" si="202"/>
        <v>-0.11083329301009968</v>
      </c>
      <c r="Z290" s="31" t="str">
        <f t="shared" si="192"/>
        <v>0.998270656403228+0.98173342978459i</v>
      </c>
      <c r="AA290" s="17">
        <f t="shared" si="203"/>
        <v>1.4001231483667236</v>
      </c>
      <c r="AB290" s="17">
        <f t="shared" si="204"/>
        <v>0.77704624017859536</v>
      </c>
      <c r="AC290" s="66" t="str">
        <f t="shared" si="205"/>
        <v>-0.0958811887528258-0.0839412079101086i</v>
      </c>
      <c r="AD290" s="64">
        <f t="shared" si="206"/>
        <v>-17.894319264275381</v>
      </c>
      <c r="AE290" s="61">
        <f t="shared" si="207"/>
        <v>-138.79879150971655</v>
      </c>
      <c r="AF290" s="31" t="str">
        <f t="shared" si="193"/>
        <v>-0.000495863624968664</v>
      </c>
      <c r="AG290" s="31" t="str">
        <f t="shared" si="194"/>
        <v>0.00727815928151518i</v>
      </c>
      <c r="AH290" s="31">
        <f t="shared" si="208"/>
        <v>7.2781592815151803E-3</v>
      </c>
      <c r="AI290" s="31">
        <f t="shared" si="209"/>
        <v>1.5707963267948966</v>
      </c>
      <c r="AJ290" s="31" t="str">
        <f t="shared" si="195"/>
        <v>1+0.0283971401067593i</v>
      </c>
      <c r="AK290" s="31">
        <f t="shared" si="210"/>
        <v>1.0004031175312496</v>
      </c>
      <c r="AL290" s="31">
        <f t="shared" si="211"/>
        <v>2.8389510669611519E-2</v>
      </c>
      <c r="AM290" s="31" t="str">
        <f t="shared" si="196"/>
        <v>1+8.70530106161657i</v>
      </c>
      <c r="AN290" s="31">
        <f t="shared" si="212"/>
        <v>8.7625490910683386</v>
      </c>
      <c r="AO290" s="31">
        <f t="shared" si="213"/>
        <v>1.4564251032253532</v>
      </c>
      <c r="AP290" s="58" t="str">
        <f t="shared" si="214"/>
        <v>-0.590684276971072+0.0849041059556579i</v>
      </c>
      <c r="AQ290" s="49">
        <f t="shared" si="215"/>
        <v>-4.4840775451667882</v>
      </c>
      <c r="AR290" s="61">
        <f t="shared" si="216"/>
        <v>171.82041244790764</v>
      </c>
      <c r="AS290" s="58" t="str">
        <f t="shared" si="217"/>
        <v>0.0637624638640355+0.0414420450934366i</v>
      </c>
      <c r="AT290" s="64">
        <f t="shared" si="218"/>
        <v>-22.378396809442176</v>
      </c>
      <c r="AU290" s="61">
        <f t="shared" si="219"/>
        <v>33.02162093819112</v>
      </c>
    </row>
    <row r="291" spans="14:47" x14ac:dyDescent="0.25">
      <c r="N291" s="10">
        <v>73</v>
      </c>
      <c r="O291" s="50">
        <f t="shared" si="220"/>
        <v>5370.3179637025269</v>
      </c>
      <c r="P291" s="48" t="str">
        <f t="shared" si="188"/>
        <v>304.285714285714</v>
      </c>
      <c r="Q291" s="17" t="str">
        <f t="shared" si="189"/>
        <v>1+1757.03074513579i</v>
      </c>
      <c r="R291" s="17">
        <f t="shared" si="197"/>
        <v>1757.0310297067692</v>
      </c>
      <c r="S291" s="17">
        <f t="shared" si="198"/>
        <v>1.5702271848519942</v>
      </c>
      <c r="T291" s="17" t="str">
        <f t="shared" si="190"/>
        <v>1+0.0364421191583718i</v>
      </c>
      <c r="U291" s="17">
        <f t="shared" si="199"/>
        <v>1.0006637937133296</v>
      </c>
      <c r="V291" s="17">
        <f t="shared" si="200"/>
        <v>3.6425999948348768E-2</v>
      </c>
      <c r="W291" s="31" t="str">
        <f t="shared" si="191"/>
        <v>1-0.113881622369912i</v>
      </c>
      <c r="X291" s="17">
        <f t="shared" si="201"/>
        <v>1.0064636227472921</v>
      </c>
      <c r="Y291" s="17">
        <f t="shared" si="202"/>
        <v>-0.11339310695230592</v>
      </c>
      <c r="Z291" s="31" t="str">
        <f t="shared" si="192"/>
        <v>0.99818915495043+1.00460093898632i</v>
      </c>
      <c r="AA291" s="17">
        <f t="shared" si="203"/>
        <v>1.4161937140352125</v>
      </c>
      <c r="AB291" s="17">
        <f t="shared" si="204"/>
        <v>0.78859957833872008</v>
      </c>
      <c r="AC291" s="66" t="str">
        <f t="shared" si="205"/>
        <v>-0.0937354456659076-0.0798860218663167i</v>
      </c>
      <c r="AD291" s="64">
        <f t="shared" si="206"/>
        <v>-18.190685229127187</v>
      </c>
      <c r="AE291" s="61">
        <f t="shared" si="207"/>
        <v>-139.56070852599129</v>
      </c>
      <c r="AF291" s="31" t="str">
        <f t="shared" si="193"/>
        <v>-0.000495863624968664</v>
      </c>
      <c r="AG291" s="31" t="str">
        <f t="shared" si="194"/>
        <v>0.00744768938947761i</v>
      </c>
      <c r="AH291" s="31">
        <f t="shared" si="208"/>
        <v>7.4476893894776103E-3</v>
      </c>
      <c r="AI291" s="31">
        <f t="shared" si="209"/>
        <v>1.5707963267948966</v>
      </c>
      <c r="AJ291" s="31" t="str">
        <f t="shared" si="195"/>
        <v>1+0.0290585944720615i</v>
      </c>
      <c r="AK291" s="31">
        <f t="shared" si="210"/>
        <v>1.0004221118671317</v>
      </c>
      <c r="AL291" s="31">
        <f t="shared" si="211"/>
        <v>2.9050419569153392E-2</v>
      </c>
      <c r="AM291" s="31" t="str">
        <f t="shared" si="196"/>
        <v>1+8.90807357204643i</v>
      </c>
      <c r="AN291" s="31">
        <f t="shared" si="212"/>
        <v>8.9640267048348345</v>
      </c>
      <c r="AO291" s="31">
        <f t="shared" si="213"/>
        <v>1.4590066259631744</v>
      </c>
      <c r="AP291" s="58" t="str">
        <f t="shared" si="214"/>
        <v>-0.59066184734079+0.0837433285041635i</v>
      </c>
      <c r="AQ291" s="49">
        <f t="shared" si="215"/>
        <v>-4.4867889075173792</v>
      </c>
      <c r="AR291" s="61">
        <f t="shared" si="216"/>
        <v>171.93045551491545</v>
      </c>
      <c r="AS291" s="58" t="str">
        <f t="shared" si="217"/>
        <v>0.062055872870379+0.0393359070333811i</v>
      </c>
      <c r="AT291" s="64">
        <f t="shared" si="218"/>
        <v>-22.677474136644562</v>
      </c>
      <c r="AU291" s="61">
        <f t="shared" si="219"/>
        <v>32.369746988924149</v>
      </c>
    </row>
    <row r="292" spans="14:47" x14ac:dyDescent="0.25">
      <c r="N292" s="10">
        <v>74</v>
      </c>
      <c r="O292" s="50">
        <f t="shared" si="220"/>
        <v>5495.4087385762541</v>
      </c>
      <c r="P292" s="48" t="str">
        <f t="shared" si="188"/>
        <v>304.285714285714</v>
      </c>
      <c r="Q292" s="17" t="str">
        <f t="shared" si="189"/>
        <v>1+1797.95724871928i</v>
      </c>
      <c r="R292" s="17">
        <f t="shared" si="197"/>
        <v>1797.9575268126339</v>
      </c>
      <c r="S292" s="17">
        <f t="shared" si="198"/>
        <v>1.5702401401015824</v>
      </c>
      <c r="T292" s="17" t="str">
        <f t="shared" si="190"/>
        <v>1+0.0372909651586221i</v>
      </c>
      <c r="U292" s="17">
        <f t="shared" si="199"/>
        <v>1.0006950664825232</v>
      </c>
      <c r="V292" s="17">
        <f t="shared" si="200"/>
        <v>3.7273693761769436E-2</v>
      </c>
      <c r="W292" s="31" t="str">
        <f t="shared" si="191"/>
        <v>1-0.116534266120694i</v>
      </c>
      <c r="X292" s="17">
        <f t="shared" si="201"/>
        <v>1.00676721995717</v>
      </c>
      <c r="Y292" s="17">
        <f t="shared" si="202"/>
        <v>-0.11601100226322007</v>
      </c>
      <c r="Z292" s="31" t="str">
        <f t="shared" si="192"/>
        <v>0.998103812452499+1.02800110090337i</v>
      </c>
      <c r="AA292" s="17">
        <f t="shared" si="203"/>
        <v>1.4328284907450557</v>
      </c>
      <c r="AB292" s="17">
        <f t="shared" si="204"/>
        <v>0.800153134171389</v>
      </c>
      <c r="AC292" s="66" t="str">
        <f t="shared" si="205"/>
        <v>-0.0915897697230889-0.0759722233805195i</v>
      </c>
      <c r="AD292" s="64">
        <f t="shared" si="206"/>
        <v>-18.489224960308533</v>
      </c>
      <c r="AE292" s="61">
        <f t="shared" si="207"/>
        <v>-140.32484586939015</v>
      </c>
      <c r="AF292" s="31" t="str">
        <f t="shared" si="193"/>
        <v>-0.000495863624968664</v>
      </c>
      <c r="AG292" s="31" t="str">
        <f t="shared" si="194"/>
        <v>0.00762116836093618i</v>
      </c>
      <c r="AH292" s="31">
        <f t="shared" si="208"/>
        <v>7.6211683609361796E-3</v>
      </c>
      <c r="AI292" s="31">
        <f t="shared" si="209"/>
        <v>1.5707963267948966</v>
      </c>
      <c r="AJ292" s="31" t="str">
        <f t="shared" si="195"/>
        <v>1+0.0297354560887888i</v>
      </c>
      <c r="AK292" s="31">
        <f t="shared" si="210"/>
        <v>1.0004420009919657</v>
      </c>
      <c r="AL292" s="31">
        <f t="shared" si="211"/>
        <v>2.9726696731506616E-2</v>
      </c>
      <c r="AM292" s="31" t="str">
        <f t="shared" si="196"/>
        <v>1+9.11556926099651i</v>
      </c>
      <c r="AN292" s="31">
        <f t="shared" si="212"/>
        <v>9.1702564278227499</v>
      </c>
      <c r="AO292" s="31">
        <f t="shared" si="213"/>
        <v>1.461530832676792</v>
      </c>
      <c r="AP292" s="58" t="str">
        <f t="shared" si="214"/>
        <v>-0.590638362460247+0.0826268914776354i</v>
      </c>
      <c r="AQ292" s="49">
        <f t="shared" si="215"/>
        <v>-4.4893948209120413</v>
      </c>
      <c r="AR292" s="61">
        <f t="shared" si="216"/>
        <v>172.03633407904039</v>
      </c>
      <c r="AS292" s="58" t="str">
        <f t="shared" si="217"/>
        <v>0.0603737802639332+0.0373043316465628i</v>
      </c>
      <c r="AT292" s="64">
        <f t="shared" si="218"/>
        <v>-22.978619781220576</v>
      </c>
      <c r="AU292" s="61">
        <f t="shared" si="219"/>
        <v>31.711488209650216</v>
      </c>
    </row>
    <row r="293" spans="14:47" x14ac:dyDescent="0.25">
      <c r="N293" s="10">
        <v>75</v>
      </c>
      <c r="O293" s="50">
        <f t="shared" si="220"/>
        <v>5623.4132519034993</v>
      </c>
      <c r="P293" s="48" t="str">
        <f t="shared" si="188"/>
        <v>304.285714285714</v>
      </c>
      <c r="Q293" s="17" t="str">
        <f t="shared" si="189"/>
        <v>1+1839.83705303483i</v>
      </c>
      <c r="R293" s="17">
        <f t="shared" si="197"/>
        <v>1839.8373247980071</v>
      </c>
      <c r="S293" s="17">
        <f t="shared" si="198"/>
        <v>1.5702528004538672</v>
      </c>
      <c r="T293" s="17" t="str">
        <f t="shared" si="190"/>
        <v>1+0.0381595833222037i</v>
      </c>
      <c r="U293" s="17">
        <f t="shared" si="199"/>
        <v>1.000727812044476</v>
      </c>
      <c r="V293" s="17">
        <f t="shared" si="200"/>
        <v>3.8141077413905766E-2</v>
      </c>
      <c r="W293" s="31" t="str">
        <f t="shared" si="191"/>
        <v>1-0.119248697881887i</v>
      </c>
      <c r="X293" s="17">
        <f t="shared" si="201"/>
        <v>1.0070850271682752</v>
      </c>
      <c r="Y293" s="17">
        <f t="shared" si="202"/>
        <v>-0.11868822337668783</v>
      </c>
      <c r="Z293" s="31" t="str">
        <f t="shared" si="192"/>
        <v>0.998014447886553+1.05194632261132i</v>
      </c>
      <c r="AA293" s="17">
        <f t="shared" si="203"/>
        <v>1.4500427248346099</v>
      </c>
      <c r="AB293" s="17">
        <f t="shared" si="204"/>
        <v>0.81170083108337054</v>
      </c>
      <c r="AC293" s="66" t="str">
        <f t="shared" si="205"/>
        <v>-0.0894464477723383-0.0721976395622987i</v>
      </c>
      <c r="AD293" s="64">
        <f t="shared" si="206"/>
        <v>-18.789931030033312</v>
      </c>
      <c r="AE293" s="61">
        <f t="shared" si="207"/>
        <v>-141.0909015984349</v>
      </c>
      <c r="AF293" s="31" t="str">
        <f t="shared" si="193"/>
        <v>-0.000495863624968664</v>
      </c>
      <c r="AG293" s="31" t="str">
        <f t="shared" si="194"/>
        <v>0.00779868817673779i</v>
      </c>
      <c r="AH293" s="31">
        <f t="shared" si="208"/>
        <v>7.79868817673779E-3</v>
      </c>
      <c r="AI293" s="31">
        <f t="shared" si="209"/>
        <v>1.5707963267948966</v>
      </c>
      <c r="AJ293" s="31" t="str">
        <f t="shared" si="195"/>
        <v>1+0.0304280838379297i</v>
      </c>
      <c r="AK293" s="31">
        <f t="shared" si="210"/>
        <v>1.0004628270385902</v>
      </c>
      <c r="AL293" s="31">
        <f t="shared" si="211"/>
        <v>3.0418698251991162E-2</v>
      </c>
      <c r="AM293" s="31" t="str">
        <f t="shared" si="196"/>
        <v>1+9.32789814542757i</v>
      </c>
      <c r="AN293" s="31">
        <f t="shared" si="212"/>
        <v>9.3813476543336307</v>
      </c>
      <c r="AO293" s="31">
        <f t="shared" si="213"/>
        <v>1.4639989329979213</v>
      </c>
      <c r="AP293" s="58" t="str">
        <f t="shared" si="214"/>
        <v>-0.590613772772926+0.0815541985432174i</v>
      </c>
      <c r="AQ293" s="49">
        <f t="shared" si="215"/>
        <v>-4.4919006248862479</v>
      </c>
      <c r="AR293" s="61">
        <f t="shared" si="216"/>
        <v>172.13809704431563</v>
      </c>
      <c r="AS293" s="58" t="str">
        <f t="shared" si="217"/>
        <v>0.0587163246111726+0.0353461869265783i</v>
      </c>
      <c r="AT293" s="64">
        <f t="shared" si="218"/>
        <v>-23.281831654919557</v>
      </c>
      <c r="AU293" s="61">
        <f t="shared" si="219"/>
        <v>31.047195445880718</v>
      </c>
    </row>
    <row r="294" spans="14:47" x14ac:dyDescent="0.25">
      <c r="N294" s="10">
        <v>76</v>
      </c>
      <c r="O294" s="50">
        <f t="shared" si="220"/>
        <v>5754.399373371567</v>
      </c>
      <c r="P294" s="48" t="str">
        <f t="shared" si="188"/>
        <v>304.285714285714</v>
      </c>
      <c r="Q294" s="17" t="str">
        <f t="shared" si="189"/>
        <v>1+1882.69236330901i</v>
      </c>
      <c r="R294" s="17">
        <f t="shared" si="197"/>
        <v>1882.6926288861032</v>
      </c>
      <c r="S294" s="17">
        <f t="shared" si="198"/>
        <v>1.5702651726215187</v>
      </c>
      <c r="T294" s="17" t="str">
        <f t="shared" si="190"/>
        <v>1+0.0390484342019645i</v>
      </c>
      <c r="U294" s="17">
        <f t="shared" si="199"/>
        <v>1.0007620997088296</v>
      </c>
      <c r="V294" s="17">
        <f t="shared" si="200"/>
        <v>3.9028605579432489E-2</v>
      </c>
      <c r="W294" s="31" t="str">
        <f t="shared" si="191"/>
        <v>1-0.122026356881139i</v>
      </c>
      <c r="X294" s="17">
        <f t="shared" si="201"/>
        <v>1.0074177047152204</v>
      </c>
      <c r="Y294" s="17">
        <f t="shared" si="202"/>
        <v>-0.12142603619595785</v>
      </c>
      <c r="Z294" s="31" t="str">
        <f t="shared" si="192"/>
        <v>0.997920871698367+1.07644930018367i</v>
      </c>
      <c r="AA294" s="17">
        <f t="shared" si="203"/>
        <v>1.4678518869549275</v>
      </c>
      <c r="AB294" s="17">
        <f t="shared" si="204"/>
        <v>0.82323661109984825</v>
      </c>
      <c r="AC294" s="66" t="str">
        <f t="shared" si="205"/>
        <v>-0.0873077554291731-0.0685600145236624i</v>
      </c>
      <c r="AD294" s="64">
        <f t="shared" si="206"/>
        <v>-19.092793312541406</v>
      </c>
      <c r="AE294" s="61">
        <f t="shared" si="207"/>
        <v>-141.85857548131756</v>
      </c>
      <c r="AF294" s="31" t="str">
        <f t="shared" si="193"/>
        <v>-0.000495863624968664</v>
      </c>
      <c r="AG294" s="31" t="str">
        <f t="shared" si="194"/>
        <v>0.00798034296023854i</v>
      </c>
      <c r="AH294" s="31">
        <f t="shared" si="208"/>
        <v>7.9803429602385394E-3</v>
      </c>
      <c r="AI294" s="31">
        <f t="shared" si="209"/>
        <v>1.5707963267948966</v>
      </c>
      <c r="AJ294" s="31" t="str">
        <f t="shared" si="195"/>
        <v>1+0.0311368449598846i</v>
      </c>
      <c r="AK294" s="31">
        <f t="shared" si="210"/>
        <v>1.000484634121912</v>
      </c>
      <c r="AL294" s="31">
        <f t="shared" si="211"/>
        <v>3.1126788386447477E-2</v>
      </c>
      <c r="AM294" s="31" t="str">
        <f t="shared" si="196"/>
        <v>1+9.54517280492466i</v>
      </c>
      <c r="AN294" s="31">
        <f t="shared" si="212"/>
        <v>9.5974123531227562</v>
      </c>
      <c r="AO294" s="31">
        <f t="shared" si="213"/>
        <v>1.4664121152047467</v>
      </c>
      <c r="AP294" s="58" t="str">
        <f t="shared" si="214"/>
        <v>-0.590588026403717+0.0805246762492258i</v>
      </c>
      <c r="AQ294" s="49">
        <f t="shared" si="215"/>
        <v>-4.4943114627438101</v>
      </c>
      <c r="AR294" s="61">
        <f t="shared" si="216"/>
        <v>172.23579162374358</v>
      </c>
      <c r="AS294" s="58" t="str">
        <f t="shared" si="217"/>
        <v>0.0570836879418139+0.0334602949277592i</v>
      </c>
      <c r="AT294" s="64">
        <f t="shared" si="218"/>
        <v>-23.587104775285212</v>
      </c>
      <c r="AU294" s="61">
        <f t="shared" si="219"/>
        <v>30.377216142426025</v>
      </c>
    </row>
    <row r="295" spans="14:47" x14ac:dyDescent="0.25">
      <c r="N295" s="10">
        <v>77</v>
      </c>
      <c r="O295" s="50">
        <f t="shared" si="220"/>
        <v>5888.4365535558973</v>
      </c>
      <c r="P295" s="48" t="str">
        <f t="shared" si="188"/>
        <v>304.285714285714</v>
      </c>
      <c r="Q295" s="17" t="str">
        <f t="shared" si="189"/>
        <v>1+1926.5459019946i</v>
      </c>
      <c r="R295" s="17">
        <f t="shared" si="197"/>
        <v>1926.5461615264212</v>
      </c>
      <c r="S295" s="17">
        <f t="shared" si="198"/>
        <v>1.5702772631644086</v>
      </c>
      <c r="T295" s="17" t="str">
        <f t="shared" si="190"/>
        <v>1+0.0399579890784065i</v>
      </c>
      <c r="U295" s="17">
        <f t="shared" si="199"/>
        <v>1.0007980020419656</v>
      </c>
      <c r="V295" s="17">
        <f t="shared" si="200"/>
        <v>3.9936743241448081E-2</v>
      </c>
      <c r="W295" s="31" t="str">
        <f t="shared" si="191"/>
        <v>1-0.124868715870021i</v>
      </c>
      <c r="X295" s="17">
        <f t="shared" si="201"/>
        <v>1.0077659431648938</v>
      </c>
      <c r="Y295" s="17">
        <f t="shared" si="202"/>
        <v>-0.12422572808465472</v>
      </c>
      <c r="Z295" s="31" t="str">
        <f t="shared" si="192"/>
        <v>0.9978228854003+1.10152302542347i</v>
      </c>
      <c r="AA295" s="17">
        <f t="shared" si="203"/>
        <v>1.4862716730687748</v>
      </c>
      <c r="AB295" s="17">
        <f t="shared" si="204"/>
        <v>0.83475445089938027</v>
      </c>
      <c r="AC295" s="66" t="str">
        <f t="shared" si="205"/>
        <v>-0.0851759475548765-0.0650570096614257i</v>
      </c>
      <c r="AD295" s="64">
        <f t="shared" si="206"/>
        <v>-19.397798989633333</v>
      </c>
      <c r="AE295" s="61">
        <f t="shared" si="207"/>
        <v>-142.62756990192716</v>
      </c>
      <c r="AF295" s="31" t="str">
        <f t="shared" si="193"/>
        <v>-0.000495863624968664</v>
      </c>
      <c r="AG295" s="31" t="str">
        <f t="shared" si="194"/>
        <v>0.00816622902720916i</v>
      </c>
      <c r="AH295" s="31">
        <f t="shared" si="208"/>
        <v>8.1662290272091608E-3</v>
      </c>
      <c r="AI295" s="31">
        <f t="shared" si="209"/>
        <v>1.5707963267948966</v>
      </c>
      <c r="AJ295" s="31" t="str">
        <f t="shared" si="195"/>
        <v>1+0.0318621152491823i</v>
      </c>
      <c r="AK295" s="31">
        <f t="shared" si="210"/>
        <v>1.0005074684319715</v>
      </c>
      <c r="AL295" s="31">
        <f t="shared" si="211"/>
        <v>3.1851339731769519E-2</v>
      </c>
      <c r="AM295" s="31" t="str">
        <f t="shared" si="196"/>
        <v>1+9.76750844138826i</v>
      </c>
      <c r="AN295" s="31">
        <f t="shared" si="212"/>
        <v>9.8185651269720111</v>
      </c>
      <c r="AO295" s="31">
        <f t="shared" si="213"/>
        <v>1.4687715463127693</v>
      </c>
      <c r="AP295" s="58" t="str">
        <f t="shared" si="214"/>
        <v>-0.590561069051279+0.0795377736988622i</v>
      </c>
      <c r="AQ295" s="49">
        <f t="shared" si="215"/>
        <v>-4.4966322910634728</v>
      </c>
      <c r="AR295" s="61">
        <f t="shared" si="216"/>
        <v>172.32946333415768</v>
      </c>
      <c r="AS295" s="58" t="str">
        <f t="shared" si="217"/>
        <v>0.0554760883574387+0.031645431933725i</v>
      </c>
      <c r="AT295" s="64">
        <f t="shared" si="218"/>
        <v>-23.894431280696811</v>
      </c>
      <c r="AU295" s="61">
        <f t="shared" si="219"/>
        <v>29.701893432230488</v>
      </c>
    </row>
    <row r="296" spans="14:47" x14ac:dyDescent="0.25">
      <c r="N296" s="10">
        <v>78</v>
      </c>
      <c r="O296" s="50">
        <f t="shared" si="220"/>
        <v>6025.595860743585</v>
      </c>
      <c r="P296" s="48" t="str">
        <f t="shared" si="188"/>
        <v>304.285714285714</v>
      </c>
      <c r="Q296" s="17" t="str">
        <f t="shared" si="189"/>
        <v>1+1971.42092081828i</v>
      </c>
      <c r="R296" s="17">
        <f t="shared" si="197"/>
        <v>1971.4211744424363</v>
      </c>
      <c r="S296" s="17">
        <f t="shared" si="198"/>
        <v>1.570289078493089</v>
      </c>
      <c r="T296" s="17" t="str">
        <f t="shared" si="190"/>
        <v>1+0.0408887302095643i</v>
      </c>
      <c r="U296" s="17">
        <f t="shared" si="199"/>
        <v>1.0008355950195569</v>
      </c>
      <c r="V296" s="17">
        <f t="shared" si="200"/>
        <v>4.0865965911512973E-2</v>
      </c>
      <c r="W296" s="31" t="str">
        <f t="shared" si="191"/>
        <v>1-0.127777281904889i</v>
      </c>
      <c r="X296" s="17">
        <f t="shared" si="201"/>
        <v>1.0081304646577256</v>
      </c>
      <c r="Y296" s="17">
        <f t="shared" si="202"/>
        <v>-0.12708860782446901</v>
      </c>
      <c r="Z296" s="31" t="str">
        <f t="shared" si="192"/>
        <v>0.997720281150275+1.12718079275173i</v>
      </c>
      <c r="AA296" s="17">
        <f t="shared" si="203"/>
        <v>1.5053180059266555</v>
      </c>
      <c r="AB296" s="17">
        <f t="shared" si="204"/>
        <v>0.84624837762976357</v>
      </c>
      <c r="AC296" s="66" t="str">
        <f t="shared" si="205"/>
        <v>-0.083053248915968-0.0616862047881303i</v>
      </c>
      <c r="AD296" s="64">
        <f t="shared" si="206"/>
        <v>-19.704932565923045</v>
      </c>
      <c r="AE296" s="61">
        <f t="shared" si="207"/>
        <v>-143.39759075119994</v>
      </c>
      <c r="AF296" s="31" t="str">
        <f t="shared" si="193"/>
        <v>-0.000495863624968664</v>
      </c>
      <c r="AG296" s="31" t="str">
        <f t="shared" si="194"/>
        <v>0.00835644493690281i</v>
      </c>
      <c r="AH296" s="31">
        <f t="shared" si="208"/>
        <v>8.3564449369028099E-3</v>
      </c>
      <c r="AI296" s="31">
        <f t="shared" si="209"/>
        <v>1.5707963267948966</v>
      </c>
      <c r="AJ296" s="31" t="str">
        <f t="shared" si="195"/>
        <v>1+0.03260427925373i</v>
      </c>
      <c r="AK296" s="31">
        <f t="shared" si="210"/>
        <v>1.0005313783313621</v>
      </c>
      <c r="AL296" s="31">
        <f t="shared" si="211"/>
        <v>3.2592733409961959E-2</v>
      </c>
      <c r="AM296" s="31" t="str">
        <f t="shared" si="196"/>
        <v>1+9.99502294011571i</v>
      </c>
      <c r="AN296" s="31">
        <f t="shared" si="212"/>
        <v>10.04492327364621</v>
      </c>
      <c r="AO296" s="31">
        <f t="shared" si="213"/>
        <v>1.47107837218813</v>
      </c>
      <c r="AP296" s="58" t="str">
        <f t="shared" si="214"/>
        <v>-0.590532843875468+0.0785929622343098i</v>
      </c>
      <c r="AQ296" s="49">
        <f t="shared" si="215"/>
        <v>-4.4988678889275127</v>
      </c>
      <c r="AR296" s="61">
        <f t="shared" si="216"/>
        <v>172.41915599216929</v>
      </c>
      <c r="AS296" s="58" t="str">
        <f t="shared" si="217"/>
        <v>0.0538937728387351+0.0299003290859297i</v>
      </c>
      <c r="AT296" s="64">
        <f t="shared" si="218"/>
        <v>-24.203800454850565</v>
      </c>
      <c r="AU296" s="61">
        <f t="shared" si="219"/>
        <v>29.021565240969384</v>
      </c>
    </row>
    <row r="297" spans="14:47" x14ac:dyDescent="0.25">
      <c r="N297" s="10">
        <v>79</v>
      </c>
      <c r="O297" s="50">
        <f t="shared" si="220"/>
        <v>6165.9500186148289</v>
      </c>
      <c r="P297" s="48" t="str">
        <f t="shared" si="188"/>
        <v>304.285714285714</v>
      </c>
      <c r="Q297" s="17" t="str">
        <f t="shared" si="189"/>
        <v>1+2017.34121310902i</v>
      </c>
      <c r="R297" s="17">
        <f t="shared" si="197"/>
        <v>2017.3414609599863</v>
      </c>
      <c r="S297" s="17">
        <f t="shared" si="198"/>
        <v>1.57030062487219</v>
      </c>
      <c r="T297" s="17" t="str">
        <f t="shared" si="190"/>
        <v>1+0.0418411510867056i</v>
      </c>
      <c r="U297" s="17">
        <f t="shared" si="199"/>
        <v>1.0008749581862164</v>
      </c>
      <c r="V297" s="17">
        <f t="shared" si="200"/>
        <v>4.1816759853392879E-2</v>
      </c>
      <c r="W297" s="31" t="str">
        <f t="shared" si="191"/>
        <v>1-0.130753597145955i</v>
      </c>
      <c r="X297" s="17">
        <f t="shared" si="201"/>
        <v>1.0085120243044237</v>
      </c>
      <c r="Y297" s="17">
        <f t="shared" si="202"/>
        <v>-0.1300160055368508</v>
      </c>
      <c r="Z297" s="31" t="str">
        <f t="shared" si="192"/>
        <v>0.997612841310923+1.15343620625631i</v>
      </c>
      <c r="AA297" s="17">
        <f t="shared" si="203"/>
        <v>1.5250070370497972</v>
      </c>
      <c r="AB297" s="17">
        <f t="shared" si="204"/>
        <v>0.85771248440478265</v>
      </c>
      <c r="AC297" s="66" t="str">
        <f t="shared" si="205"/>
        <v>-0.0809418451072002-0.0584451000848613i</v>
      </c>
      <c r="AD297" s="64">
        <f t="shared" si="206"/>
        <v>-20.014175893563028</v>
      </c>
      <c r="AE297" s="61">
        <f t="shared" si="207"/>
        <v>-144.16834829790648</v>
      </c>
      <c r="AF297" s="31" t="str">
        <f t="shared" si="193"/>
        <v>-0.000495863624968664</v>
      </c>
      <c r="AG297" s="31" t="str">
        <f t="shared" si="194"/>
        <v>0.00855109154431264i</v>
      </c>
      <c r="AH297" s="31">
        <f t="shared" si="208"/>
        <v>8.5510915443126403E-3</v>
      </c>
      <c r="AI297" s="31">
        <f t="shared" si="209"/>
        <v>1.5707963267948966</v>
      </c>
      <c r="AJ297" s="31" t="str">
        <f t="shared" si="195"/>
        <v>1+0.0333637304787067i</v>
      </c>
      <c r="AK297" s="31">
        <f t="shared" si="210"/>
        <v>1.0005564144572039</v>
      </c>
      <c r="AL297" s="31">
        <f t="shared" si="211"/>
        <v>3.3351359255759765E-2</v>
      </c>
      <c r="AM297" s="31" t="str">
        <f t="shared" si="196"/>
        <v>1+10.2278369323058i</v>
      </c>
      <c r="AN297" s="31">
        <f t="shared" si="212"/>
        <v>10.276606848266528</v>
      </c>
      <c r="AO297" s="31">
        <f t="shared" si="213"/>
        <v>1.4733337176814514</v>
      </c>
      <c r="AP297" s="58" t="str">
        <f t="shared" si="214"/>
        <v>-0.590503291379662+0.0776897351309346i</v>
      </c>
      <c r="AQ297" s="49">
        <f t="shared" si="215"/>
        <v>-4.5010228668811632</v>
      </c>
      <c r="AR297" s="61">
        <f t="shared" si="216"/>
        <v>172.50491171108669</v>
      </c>
      <c r="AS297" s="58" t="str">
        <f t="shared" si="217"/>
        <v>0.0523370102914383+0.0282236734577368i</v>
      </c>
      <c r="AT297" s="64">
        <f t="shared" si="218"/>
        <v>-24.515198760444203</v>
      </c>
      <c r="AU297" s="61">
        <f t="shared" si="219"/>
        <v>28.336563413180219</v>
      </c>
    </row>
    <row r="298" spans="14:47" x14ac:dyDescent="0.25">
      <c r="N298" s="10">
        <v>80</v>
      </c>
      <c r="O298" s="50">
        <f t="shared" si="220"/>
        <v>6309.5734448019384</v>
      </c>
      <c r="P298" s="48" t="str">
        <f t="shared" si="188"/>
        <v>304.285714285714</v>
      </c>
      <c r="Q298" s="17" t="str">
        <f t="shared" si="189"/>
        <v>1+2064.33112641362i</v>
      </c>
      <c r="R298" s="17">
        <f t="shared" si="197"/>
        <v>2064.3313686228103</v>
      </c>
      <c r="S298" s="17">
        <f t="shared" si="198"/>
        <v>1.5703119084237427</v>
      </c>
      <c r="T298" s="17" t="str">
        <f t="shared" si="190"/>
        <v>1+0.042815756695986i</v>
      </c>
      <c r="U298" s="17">
        <f t="shared" si="199"/>
        <v>1.0009161748225721</v>
      </c>
      <c r="V298" s="17">
        <f t="shared" si="200"/>
        <v>4.2789622310490327E-2</v>
      </c>
      <c r="W298" s="31" t="str">
        <f t="shared" si="191"/>
        <v>1-0.133799239674956i</v>
      </c>
      <c r="X298" s="17">
        <f t="shared" si="201"/>
        <v>1.0089114116400886</v>
      </c>
      <c r="Y298" s="17">
        <f t="shared" si="202"/>
        <v>-0.13300927256576051</v>
      </c>
      <c r="Z298" s="31" t="str">
        <f t="shared" si="192"/>
        <v>0.99750033798794+1.18030318690498i</v>
      </c>
      <c r="AA298" s="17">
        <f t="shared" si="203"/>
        <v>1.5453551492469644</v>
      </c>
      <c r="AB298" s="17">
        <f t="shared" si="204"/>
        <v>0.86914094538557984</v>
      </c>
      <c r="AC298" s="66" t="str">
        <f t="shared" si="205"/>
        <v>-0.0788438738163574-0.0553311188401432i</v>
      </c>
      <c r="AD298" s="64">
        <f t="shared" si="206"/>
        <v>-20.325508206107529</v>
      </c>
      <c r="AE298" s="61">
        <f t="shared" si="207"/>
        <v>-144.93955803319179</v>
      </c>
      <c r="AF298" s="31" t="str">
        <f t="shared" si="193"/>
        <v>-0.000495863624968664</v>
      </c>
      <c r="AG298" s="31" t="str">
        <f t="shared" si="194"/>
        <v>0.00875027205364633i</v>
      </c>
      <c r="AH298" s="31">
        <f t="shared" si="208"/>
        <v>8.7502720536463303E-3</v>
      </c>
      <c r="AI298" s="31">
        <f t="shared" si="209"/>
        <v>1.5707963267948966</v>
      </c>
      <c r="AJ298" s="31" t="str">
        <f t="shared" si="195"/>
        <v>1+0.0341408715952044i</v>
      </c>
      <c r="AK298" s="31">
        <f t="shared" si="210"/>
        <v>1.0005826298278819</v>
      </c>
      <c r="AL298" s="31">
        <f t="shared" si="211"/>
        <v>3.4127616007838077E-2</v>
      </c>
      <c r="AM298" s="31" t="str">
        <f t="shared" si="196"/>
        <v>1+10.4660738590188i</v>
      </c>
      <c r="AN298" s="31">
        <f t="shared" si="212"/>
        <v>10.513738727133973</v>
      </c>
      <c r="AO298" s="31">
        <f t="shared" si="213"/>
        <v>1.4755386867803562</v>
      </c>
      <c r="AP298" s="58" t="str">
        <f t="shared" si="214"/>
        <v>-0.590472349287692+0.0768276073013083i</v>
      </c>
      <c r="AQ298" s="49">
        <f t="shared" si="215"/>
        <v>-4.5031016756336477</v>
      </c>
      <c r="AR298" s="61">
        <f t="shared" si="216"/>
        <v>172.58677089869806</v>
      </c>
      <c r="AS298" s="58" t="str">
        <f t="shared" si="217"/>
        <v>0.0508060848690794+0.0266141095545788i</v>
      </c>
      <c r="AT298" s="64">
        <f t="shared" si="218"/>
        <v>-24.82860988174118</v>
      </c>
      <c r="AU298" s="61">
        <f t="shared" si="219"/>
        <v>27.647212865506305</v>
      </c>
    </row>
    <row r="299" spans="14:47" x14ac:dyDescent="0.25">
      <c r="N299" s="10">
        <v>81</v>
      </c>
      <c r="O299" s="50">
        <f t="shared" si="220"/>
        <v>6456.5422903465615</v>
      </c>
      <c r="P299" s="48" t="str">
        <f t="shared" si="188"/>
        <v>304.285714285714</v>
      </c>
      <c r="Q299" s="17" t="str">
        <f t="shared" si="189"/>
        <v>1+2112.41557540609i</v>
      </c>
      <c r="R299" s="17">
        <f t="shared" si="197"/>
        <v>2112.4158121019268</v>
      </c>
      <c r="S299" s="17">
        <f t="shared" si="198"/>
        <v>1.5703229351304238</v>
      </c>
      <c r="T299" s="17" t="str">
        <f t="shared" si="190"/>
        <v>1+0.0438130637862003i</v>
      </c>
      <c r="U299" s="17">
        <f t="shared" si="199"/>
        <v>1.0009593321201085</v>
      </c>
      <c r="V299" s="17">
        <f t="shared" si="200"/>
        <v>4.3785061736946941E-2</v>
      </c>
      <c r="W299" s="31" t="str">
        <f t="shared" si="191"/>
        <v>1-0.136915824331876i</v>
      </c>
      <c r="X299" s="17">
        <f t="shared" si="201"/>
        <v>1.0093294521376444</v>
      </c>
      <c r="Y299" s="17">
        <f t="shared" si="202"/>
        <v>-0.13606978131842004</v>
      </c>
      <c r="Z299" s="31" t="str">
        <f t="shared" si="192"/>
        <v>0.997382532546694+1.20779597992651i</v>
      </c>
      <c r="AA299" s="17">
        <f t="shared" si="203"/>
        <v>1.5663789596888411</v>
      </c>
      <c r="AB299" s="17">
        <f t="shared" si="204"/>
        <v>0.88052803035528937</v>
      </c>
      <c r="AC299" s="66" t="str">
        <f t="shared" si="205"/>
        <v>-0.0767614165039668-0.0523416109305294i</v>
      </c>
      <c r="AD299" s="64">
        <f t="shared" si="206"/>
        <v>-20.638906161100429</v>
      </c>
      <c r="AE299" s="61">
        <f t="shared" si="207"/>
        <v>-145.71094148346108</v>
      </c>
      <c r="AF299" s="31" t="str">
        <f t="shared" si="193"/>
        <v>-0.000495863624968664</v>
      </c>
      <c r="AG299" s="31" t="str">
        <f t="shared" si="194"/>
        <v>0.00895409207304641i</v>
      </c>
      <c r="AH299" s="31">
        <f t="shared" si="208"/>
        <v>8.9540920730464095E-3</v>
      </c>
      <c r="AI299" s="31">
        <f t="shared" si="209"/>
        <v>1.5707963267948966</v>
      </c>
      <c r="AJ299" s="31" t="str">
        <f t="shared" si="195"/>
        <v>1+0.0349361146537298i</v>
      </c>
      <c r="AK299" s="31">
        <f t="shared" si="210"/>
        <v>1.0006100799547737</v>
      </c>
      <c r="AL299" s="31">
        <f t="shared" si="211"/>
        <v>3.4921911503642877E-2</v>
      </c>
      <c r="AM299" s="31" t="str">
        <f t="shared" si="196"/>
        <v>1+10.7098600366267i</v>
      </c>
      <c r="AN299" s="31">
        <f t="shared" si="212"/>
        <v>10.756444673038285</v>
      </c>
      <c r="AO299" s="31">
        <f t="shared" si="213"/>
        <v>1.4776943627789469</v>
      </c>
      <c r="AP299" s="58" t="str">
        <f t="shared" si="214"/>
        <v>-0.590439952415201+0.0760061150087719i</v>
      </c>
      <c r="AQ299" s="49">
        <f t="shared" si="215"/>
        <v>-4.5051086145099646</v>
      </c>
      <c r="AR299" s="61">
        <f t="shared" si="216"/>
        <v>172.66477225581912</v>
      </c>
      <c r="AS299" s="58" t="str">
        <f t="shared" si="217"/>
        <v>0.0493012896080558+0.02507024121612i</v>
      </c>
      <c r="AT299" s="64">
        <f t="shared" si="218"/>
        <v>-25.14401477561039</v>
      </c>
      <c r="AU299" s="61">
        <f t="shared" si="219"/>
        <v>26.953830772358025</v>
      </c>
    </row>
    <row r="300" spans="14:47" x14ac:dyDescent="0.25">
      <c r="N300" s="10">
        <v>82</v>
      </c>
      <c r="O300" s="50">
        <f t="shared" si="220"/>
        <v>6606.9344800759654</v>
      </c>
      <c r="P300" s="48" t="str">
        <f t="shared" si="188"/>
        <v>304.285714285714</v>
      </c>
      <c r="Q300" s="17" t="str">
        <f t="shared" si="189"/>
        <v>1+2161.62005509777i</v>
      </c>
      <c r="R300" s="17">
        <f t="shared" si="197"/>
        <v>2161.6202864057523</v>
      </c>
      <c r="S300" s="17">
        <f t="shared" si="198"/>
        <v>1.5703337108387281</v>
      </c>
      <c r="T300" s="17" t="str">
        <f t="shared" si="190"/>
        <v>1+0.0448336011427684i</v>
      </c>
      <c r="U300" s="17">
        <f t="shared" si="199"/>
        <v>1.001004521364129</v>
      </c>
      <c r="V300" s="17">
        <f t="shared" si="200"/>
        <v>4.4803598032383637E-2</v>
      </c>
      <c r="W300" s="31" t="str">
        <f t="shared" si="191"/>
        <v>1-0.140105003571151i</v>
      </c>
      <c r="X300" s="17">
        <f t="shared" si="201"/>
        <v>1.0097670087825568</v>
      </c>
      <c r="Y300" s="17">
        <f t="shared" si="202"/>
        <v>-0.13919892506079798</v>
      </c>
      <c r="Z300" s="31" t="str">
        <f t="shared" si="192"/>
        <v>0.997259175106049+1.23592916236366i</v>
      </c>
      <c r="AA300" s="17">
        <f t="shared" si="203"/>
        <v>1.5880953235603128</v>
      </c>
      <c r="AB300" s="17">
        <f t="shared" si="204"/>
        <v>0.89186811870144511</v>
      </c>
      <c r="AC300" s="66" t="str">
        <f t="shared" si="205"/>
        <v>-0.0746964905648482-0.049473856990779i</v>
      </c>
      <c r="AD300" s="64">
        <f t="shared" si="206"/>
        <v>-20.954343890900176</v>
      </c>
      <c r="AE300" s="61">
        <f t="shared" si="207"/>
        <v>-146.482226986527</v>
      </c>
      <c r="AF300" s="31" t="str">
        <f t="shared" si="193"/>
        <v>-0.000495863624968664</v>
      </c>
      <c r="AG300" s="31" t="str">
        <f t="shared" si="194"/>
        <v>0.00916265967058504i</v>
      </c>
      <c r="AH300" s="31">
        <f t="shared" si="208"/>
        <v>9.1626596705850407E-3</v>
      </c>
      <c r="AI300" s="31">
        <f t="shared" si="209"/>
        <v>1.5707963267948966</v>
      </c>
      <c r="AJ300" s="31" t="str">
        <f t="shared" si="195"/>
        <v>1+0.0357498813026786i</v>
      </c>
      <c r="AK300" s="31">
        <f t="shared" si="210"/>
        <v>1.0006388229591912</v>
      </c>
      <c r="AL300" s="31">
        <f t="shared" si="211"/>
        <v>3.5734662877866925E-2</v>
      </c>
      <c r="AM300" s="31" t="str">
        <f t="shared" si="196"/>
        <v>1+10.9593247237878i</v>
      </c>
      <c r="AN300" s="31">
        <f t="shared" si="212"/>
        <v>11.004853402087033</v>
      </c>
      <c r="AO300" s="31">
        <f t="shared" si="213"/>
        <v>1.4798018084626376</v>
      </c>
      <c r="AP300" s="58" t="str">
        <f t="shared" si="214"/>
        <v>-0.590406032535167+0.0752248155902513i</v>
      </c>
      <c r="AQ300" s="49">
        <f t="shared" si="215"/>
        <v>-4.5070478396638585</v>
      </c>
      <c r="AR300" s="61">
        <f t="shared" si="216"/>
        <v>172.73895277551122</v>
      </c>
      <c r="AS300" s="58" t="str">
        <f t="shared" si="217"/>
        <v>0.0478229204073624+0.0235906338921584i</v>
      </c>
      <c r="AT300" s="64">
        <f t="shared" si="218"/>
        <v>-25.461391730564031</v>
      </c>
      <c r="AU300" s="61">
        <f t="shared" si="219"/>
        <v>26.256725788984198</v>
      </c>
    </row>
    <row r="301" spans="14:47" x14ac:dyDescent="0.25">
      <c r="N301" s="10">
        <v>83</v>
      </c>
      <c r="O301" s="50">
        <f t="shared" si="220"/>
        <v>6760.8297539198229</v>
      </c>
      <c r="P301" s="48" t="str">
        <f t="shared" si="188"/>
        <v>304.285714285714</v>
      </c>
      <c r="Q301" s="17" t="str">
        <f t="shared" si="189"/>
        <v>1+2211.97065435508i</v>
      </c>
      <c r="R301" s="17">
        <f t="shared" si="197"/>
        <v>2211.9708803978506</v>
      </c>
      <c r="S301" s="17">
        <f t="shared" si="198"/>
        <v>1.5703442412620692</v>
      </c>
      <c r="T301" s="17" t="str">
        <f t="shared" si="190"/>
        <v>1+0.0458779098681053i</v>
      </c>
      <c r="U301" s="17">
        <f t="shared" si="199"/>
        <v>1.0010518381252123</v>
      </c>
      <c r="V301" s="17">
        <f t="shared" si="200"/>
        <v>4.5845762780245512E-2</v>
      </c>
      <c r="W301" s="31" t="str">
        <f t="shared" si="191"/>
        <v>1-0.143368468337829i</v>
      </c>
      <c r="X301" s="17">
        <f t="shared" si="201"/>
        <v>1.0102249837108241</v>
      </c>
      <c r="Y301" s="17">
        <f t="shared" si="202"/>
        <v>-0.14239811766441693</v>
      </c>
      <c r="Z301" s="31" t="str">
        <f t="shared" si="192"/>
        <v>0.997130004008335+1.26471765080216i</v>
      </c>
      <c r="AA301" s="17">
        <f t="shared" si="203"/>
        <v>1.6105213383076289</v>
      </c>
      <c r="AB301" s="17">
        <f t="shared" si="204"/>
        <v>0.90315571272751027</v>
      </c>
      <c r="AC301" s="66" t="str">
        <f t="shared" si="205"/>
        <v>-0.072651042031387-0.0467250732147301i</v>
      </c>
      <c r="AD301" s="64">
        <f t="shared" si="206"/>
        <v>-21.271793061185615</v>
      </c>
      <c r="AE301" s="61">
        <f t="shared" si="207"/>
        <v>-147.25315042631863</v>
      </c>
      <c r="AF301" s="31" t="str">
        <f t="shared" si="193"/>
        <v>-0.000495863624968664</v>
      </c>
      <c r="AG301" s="31" t="str">
        <f t="shared" si="194"/>
        <v>0.00937608543156316i</v>
      </c>
      <c r="AH301" s="31">
        <f t="shared" si="208"/>
        <v>9.3760854315631595E-3</v>
      </c>
      <c r="AI301" s="31">
        <f t="shared" si="209"/>
        <v>1.5707963267948966</v>
      </c>
      <c r="AJ301" s="31" t="str">
        <f t="shared" si="195"/>
        <v>1+0.0365826030118997i</v>
      </c>
      <c r="AK301" s="31">
        <f t="shared" si="210"/>
        <v>1.000668919694784</v>
      </c>
      <c r="AL301" s="31">
        <f t="shared" si="211"/>
        <v>3.6566296764594157E-2</v>
      </c>
      <c r="AM301" s="31" t="str">
        <f t="shared" si="196"/>
        <v>1+11.2146001899813i</v>
      </c>
      <c r="AN301" s="31">
        <f t="shared" si="212"/>
        <v>11.259096652091085</v>
      </c>
      <c r="AO301" s="31">
        <f t="shared" si="213"/>
        <v>1.4818620663068225</v>
      </c>
      <c r="AP301" s="58" t="str">
        <f t="shared" si="214"/>
        <v>-0.590370518237313+0.0744832871880334i</v>
      </c>
      <c r="AQ301" s="49">
        <f t="shared" si="215"/>
        <v>-4.5089233720625419</v>
      </c>
      <c r="AR301" s="61">
        <f t="shared" si="216"/>
        <v>172.80934774288215</v>
      </c>
      <c r="AS301" s="58" t="str">
        <f t="shared" si="217"/>
        <v>0.0463712703816854+0.0221738172603229i</v>
      </c>
      <c r="AT301" s="64">
        <f t="shared" si="218"/>
        <v>-25.780716433248152</v>
      </c>
      <c r="AU301" s="61">
        <f t="shared" si="219"/>
        <v>25.556197316563512</v>
      </c>
    </row>
    <row r="302" spans="14:47" x14ac:dyDescent="0.25">
      <c r="N302" s="10">
        <v>84</v>
      </c>
      <c r="O302" s="50">
        <f t="shared" si="220"/>
        <v>6918.3097091893687</v>
      </c>
      <c r="P302" s="48" t="str">
        <f t="shared" si="188"/>
        <v>304.285714285714</v>
      </c>
      <c r="Q302" s="17" t="str">
        <f t="shared" si="189"/>
        <v>1+2263.49406973223i</v>
      </c>
      <c r="R302" s="17">
        <f t="shared" si="197"/>
        <v>2263.4942906296392</v>
      </c>
      <c r="S302" s="17">
        <f t="shared" si="198"/>
        <v>1.5703545319838073</v>
      </c>
      <c r="T302" s="17" t="str">
        <f t="shared" si="190"/>
        <v>1+0.0469465436685202i</v>
      </c>
      <c r="U302" s="17">
        <f t="shared" si="199"/>
        <v>1.0011013824595492</v>
      </c>
      <c r="V302" s="17">
        <f t="shared" si="200"/>
        <v>4.6912099489701084E-2</v>
      </c>
      <c r="W302" s="31" t="str">
        <f t="shared" si="191"/>
        <v>1-0.146707948964126i</v>
      </c>
      <c r="X302" s="17">
        <f t="shared" si="201"/>
        <v>1.0107043199122385</v>
      </c>
      <c r="Y302" s="17">
        <f t="shared" si="202"/>
        <v>-0.14566879330084523</v>
      </c>
      <c r="Z302" s="31" t="str">
        <f t="shared" si="192"/>
        <v>0.996994745264336+1.29417670927963i</v>
      </c>
      <c r="AA302" s="17">
        <f t="shared" si="203"/>
        <v>1.6336743484937719</v>
      </c>
      <c r="AB302" s="17">
        <f t="shared" si="204"/>
        <v>0.91438545022234108</v>
      </c>
      <c r="AC302" s="66" t="str">
        <f t="shared" si="205"/>
        <v>-0.0706269388706007-0.0440924167222428i</v>
      </c>
      <c r="AD302" s="64">
        <f t="shared" si="206"/>
        <v>-21.591222936529938</v>
      </c>
      <c r="AE302" s="61">
        <f t="shared" si="207"/>
        <v>-148.02345592186788</v>
      </c>
      <c r="AF302" s="31" t="str">
        <f t="shared" si="193"/>
        <v>-0.000495863624968664</v>
      </c>
      <c r="AG302" s="31" t="str">
        <f t="shared" si="194"/>
        <v>0.00959448251714425i</v>
      </c>
      <c r="AH302" s="31">
        <f t="shared" si="208"/>
        <v>9.5944825171442507E-3</v>
      </c>
      <c r="AI302" s="31">
        <f t="shared" si="209"/>
        <v>1.5707963267948966</v>
      </c>
      <c r="AJ302" s="31" t="str">
        <f t="shared" si="195"/>
        <v>1+0.0374347213014658i</v>
      </c>
      <c r="AK302" s="31">
        <f t="shared" si="210"/>
        <v>1.0007004338756522</v>
      </c>
      <c r="AL302" s="31">
        <f t="shared" si="211"/>
        <v>3.7417249503128573E-2</v>
      </c>
      <c r="AM302" s="31" t="str">
        <f t="shared" si="196"/>
        <v>1+11.4758217856383i</v>
      </c>
      <c r="AN302" s="31">
        <f t="shared" si="212"/>
        <v>11.519309252543339</v>
      </c>
      <c r="AO302" s="31">
        <f t="shared" si="213"/>
        <v>1.4838761586879827</v>
      </c>
      <c r="AP302" s="58" t="str">
        <f t="shared" si="214"/>
        <v>-0.590333334781196+0.0737811284902017i</v>
      </c>
      <c r="AQ302" s="49">
        <f t="shared" si="215"/>
        <v>-4.510739105252747</v>
      </c>
      <c r="AR302" s="61">
        <f t="shared" si="216"/>
        <v>172.87599073538897</v>
      </c>
      <c r="AS302" s="58" t="str">
        <f t="shared" si="217"/>
        <v>0.0449466246124967+0.0208182881505224i</v>
      </c>
      <c r="AT302" s="64">
        <f t="shared" si="218"/>
        <v>-26.101962041782688</v>
      </c>
      <c r="AU302" s="61">
        <f t="shared" si="219"/>
        <v>24.852534813521128</v>
      </c>
    </row>
    <row r="303" spans="14:47" x14ac:dyDescent="0.25">
      <c r="N303" s="10">
        <v>85</v>
      </c>
      <c r="O303" s="50">
        <f t="shared" si="220"/>
        <v>7079.4578438413828</v>
      </c>
      <c r="P303" s="48" t="str">
        <f t="shared" si="188"/>
        <v>304.285714285714</v>
      </c>
      <c r="Q303" s="17" t="str">
        <f t="shared" si="189"/>
        <v>1+2316.21761962603i</v>
      </c>
      <c r="R303" s="17">
        <f t="shared" si="197"/>
        <v>2316.2178354952007</v>
      </c>
      <c r="S303" s="17">
        <f t="shared" si="198"/>
        <v>1.5703645884602109</v>
      </c>
      <c r="T303" s="17" t="str">
        <f t="shared" si="190"/>
        <v>1+0.0480400691477991i</v>
      </c>
      <c r="U303" s="17">
        <f t="shared" si="199"/>
        <v>1.0011532591185655</v>
      </c>
      <c r="V303" s="17">
        <f t="shared" si="200"/>
        <v>4.8003163841041023E-2</v>
      </c>
      <c r="W303" s="31" t="str">
        <f t="shared" si="191"/>
        <v>1-0.150125216086872i</v>
      </c>
      <c r="X303" s="17">
        <f t="shared" si="201"/>
        <v>1.0112060030009364</v>
      </c>
      <c r="Y303" s="17">
        <f t="shared" si="202"/>
        <v>-0.14901240608008942</v>
      </c>
      <c r="Z303" s="31" t="str">
        <f t="shared" si="192"/>
        <v>0.996853111972121+1.32432195737881i</v>
      </c>
      <c r="AA303" s="17">
        <f t="shared" si="203"/>
        <v>1.6575719512721447</v>
      </c>
      <c r="AB303" s="17">
        <f t="shared" si="204"/>
        <v>0.92555211622473621</v>
      </c>
      <c r="AC303" s="66" t="str">
        <f t="shared" si="205"/>
        <v>-0.0686259649187596-0.041572991422973i</v>
      </c>
      <c r="AD303" s="64">
        <f t="shared" si="206"/>
        <v>-21.91260045237723</v>
      </c>
      <c r="AE303" s="61">
        <f t="shared" si="207"/>
        <v>-148.79289646675969</v>
      </c>
      <c r="AF303" s="31" t="str">
        <f t="shared" si="193"/>
        <v>-0.000495863624968664</v>
      </c>
      <c r="AG303" s="31" t="str">
        <f t="shared" si="194"/>
        <v>0.00981796672435392i</v>
      </c>
      <c r="AH303" s="31">
        <f t="shared" si="208"/>
        <v>9.8179667243539197E-3</v>
      </c>
      <c r="AI303" s="31">
        <f t="shared" si="209"/>
        <v>1.5707963267948966</v>
      </c>
      <c r="AJ303" s="31" t="str">
        <f t="shared" si="195"/>
        <v>1+0.038306687975773i</v>
      </c>
      <c r="AK303" s="31">
        <f t="shared" si="210"/>
        <v>1.0007334322104329</v>
      </c>
      <c r="AL303" s="31">
        <f t="shared" si="211"/>
        <v>3.8287967347522517E-2</v>
      </c>
      <c r="AM303" s="31" t="str">
        <f t="shared" si="196"/>
        <v>1+11.7431280139064i</v>
      </c>
      <c r="AN303" s="31">
        <f t="shared" si="212"/>
        <v>11.785629196228484</v>
      </c>
      <c r="AO303" s="31">
        <f t="shared" si="213"/>
        <v>1.4858450881059102</v>
      </c>
      <c r="AP303" s="58" t="str">
        <f t="shared" si="214"/>
        <v>-0.590294403942633+0.0731179584794321i</v>
      </c>
      <c r="AQ303" s="49">
        <f t="shared" si="215"/>
        <v>-4.5124988129194534</v>
      </c>
      <c r="AR303" s="61">
        <f t="shared" si="216"/>
        <v>172.93891362356484</v>
      </c>
      <c r="AS303" s="58" t="str">
        <f t="shared" si="217"/>
        <v>0.043549255317438+0.0195225137385952i</v>
      </c>
      <c r="AT303" s="64">
        <f t="shared" si="218"/>
        <v>-26.425099265296677</v>
      </c>
      <c r="AU303" s="61">
        <f t="shared" si="219"/>
        <v>24.146017156805147</v>
      </c>
    </row>
    <row r="304" spans="14:47" x14ac:dyDescent="0.25">
      <c r="N304" s="10">
        <v>86</v>
      </c>
      <c r="O304" s="50">
        <f t="shared" si="220"/>
        <v>7244.3596007499036</v>
      </c>
      <c r="P304" s="48" t="str">
        <f t="shared" si="188"/>
        <v>304.285714285714</v>
      </c>
      <c r="Q304" s="17" t="str">
        <f t="shared" si="189"/>
        <v>1+2370.16925876053i</v>
      </c>
      <c r="R304" s="17">
        <f t="shared" si="197"/>
        <v>2370.1694697159187</v>
      </c>
      <c r="S304" s="17">
        <f t="shared" si="198"/>
        <v>1.5703744160233484</v>
      </c>
      <c r="T304" s="17" t="str">
        <f t="shared" si="190"/>
        <v>1+0.0491590661076258i</v>
      </c>
      <c r="U304" s="17">
        <f t="shared" si="199"/>
        <v>1.0012075777682539</v>
      </c>
      <c r="V304" s="17">
        <f t="shared" si="200"/>
        <v>4.911952393450799E-2</v>
      </c>
      <c r="W304" s="31" t="str">
        <f t="shared" si="191"/>
        <v>1-0.153622081586331i</v>
      </c>
      <c r="X304" s="17">
        <f t="shared" si="201"/>
        <v>1.0117310630552554</v>
      </c>
      <c r="Y304" s="17">
        <f t="shared" si="202"/>
        <v>-0.15243042962889006</v>
      </c>
      <c r="Z304" s="31" t="str">
        <f t="shared" si="192"/>
        <v>0.996704803708489+1.35516937850927i</v>
      </c>
      <c r="AA304" s="17">
        <f t="shared" si="203"/>
        <v>1.6822320024850255</v>
      </c>
      <c r="AB304" s="17">
        <f t="shared" si="204"/>
        <v>0.93665065392878843</v>
      </c>
      <c r="AC304" s="66" t="str">
        <f t="shared" si="205"/>
        <v>-0.0666498144885654-0.0391638543043079i</v>
      </c>
      <c r="AD304" s="64">
        <f t="shared" si="206"/>
        <v>-22.235890292717265</v>
      </c>
      <c r="AE304" s="61">
        <f t="shared" si="207"/>
        <v>-149.56123451570957</v>
      </c>
      <c r="AF304" s="31" t="str">
        <f t="shared" si="193"/>
        <v>-0.000495863624968664</v>
      </c>
      <c r="AG304" s="31" t="str">
        <f t="shared" si="194"/>
        <v>0.010046656547477i</v>
      </c>
      <c r="AH304" s="31">
        <f t="shared" si="208"/>
        <v>1.0046656547477001E-2</v>
      </c>
      <c r="AI304" s="31">
        <f t="shared" si="209"/>
        <v>1.5707963267948966</v>
      </c>
      <c r="AJ304" s="31" t="str">
        <f t="shared" si="195"/>
        <v>1+0.039198965363094i</v>
      </c>
      <c r="AK304" s="31">
        <f t="shared" si="210"/>
        <v>1.0007679845426396</v>
      </c>
      <c r="AL304" s="31">
        <f t="shared" si="211"/>
        <v>3.9178906679813733E-2</v>
      </c>
      <c r="AM304" s="31" t="str">
        <f t="shared" si="196"/>
        <v>1+12.0166606040863i</v>
      </c>
      <c r="AN304" s="31">
        <f t="shared" si="212"/>
        <v>12.058197712502468</v>
      </c>
      <c r="AO304" s="31">
        <f t="shared" si="213"/>
        <v>1.4877698374158275</v>
      </c>
      <c r="AP304" s="58" t="str">
        <f t="shared" si="214"/>
        <v>-0.590253643853255+0.0724934161898391i</v>
      </c>
      <c r="AQ304" s="49">
        <f t="shared" si="215"/>
        <v>-4.514206156246658</v>
      </c>
      <c r="AR304" s="61">
        <f t="shared" si="216"/>
        <v>172.99814657210132</v>
      </c>
      <c r="AS304" s="58" t="str">
        <f t="shared" si="217"/>
        <v>0.0421794174536996+0.0182849349697606i</v>
      </c>
      <c r="AT304" s="64">
        <f t="shared" si="218"/>
        <v>-26.750096448963923</v>
      </c>
      <c r="AU304" s="61">
        <f t="shared" si="219"/>
        <v>23.436912056391776</v>
      </c>
    </row>
    <row r="305" spans="14:47" x14ac:dyDescent="0.25">
      <c r="N305" s="10">
        <v>87</v>
      </c>
      <c r="O305" s="50">
        <f t="shared" si="220"/>
        <v>7413.1024130091773</v>
      </c>
      <c r="P305" s="48" t="str">
        <f t="shared" si="188"/>
        <v>304.285714285714</v>
      </c>
      <c r="Q305" s="17" t="str">
        <f t="shared" si="189"/>
        <v>1+2425.37759300892i</v>
      </c>
      <c r="R305" s="17">
        <f t="shared" si="197"/>
        <v>2425.3777991623783</v>
      </c>
      <c r="S305" s="17">
        <f t="shared" si="198"/>
        <v>1.5703840198839163</v>
      </c>
      <c r="T305" s="17" t="str">
        <f t="shared" si="190"/>
        <v>1+0.0503041278549997i</v>
      </c>
      <c r="U305" s="17">
        <f t="shared" si="199"/>
        <v>1.001264453218655</v>
      </c>
      <c r="V305" s="17">
        <f t="shared" si="200"/>
        <v>5.0261760542476865E-2</v>
      </c>
      <c r="W305" s="31" t="str">
        <f t="shared" si="191"/>
        <v>1-0.157200399546874i</v>
      </c>
      <c r="X305" s="17">
        <f t="shared" si="201"/>
        <v>1.0122805765289073</v>
      </c>
      <c r="Y305" s="17">
        <f t="shared" si="202"/>
        <v>-0.15592435660471185</v>
      </c>
      <c r="Z305" s="31" t="str">
        <f t="shared" si="192"/>
        <v>0.996549505891727+1.386735328382i</v>
      </c>
      <c r="AA305" s="17">
        <f t="shared" si="203"/>
        <v>1.7076726233900275</v>
      </c>
      <c r="AB305" s="17">
        <f t="shared" si="204"/>
        <v>0.94767617468487919</v>
      </c>
      <c r="AC305" s="66" t="str">
        <f t="shared" si="205"/>
        <v>-0.0647000876749786-0.036862022068555i</v>
      </c>
      <c r="AD305" s="64">
        <f t="shared" si="206"/>
        <v>-22.561054972721131</v>
      </c>
      <c r="AE305" s="61">
        <f t="shared" si="207"/>
        <v>-150.32824251544457</v>
      </c>
      <c r="AF305" s="31" t="str">
        <f t="shared" si="193"/>
        <v>-0.000495863624968664</v>
      </c>
      <c r="AG305" s="31" t="str">
        <f t="shared" si="194"/>
        <v>0.0102806732408848i</v>
      </c>
      <c r="AH305" s="31">
        <f t="shared" si="208"/>
        <v>1.0280673240884801E-2</v>
      </c>
      <c r="AI305" s="31">
        <f t="shared" si="209"/>
        <v>1.5707963267948966</v>
      </c>
      <c r="AJ305" s="31" t="str">
        <f t="shared" si="195"/>
        <v>1+0.0401120265607101i</v>
      </c>
      <c r="AK305" s="31">
        <f t="shared" si="210"/>
        <v>1.000804163997536</v>
      </c>
      <c r="AL305" s="31">
        <f t="shared" si="211"/>
        <v>4.009053422697325E-2</v>
      </c>
      <c r="AM305" s="31" t="str">
        <f t="shared" si="196"/>
        <v>1+12.2965645867777i</v>
      </c>
      <c r="AN305" s="31">
        <f t="shared" si="212"/>
        <v>12.337159342279543</v>
      </c>
      <c r="AO305" s="31">
        <f t="shared" si="213"/>
        <v>1.4896513700692462</v>
      </c>
      <c r="AP305" s="58" t="str">
        <f t="shared" si="214"/>
        <v>-0.590210968832791+0.0719071604715449i</v>
      </c>
      <c r="AQ305" s="49">
        <f t="shared" si="215"/>
        <v>-4.515864691092168</v>
      </c>
      <c r="AR305" s="61">
        <f t="shared" si="216"/>
        <v>173.05371804121816</v>
      </c>
      <c r="AS305" s="58" t="str">
        <f t="shared" si="217"/>
        <v>0.0408373447664049+0.0171039701712499i</v>
      </c>
      <c r="AT305" s="64">
        <f t="shared" si="218"/>
        <v>-27.076919663813289</v>
      </c>
      <c r="AU305" s="61">
        <f t="shared" si="219"/>
        <v>22.725475525773632</v>
      </c>
    </row>
    <row r="306" spans="14:47" x14ac:dyDescent="0.25">
      <c r="N306" s="10">
        <v>88</v>
      </c>
      <c r="O306" s="50">
        <f t="shared" si="220"/>
        <v>7585.7757502918394</v>
      </c>
      <c r="P306" s="48" t="str">
        <f t="shared" si="188"/>
        <v>304.285714285714</v>
      </c>
      <c r="Q306" s="17" t="str">
        <f t="shared" si="189"/>
        <v>1+2481.87189456079i</v>
      </c>
      <c r="R306" s="17">
        <f t="shared" si="197"/>
        <v>2481.8720960216233</v>
      </c>
      <c r="S306" s="17">
        <f t="shared" si="198"/>
        <v>1.5703934051340018</v>
      </c>
      <c r="T306" s="17" t="str">
        <f t="shared" si="190"/>
        <v>1+0.0514758615168163i</v>
      </c>
      <c r="U306" s="17">
        <f t="shared" si="199"/>
        <v>1.0013240056639501</v>
      </c>
      <c r="V306" s="17">
        <f t="shared" si="200"/>
        <v>5.1430467364895663E-2</v>
      </c>
      <c r="W306" s="31" t="str">
        <f t="shared" si="191"/>
        <v>1-0.160862067240051i</v>
      </c>
      <c r="X306" s="17">
        <f t="shared" si="201"/>
        <v>1.012855668235481</v>
      </c>
      <c r="Y306" s="17">
        <f t="shared" si="202"/>
        <v>-0.15949569814107539</v>
      </c>
      <c r="Z306" s="31" t="str">
        <f t="shared" si="192"/>
        <v>0.996386889114346+1.41903654368145i</v>
      </c>
      <c r="AA306" s="17">
        <f t="shared" si="203"/>
        <v>1.7339122080146849</v>
      </c>
      <c r="AB306" s="17">
        <f t="shared" si="204"/>
        <v>0.9586239670604102</v>
      </c>
      <c r="AC306" s="66" t="str">
        <f t="shared" si="205"/>
        <v>-0.062778286376806-0.0346644780434075i</v>
      </c>
      <c r="AD306" s="64">
        <f t="shared" si="206"/>
        <v>-22.888054925580196</v>
      </c>
      <c r="AE306" s="61">
        <f t="shared" si="207"/>
        <v>-151.09370337758816</v>
      </c>
      <c r="AF306" s="31" t="str">
        <f t="shared" si="193"/>
        <v>-0.000495863624968664</v>
      </c>
      <c r="AG306" s="31" t="str">
        <f t="shared" si="194"/>
        <v>0.0105201408833256i</v>
      </c>
      <c r="AH306" s="31">
        <f t="shared" si="208"/>
        <v>1.0520140883325599E-2</v>
      </c>
      <c r="AI306" s="31">
        <f t="shared" si="209"/>
        <v>1.5707963267948966</v>
      </c>
      <c r="AJ306" s="31" t="str">
        <f t="shared" si="195"/>
        <v>1+0.0410463556857541i</v>
      </c>
      <c r="AK306" s="31">
        <f t="shared" si="210"/>
        <v>1.0008420471358512</v>
      </c>
      <c r="AL306" s="31">
        <f t="shared" si="211"/>
        <v>4.102332728156418E-2</v>
      </c>
      <c r="AM306" s="31" t="str">
        <f t="shared" si="196"/>
        <v>1+12.5829883707773i</v>
      </c>
      <c r="AN306" s="31">
        <f t="shared" si="212"/>
        <v>12.622662014769974</v>
      </c>
      <c r="AO306" s="31">
        <f t="shared" si="213"/>
        <v>1.4914906303625255</v>
      </c>
      <c r="AP306" s="58" t="str">
        <f t="shared" si="214"/>
        <v>-0.590166289213924+0.0713588697626578i</v>
      </c>
      <c r="AQ306" s="49">
        <f t="shared" si="215"/>
        <v>-4.5174778749846745</v>
      </c>
      <c r="AR306" s="61">
        <f t="shared" si="216"/>
        <v>173.10565478826192</v>
      </c>
      <c r="AS306" s="58" t="str">
        <f t="shared" si="217"/>
        <v>0.0395232462882987+0.01597801881293i</v>
      </c>
      <c r="AT306" s="64">
        <f t="shared" si="218"/>
        <v>-27.405532800564867</v>
      </c>
      <c r="AU306" s="61">
        <f t="shared" si="219"/>
        <v>22.011951410673753</v>
      </c>
    </row>
    <row r="307" spans="14:47" x14ac:dyDescent="0.25">
      <c r="N307" s="10">
        <v>89</v>
      </c>
      <c r="O307" s="50">
        <f t="shared" si="220"/>
        <v>7762.4711662869322</v>
      </c>
      <c r="P307" s="48" t="str">
        <f t="shared" si="188"/>
        <v>304.285714285714</v>
      </c>
      <c r="Q307" s="17" t="str">
        <f t="shared" si="189"/>
        <v>1+2539.68211744262i</v>
      </c>
      <c r="R307" s="17">
        <f t="shared" si="197"/>
        <v>2539.6823143176448</v>
      </c>
      <c r="S307" s="17">
        <f t="shared" si="198"/>
        <v>1.5704025767497818</v>
      </c>
      <c r="T307" s="17" t="str">
        <f t="shared" si="190"/>
        <v>1+0.0526748883617727i</v>
      </c>
      <c r="U307" s="17">
        <f t="shared" si="199"/>
        <v>1.0013863609336433</v>
      </c>
      <c r="V307" s="17">
        <f t="shared" si="200"/>
        <v>5.2626251287876388E-2</v>
      </c>
      <c r="W307" s="31" t="str">
        <f t="shared" si="191"/>
        <v>1-0.16460902613054i</v>
      </c>
      <c r="X307" s="17">
        <f t="shared" si="201"/>
        <v>1.0134575134082557</v>
      </c>
      <c r="Y307" s="17">
        <f t="shared" si="202"/>
        <v>-0.16314598321959833</v>
      </c>
      <c r="Z307" s="31" t="str">
        <f t="shared" si="192"/>
        <v>0.996216608444358+1.45209015093953i</v>
      </c>
      <c r="AA307" s="17">
        <f t="shared" si="203"/>
        <v>1.7609694311361472</v>
      </c>
      <c r="AB307" s="17">
        <f t="shared" si="204"/>
        <v>0.96948950493364494</v>
      </c>
      <c r="AC307" s="66" t="str">
        <f t="shared" si="205"/>
        <v>-0.0608858110423233-0.032568179289823i</v>
      </c>
      <c r="AD307" s="64">
        <f t="shared" si="206"/>
        <v>-23.216848592778192</v>
      </c>
      <c r="AE307" s="61">
        <f t="shared" si="207"/>
        <v>-151.85741089176221</v>
      </c>
      <c r="AF307" s="31" t="str">
        <f t="shared" si="193"/>
        <v>-0.000495863624968664</v>
      </c>
      <c r="AG307" s="31" t="str">
        <f t="shared" si="194"/>
        <v>0.0107651864437134i</v>
      </c>
      <c r="AH307" s="31">
        <f t="shared" si="208"/>
        <v>1.0765186443713401E-2</v>
      </c>
      <c r="AI307" s="31">
        <f t="shared" si="209"/>
        <v>1.5707963267948966</v>
      </c>
      <c r="AJ307" s="31" t="str">
        <f t="shared" si="195"/>
        <v>1+0.0420024481318955i</v>
      </c>
      <c r="AK307" s="31">
        <f t="shared" si="210"/>
        <v>1.0008817141146462</v>
      </c>
      <c r="AL307" s="31">
        <f t="shared" si="211"/>
        <v>4.1977773926101754E-2</v>
      </c>
      <c r="AM307" s="31" t="str">
        <f t="shared" si="196"/>
        <v>1+12.8760838217667i</v>
      </c>
      <c r="AN307" s="31">
        <f t="shared" si="212"/>
        <v>12.914857126006549</v>
      </c>
      <c r="AO307" s="31">
        <f t="shared" si="213"/>
        <v>1.4932885436921133</v>
      </c>
      <c r="AP307" s="58" t="str">
        <f t="shared" si="214"/>
        <v>-0.590119511159225+0.0708482418683078i</v>
      </c>
      <c r="AQ307" s="49">
        <f t="shared" si="215"/>
        <v>-4.5190490739562064</v>
      </c>
      <c r="AR307" s="61">
        <f t="shared" si="216"/>
        <v>173.15398186947513</v>
      </c>
      <c r="AS307" s="58" t="str">
        <f t="shared" si="217"/>
        <v>0.0382373032923646+0.0149054653747817i</v>
      </c>
      <c r="AT307" s="64">
        <f t="shared" si="218"/>
        <v>-27.735897666734392</v>
      </c>
      <c r="AU307" s="61">
        <f t="shared" si="219"/>
        <v>21.296570977712832</v>
      </c>
    </row>
    <row r="308" spans="14:47" x14ac:dyDescent="0.25">
      <c r="N308" s="10">
        <v>90</v>
      </c>
      <c r="O308" s="50">
        <f t="shared" si="220"/>
        <v>7943.2823472428154</v>
      </c>
      <c r="P308" s="48" t="str">
        <f t="shared" si="188"/>
        <v>304.285714285714</v>
      </c>
      <c r="Q308" s="17" t="str">
        <f t="shared" si="189"/>
        <v>1+2598.83891339978i</v>
      </c>
      <c r="R308" s="17">
        <f t="shared" si="197"/>
        <v>2598.8391057933823</v>
      </c>
      <c r="S308" s="17">
        <f t="shared" si="198"/>
        <v>1.5704115395941625</v>
      </c>
      <c r="T308" s="17" t="str">
        <f t="shared" si="190"/>
        <v>1+0.053901844129773i</v>
      </c>
      <c r="U308" s="17">
        <f t="shared" si="199"/>
        <v>1.0014516507553375</v>
      </c>
      <c r="V308" s="17">
        <f t="shared" si="200"/>
        <v>5.3849732645318657E-2</v>
      </c>
      <c r="W308" s="31" t="str">
        <f t="shared" si="191"/>
        <v>1-0.168443262905541i</v>
      </c>
      <c r="X308" s="17">
        <f t="shared" si="201"/>
        <v>1.0140873398372869</v>
      </c>
      <c r="Y308" s="17">
        <f t="shared" si="202"/>
        <v>-0.16687675796399026</v>
      </c>
      <c r="Z308" s="31" t="str">
        <f t="shared" si="192"/>
        <v>0.996038302693633+1.48591367561632i</v>
      </c>
      <c r="AA308" s="17">
        <f t="shared" si="203"/>
        <v>1.788863256880306</v>
      </c>
      <c r="AB308" s="17">
        <f t="shared" si="204"/>
        <v>0.98026845460329459</v>
      </c>
      <c r="AC308" s="66" t="str">
        <f t="shared" si="205"/>
        <v>-0.0590239581386631-0.0305700638326327i</v>
      </c>
      <c r="AD308" s="64">
        <f t="shared" si="206"/>
        <v>-23.547392517023766</v>
      </c>
      <c r="AE308" s="61">
        <f t="shared" si="207"/>
        <v>-152.61917007764583</v>
      </c>
      <c r="AF308" s="31" t="str">
        <f t="shared" si="193"/>
        <v>-0.000495863624968664</v>
      </c>
      <c r="AG308" s="31" t="str">
        <f t="shared" si="194"/>
        <v>0.0110159398484477i</v>
      </c>
      <c r="AH308" s="31">
        <f t="shared" si="208"/>
        <v>1.10159398484477E-2</v>
      </c>
      <c r="AI308" s="31">
        <f t="shared" si="209"/>
        <v>1.5707963267948966</v>
      </c>
      <c r="AJ308" s="31" t="str">
        <f t="shared" si="195"/>
        <v>1+0.0429808108320044i</v>
      </c>
      <c r="AK308" s="31">
        <f t="shared" si="210"/>
        <v>1.0009232488556636</v>
      </c>
      <c r="AL308" s="31">
        <f t="shared" si="211"/>
        <v>4.2954373261100028E-2</v>
      </c>
      <c r="AM308" s="31" t="str">
        <f t="shared" si="196"/>
        <v>1+13.1760063428334i</v>
      </c>
      <c r="AN308" s="31">
        <f t="shared" si="212"/>
        <v>13.213899619203485</v>
      </c>
      <c r="AO308" s="31">
        <f t="shared" si="213"/>
        <v>1.4950460168155661</v>
      </c>
      <c r="AP308" s="58" t="str">
        <f t="shared" si="214"/>
        <v>-0.590070536470017+0.070374993746402i</v>
      </c>
      <c r="AQ308" s="49">
        <f t="shared" si="215"/>
        <v>-4.5205815692177271</v>
      </c>
      <c r="AR308" s="61">
        <f t="shared" si="216"/>
        <v>173.19872264188604</v>
      </c>
      <c r="AS308" s="58" t="str">
        <f t="shared" si="217"/>
        <v>0.0369796666945134+0.0138846832807479i</v>
      </c>
      <c r="AT308" s="64">
        <f t="shared" si="218"/>
        <v>-28.067974086241495</v>
      </c>
      <c r="AU308" s="61">
        <f t="shared" si="219"/>
        <v>20.579552564240149</v>
      </c>
    </row>
    <row r="309" spans="14:47" x14ac:dyDescent="0.25">
      <c r="N309" s="10">
        <v>91</v>
      </c>
      <c r="O309" s="50">
        <f t="shared" si="220"/>
        <v>8128.3051616410066</v>
      </c>
      <c r="P309" s="48" t="str">
        <f t="shared" si="188"/>
        <v>304.285714285714</v>
      </c>
      <c r="Q309" s="17" t="str">
        <f t="shared" si="189"/>
        <v>1+2659.37364814853i</v>
      </c>
      <c r="R309" s="17">
        <f t="shared" si="197"/>
        <v>2659.3738361627197</v>
      </c>
      <c r="S309" s="17">
        <f t="shared" si="198"/>
        <v>1.5704202984193565</v>
      </c>
      <c r="T309" s="17" t="str">
        <f t="shared" si="190"/>
        <v>1+0.0551573793690064i</v>
      </c>
      <c r="U309" s="17">
        <f t="shared" si="199"/>
        <v>1.0015200130296231</v>
      </c>
      <c r="V309" s="17">
        <f t="shared" si="200"/>
        <v>5.5101545483426759E-2</v>
      </c>
      <c r="W309" s="31" t="str">
        <f t="shared" si="191"/>
        <v>1-0.172366810528145i</v>
      </c>
      <c r="X309" s="17">
        <f t="shared" si="201"/>
        <v>1.0147464300856868</v>
      </c>
      <c r="Y309" s="17">
        <f t="shared" si="202"/>
        <v>-0.1706895848509955</v>
      </c>
      <c r="Z309" s="31" t="str">
        <f t="shared" si="192"/>
        <v>0.995851593651767+1.52052505139232i</v>
      </c>
      <c r="AA309" s="17">
        <f t="shared" si="203"/>
        <v>1.8176129479320899</v>
      </c>
      <c r="AB309" s="17">
        <f t="shared" si="204"/>
        <v>0.99095668090551559</v>
      </c>
      <c r="AC309" s="66" t="str">
        <f t="shared" si="205"/>
        <v>-0.0571939183365628-0.0286670579413986i</v>
      </c>
      <c r="AD309" s="64">
        <f t="shared" si="206"/>
        <v>-23.87964143707898</v>
      </c>
      <c r="AE309" s="61">
        <f t="shared" si="207"/>
        <v>-153.37879747523633</v>
      </c>
      <c r="AF309" s="31" t="str">
        <f t="shared" si="193"/>
        <v>-0.000495863624968664</v>
      </c>
      <c r="AG309" s="31" t="str">
        <f t="shared" si="194"/>
        <v>0.0112725340503029i</v>
      </c>
      <c r="AH309" s="31">
        <f t="shared" si="208"/>
        <v>1.12725340503029E-2</v>
      </c>
      <c r="AI309" s="31">
        <f t="shared" si="209"/>
        <v>1.5707963267948966</v>
      </c>
      <c r="AJ309" s="31" t="str">
        <f t="shared" si="195"/>
        <v>1+0.043981962526935i</v>
      </c>
      <c r="AK309" s="31">
        <f t="shared" si="210"/>
        <v>1.0009667392214991</v>
      </c>
      <c r="AL309" s="31">
        <f t="shared" si="211"/>
        <v>4.3953635636784678E-2</v>
      </c>
      <c r="AM309" s="31" t="str">
        <f t="shared" si="196"/>
        <v>1+13.4829149568682i</v>
      </c>
      <c r="AN309" s="31">
        <f t="shared" si="212"/>
        <v>13.51994806699124</v>
      </c>
      <c r="AO309" s="31">
        <f t="shared" si="213"/>
        <v>1.4967639381174977</v>
      </c>
      <c r="AP309" s="58" t="str">
        <f t="shared" si="214"/>
        <v>-0.590019262386671+0.0699388612997351i</v>
      </c>
      <c r="AQ309" s="49">
        <f t="shared" si="215"/>
        <v>-4.5220785636905694</v>
      </c>
      <c r="AR309" s="61">
        <f t="shared" si="216"/>
        <v>173.23989876526937</v>
      </c>
      <c r="AS309" s="58" t="str">
        <f t="shared" si="217"/>
        <v>0.0357504548991772+0.0129140388596507i</v>
      </c>
      <c r="AT309" s="64">
        <f t="shared" si="218"/>
        <v>-28.401720000769561</v>
      </c>
      <c r="AU309" s="61">
        <f t="shared" si="219"/>
        <v>19.861101290033069</v>
      </c>
    </row>
    <row r="310" spans="14:47" x14ac:dyDescent="0.25">
      <c r="N310" s="10">
        <v>92</v>
      </c>
      <c r="O310" s="50">
        <f t="shared" si="220"/>
        <v>8317.6377110267094</v>
      </c>
      <c r="P310" s="48" t="str">
        <f t="shared" si="188"/>
        <v>304.285714285714</v>
      </c>
      <c r="Q310" s="17" t="str">
        <f t="shared" si="189"/>
        <v>1+2721.31841800649i</v>
      </c>
      <c r="R310" s="17">
        <f t="shared" si="197"/>
        <v>2721.3186017409548</v>
      </c>
      <c r="S310" s="17">
        <f t="shared" si="198"/>
        <v>1.5704288578694037</v>
      </c>
      <c r="T310" s="17" t="str">
        <f t="shared" si="190"/>
        <v>1+0.0564421597808752i</v>
      </c>
      <c r="U310" s="17">
        <f t="shared" si="199"/>
        <v>1.0015915921176306</v>
      </c>
      <c r="V310" s="17">
        <f t="shared" si="200"/>
        <v>5.6382337827963945E-2</v>
      </c>
      <c r="W310" s="31" t="str">
        <f t="shared" si="191"/>
        <v>1-0.176381749315235i</v>
      </c>
      <c r="X310" s="17">
        <f t="shared" si="201"/>
        <v>1.0154361237869678</v>
      </c>
      <c r="Y310" s="17">
        <f t="shared" si="202"/>
        <v>-0.17458604183309478</v>
      </c>
      <c r="Z310" s="31" t="str">
        <f t="shared" si="192"/>
        <v>0.995656085283849+1.5559426296771i</v>
      </c>
      <c r="AA310" s="17">
        <f t="shared" si="203"/>
        <v>1.8472380753463395</v>
      </c>
      <c r="AB310" s="17">
        <f t="shared" si="204"/>
        <v>1.0015502523386448</v>
      </c>
      <c r="AC310" s="66" t="str">
        <f t="shared" si="205"/>
        <v>-0.0553967753944967-0.0268560833921721i</v>
      </c>
      <c r="AD310" s="64">
        <f t="shared" si="206"/>
        <v>-24.213548383732913</v>
      </c>
      <c r="AE310" s="61">
        <f t="shared" si="207"/>
        <v>-154.13612137304159</v>
      </c>
      <c r="AF310" s="31" t="str">
        <f t="shared" si="193"/>
        <v>-0.000495863624968664</v>
      </c>
      <c r="AG310" s="31" t="str">
        <f t="shared" si="194"/>
        <v>0.0115351050989211i</v>
      </c>
      <c r="AH310" s="31">
        <f t="shared" si="208"/>
        <v>1.1535105098921101E-2</v>
      </c>
      <c r="AI310" s="31">
        <f t="shared" si="209"/>
        <v>1.5707963267948966</v>
      </c>
      <c r="AJ310" s="31" t="str">
        <f t="shared" si="195"/>
        <v>1+0.0450064340405672i</v>
      </c>
      <c r="AK310" s="31">
        <f t="shared" si="210"/>
        <v>1.0010122771999592</v>
      </c>
      <c r="AL310" s="31">
        <f t="shared" si="211"/>
        <v>4.4976082888437484E-2</v>
      </c>
      <c r="AM310" s="31" t="str">
        <f t="shared" si="196"/>
        <v>1+13.7969723908806i</v>
      </c>
      <c r="AN310" s="31">
        <f t="shared" si="212"/>
        <v>13.833164755569188</v>
      </c>
      <c r="AO310" s="31">
        <f t="shared" si="213"/>
        <v>1.4984431778796465</v>
      </c>
      <c r="AP310" s="58" t="str">
        <f t="shared" si="214"/>
        <v>-0.589965581380099+0.069539599174075i</v>
      </c>
      <c r="AQ310" s="49">
        <f t="shared" si="215"/>
        <v>-4.5235431884024466</v>
      </c>
      <c r="AR310" s="61">
        <f t="shared" si="216"/>
        <v>173.27753020413664</v>
      </c>
      <c r="AS310" s="58" t="str">
        <f t="shared" si="217"/>
        <v>0.0345497520766742+0.0119918952955857i</v>
      </c>
      <c r="AT310" s="64">
        <f t="shared" si="218"/>
        <v>-28.737091572135359</v>
      </c>
      <c r="AU310" s="61">
        <f t="shared" si="219"/>
        <v>19.14140883109506</v>
      </c>
    </row>
    <row r="311" spans="14:47" x14ac:dyDescent="0.25">
      <c r="N311" s="10">
        <v>93</v>
      </c>
      <c r="O311" s="50">
        <f t="shared" si="220"/>
        <v>8511.3803820237772</v>
      </c>
      <c r="P311" s="48" t="str">
        <f t="shared" si="188"/>
        <v>304.285714285714</v>
      </c>
      <c r="Q311" s="17" t="str">
        <f t="shared" si="189"/>
        <v>1+2784.70606691059i</v>
      </c>
      <c r="R311" s="17">
        <f t="shared" si="197"/>
        <v>2784.7062464627479</v>
      </c>
      <c r="S311" s="17">
        <f t="shared" si="198"/>
        <v>1.5704372224826328</v>
      </c>
      <c r="T311" s="17" t="str">
        <f t="shared" si="190"/>
        <v>1+0.0577568665729603i</v>
      </c>
      <c r="U311" s="17">
        <f t="shared" si="199"/>
        <v>1.0016665391418078</v>
      </c>
      <c r="V311" s="17">
        <f t="shared" si="200"/>
        <v>5.7692771954074989E-2</v>
      </c>
      <c r="W311" s="31" t="str">
        <f t="shared" si="191"/>
        <v>1-0.180490208040501i</v>
      </c>
      <c r="X311" s="17">
        <f t="shared" si="201"/>
        <v>1.0161578200252672</v>
      </c>
      <c r="Y311" s="17">
        <f t="shared" si="202"/>
        <v>-0.17856772136759327</v>
      </c>
      <c r="Z311" s="31" t="str">
        <f t="shared" si="192"/>
        <v>0.99545136289042+1.59218518933946i</v>
      </c>
      <c r="AA311" s="17">
        <f t="shared" si="203"/>
        <v>1.8777585289467671</v>
      </c>
      <c r="AB311" s="17">
        <f t="shared" si="204"/>
        <v>1.0120454452043137</v>
      </c>
      <c r="AC311" s="66" t="str">
        <f t="shared" si="205"/>
        <v>-0.0536335057192819-0.0251340646447295i</v>
      </c>
      <c r="AD311" s="64">
        <f t="shared" si="206"/>
        <v>-24.549064776194175</v>
      </c>
      <c r="AE311" s="61">
        <f t="shared" si="207"/>
        <v>-154.89098197439981</v>
      </c>
      <c r="AF311" s="31" t="str">
        <f t="shared" si="193"/>
        <v>-0.000495863624968664</v>
      </c>
      <c r="AG311" s="31" t="str">
        <f t="shared" si="194"/>
        <v>0.0118037922129479i</v>
      </c>
      <c r="AH311" s="31">
        <f t="shared" si="208"/>
        <v>1.1803792212947899E-2</v>
      </c>
      <c r="AI311" s="31">
        <f t="shared" si="209"/>
        <v>1.5707963267948966</v>
      </c>
      <c r="AJ311" s="31" t="str">
        <f t="shared" si="195"/>
        <v>1+0.0460547685612585i</v>
      </c>
      <c r="AK311" s="31">
        <f t="shared" si="210"/>
        <v>1.001059959096972</v>
      </c>
      <c r="AL311" s="31">
        <f t="shared" si="211"/>
        <v>4.6022248575340027E-2</v>
      </c>
      <c r="AM311" s="31" t="str">
        <f t="shared" si="196"/>
        <v>1+14.1183451622792i</v>
      </c>
      <c r="AN311" s="31">
        <f t="shared" si="212"/>
        <v>14.153715770823309</v>
      </c>
      <c r="AO311" s="31">
        <f t="shared" si="213"/>
        <v>1.5000845885543515</v>
      </c>
      <c r="AP311" s="58" t="str">
        <f t="shared" si="214"/>
        <v>-0.589909380933996+0.0691769805618441i</v>
      </c>
      <c r="AQ311" s="49">
        <f t="shared" si="215"/>
        <v>-4.5249785087595216</v>
      </c>
      <c r="AR311" s="61">
        <f t="shared" si="216"/>
        <v>173.311635229714</v>
      </c>
      <c r="AS311" s="58" t="str">
        <f t="shared" si="217"/>
        <v>0.0333776068575501+0.0111166165323211i</v>
      </c>
      <c r="AT311" s="64">
        <f t="shared" si="218"/>
        <v>-29.074043284953696</v>
      </c>
      <c r="AU311" s="61">
        <f t="shared" si="219"/>
        <v>18.420653255314186</v>
      </c>
    </row>
    <row r="312" spans="14:47" x14ac:dyDescent="0.25">
      <c r="N312" s="10">
        <v>94</v>
      </c>
      <c r="O312" s="50">
        <f t="shared" si="220"/>
        <v>8709.6358995608189</v>
      </c>
      <c r="P312" s="48" t="str">
        <f t="shared" si="188"/>
        <v>304.285714285714</v>
      </c>
      <c r="Q312" s="17" t="str">
        <f t="shared" si="189"/>
        <v>1+2849.57020383131i</v>
      </c>
      <c r="R312" s="17">
        <f t="shared" si="197"/>
        <v>2849.5703792963623</v>
      </c>
      <c r="S312" s="17">
        <f t="shared" si="198"/>
        <v>1.5704453966940677</v>
      </c>
      <c r="T312" s="17" t="str">
        <f t="shared" si="190"/>
        <v>1+0.0591021968202048i</v>
      </c>
      <c r="U312" s="17">
        <f t="shared" si="199"/>
        <v>1.0017450123005227</v>
      </c>
      <c r="V312" s="17">
        <f t="shared" si="200"/>
        <v>5.9033524658477096E-2</v>
      </c>
      <c r="W312" s="31" t="str">
        <f t="shared" si="191"/>
        <v>1-0.18469436506314i</v>
      </c>
      <c r="X312" s="17">
        <f t="shared" si="201"/>
        <v>1.0169129798001777</v>
      </c>
      <c r="Y312" s="17">
        <f t="shared" si="202"/>
        <v>-0.18263622934651222</v>
      </c>
      <c r="Z312" s="31" t="str">
        <f t="shared" si="192"/>
        <v>0.995236992227835+1.62927194666428i</v>
      </c>
      <c r="AA312" s="17">
        <f t="shared" si="203"/>
        <v>1.9091945282987588</v>
      </c>
      <c r="AB312" s="17">
        <f t="shared" si="204"/>
        <v>1.0224387467813048</v>
      </c>
      <c r="AC312" s="66" t="str">
        <f t="shared" si="205"/>
        <v>-0.0519049785740487-0.0234979358744756i</v>
      </c>
      <c r="AD312" s="64">
        <f t="shared" si="206"/>
        <v>-24.886140518207114</v>
      </c>
      <c r="AE312" s="61">
        <f t="shared" si="207"/>
        <v>-155.64323150255851</v>
      </c>
      <c r="AF312" s="31" t="str">
        <f t="shared" si="193"/>
        <v>-0.000495863624968664</v>
      </c>
      <c r="AG312" s="31" t="str">
        <f t="shared" si="194"/>
        <v>0.0120787378538478i</v>
      </c>
      <c r="AH312" s="31">
        <f t="shared" si="208"/>
        <v>1.2078737853847801E-2</v>
      </c>
      <c r="AI312" s="31">
        <f t="shared" si="209"/>
        <v>1.5707963267948966</v>
      </c>
      <c r="AJ312" s="31" t="str">
        <f t="shared" si="195"/>
        <v>1+0.0471275219298478i</v>
      </c>
      <c r="AK312" s="31">
        <f t="shared" si="210"/>
        <v>1.0011098857384479</v>
      </c>
      <c r="AL312" s="31">
        <f t="shared" si="211"/>
        <v>4.7092678223260499E-2</v>
      </c>
      <c r="AM312" s="31" t="str">
        <f t="shared" si="196"/>
        <v>1+14.4472036671612i</v>
      </c>
      <c r="AN312" s="31">
        <f t="shared" si="212"/>
        <v>14.481771086453344</v>
      </c>
      <c r="AO312" s="31">
        <f t="shared" si="213"/>
        <v>1.5016890050407399</v>
      </c>
      <c r="AP312" s="58" t="str">
        <f t="shared" si="214"/>
        <v>-0.589850543317514+0.0688507970109813i</v>
      </c>
      <c r="AQ312" s="49">
        <f t="shared" si="215"/>
        <v>-4.5263875307039942</v>
      </c>
      <c r="AR312" s="61">
        <f t="shared" si="216"/>
        <v>173.34223042187375</v>
      </c>
      <c r="AS312" s="58" t="str">
        <f t="shared" si="217"/>
        <v>0.0322340314258571+0.0102865710987384i</v>
      </c>
      <c r="AT312" s="64">
        <f t="shared" si="218"/>
        <v>-29.41252804891111</v>
      </c>
      <c r="AU312" s="61">
        <f t="shared" si="219"/>
        <v>17.698998919315322</v>
      </c>
    </row>
    <row r="313" spans="14:47" x14ac:dyDescent="0.25">
      <c r="N313" s="10">
        <v>95</v>
      </c>
      <c r="O313" s="50">
        <f t="shared" si="220"/>
        <v>8912.5093813374679</v>
      </c>
      <c r="P313" s="48" t="str">
        <f t="shared" si="188"/>
        <v>304.285714285714</v>
      </c>
      <c r="Q313" s="17" t="str">
        <f t="shared" si="189"/>
        <v>1+2915.94522059262i</v>
      </c>
      <c r="R313" s="17">
        <f t="shared" si="197"/>
        <v>2915.9453920636001</v>
      </c>
      <c r="S313" s="17">
        <f t="shared" si="198"/>
        <v>1.5704533848377793</v>
      </c>
      <c r="T313" s="17" t="str">
        <f t="shared" si="190"/>
        <v>1+0.0604788638345134i</v>
      </c>
      <c r="U313" s="17">
        <f t="shared" si="199"/>
        <v>1.0018271771971021</v>
      </c>
      <c r="V313" s="17">
        <f t="shared" si="200"/>
        <v>6.040528753380988E-2</v>
      </c>
      <c r="W313" s="31" t="str">
        <f t="shared" si="191"/>
        <v>1-0.188996449482855i</v>
      </c>
      <c r="X313" s="17">
        <f t="shared" si="201"/>
        <v>1.0177031285778408</v>
      </c>
      <c r="Y313" s="17">
        <f t="shared" si="202"/>
        <v>-0.18679318392154762</v>
      </c>
      <c r="Z313" s="31" t="str">
        <f t="shared" si="192"/>
        <v>0.995012518587178+1.66722256554118i</v>
      </c>
      <c r="AA313" s="17">
        <f t="shared" si="203"/>
        <v>1.9415666342402247</v>
      </c>
      <c r="AB313" s="17">
        <f t="shared" si="204"/>
        <v>1.0327268575555784</v>
      </c>
      <c r="AC313" s="66" t="str">
        <f t="shared" si="205"/>
        <v>-0.0502119568990598-0.021944647803401i</v>
      </c>
      <c r="AD313" s="64">
        <f t="shared" si="206"/>
        <v>-25.224724093232211</v>
      </c>
      <c r="AE313" s="61">
        <f t="shared" si="207"/>
        <v>-156.39273424553608</v>
      </c>
      <c r="AF313" s="31" t="str">
        <f t="shared" si="193"/>
        <v>-0.000495863624968664</v>
      </c>
      <c r="AG313" s="31" t="str">
        <f t="shared" si="194"/>
        <v>0.0123600878014387i</v>
      </c>
      <c r="AH313" s="31">
        <f t="shared" si="208"/>
        <v>1.2360087801438701E-2</v>
      </c>
      <c r="AI313" s="31">
        <f t="shared" si="209"/>
        <v>1.5707963267948966</v>
      </c>
      <c r="AJ313" s="31" t="str">
        <f t="shared" si="195"/>
        <v>1+0.0482252629343708i</v>
      </c>
      <c r="AK313" s="31">
        <f t="shared" si="210"/>
        <v>1.0011621626814955</v>
      </c>
      <c r="AL313" s="31">
        <f t="shared" si="211"/>
        <v>4.8187929570431859E-2</v>
      </c>
      <c r="AM313" s="31" t="str">
        <f t="shared" si="196"/>
        <v>1+14.7837222706588i</v>
      </c>
      <c r="AN313" s="31">
        <f t="shared" si="212"/>
        <v>14.817504654157291</v>
      </c>
      <c r="AO313" s="31">
        <f t="shared" si="213"/>
        <v>1.5032572449630155</v>
      </c>
      <c r="AP313" s="58" t="str">
        <f t="shared" si="214"/>
        <v>-0.589788945347973+0.0685608582385748i</v>
      </c>
      <c r="AQ313" s="49">
        <f t="shared" si="215"/>
        <v>-4.5277732067675629</v>
      </c>
      <c r="AR313" s="61">
        <f t="shared" si="216"/>
        <v>173.36933067098511</v>
      </c>
      <c r="AS313" s="58" t="str">
        <f t="shared" si="217"/>
        <v>0.0311190009904988+0.00950013582516272i</v>
      </c>
      <c r="AT313" s="64">
        <f t="shared" si="218"/>
        <v>-29.752497299999771</v>
      </c>
      <c r="AU313" s="61">
        <f t="shared" si="219"/>
        <v>16.976596425449056</v>
      </c>
    </row>
    <row r="314" spans="14:47" x14ac:dyDescent="0.25">
      <c r="N314" s="10">
        <v>96</v>
      </c>
      <c r="O314" s="50">
        <f t="shared" si="220"/>
        <v>9120.1083935591087</v>
      </c>
      <c r="P314" s="48" t="str">
        <f t="shared" si="188"/>
        <v>304.285714285714</v>
      </c>
      <c r="Q314" s="17" t="str">
        <f t="shared" si="189"/>
        <v>1+2983.86631010698i</v>
      </c>
      <c r="R314" s="17">
        <f t="shared" si="197"/>
        <v>2983.8664776748046</v>
      </c>
      <c r="S314" s="17">
        <f t="shared" si="198"/>
        <v>1.5704611911491828</v>
      </c>
      <c r="T314" s="17" t="str">
        <f t="shared" si="190"/>
        <v>1+0.0618875975429595i</v>
      </c>
      <c r="U314" s="17">
        <f t="shared" si="199"/>
        <v>1.0019132071839554</v>
      </c>
      <c r="V314" s="17">
        <f t="shared" si="200"/>
        <v>6.1808767244902148E-2</v>
      </c>
      <c r="W314" s="31" t="str">
        <f t="shared" si="191"/>
        <v>1-0.193398742321749i</v>
      </c>
      <c r="X314" s="17">
        <f t="shared" si="201"/>
        <v>1.0185298589298373</v>
      </c>
      <c r="Y314" s="17">
        <f t="shared" si="202"/>
        <v>-0.19104021421816056</v>
      </c>
      <c r="Z314" s="31" t="str">
        <f t="shared" si="192"/>
        <v>0.994777465829761+1.70605716789063i</v>
      </c>
      <c r="AA314" s="17">
        <f t="shared" si="203"/>
        <v>1.9748957609538988</v>
      </c>
      <c r="AB314" s="17">
        <f t="shared" si="204"/>
        <v>1.0429066925365067</v>
      </c>
      <c r="AC314" s="66" t="str">
        <f t="shared" si="205"/>
        <v>-0.0485550987062761-0.0204711742800722i</v>
      </c>
      <c r="AD314" s="64">
        <f t="shared" si="206"/>
        <v>-25.564762658076312</v>
      </c>
      <c r="AE314" s="61">
        <f t="shared" si="207"/>
        <v>-157.13936654216226</v>
      </c>
      <c r="AF314" s="31" t="str">
        <f t="shared" si="193"/>
        <v>-0.000495863624968664</v>
      </c>
      <c r="AG314" s="31" t="str">
        <f t="shared" si="194"/>
        <v>0.0126479912311871i</v>
      </c>
      <c r="AH314" s="31">
        <f t="shared" si="208"/>
        <v>1.26479912311871E-2</v>
      </c>
      <c r="AI314" s="31">
        <f t="shared" si="209"/>
        <v>1.5707963267948966</v>
      </c>
      <c r="AJ314" s="31" t="str">
        <f t="shared" si="195"/>
        <v>1+0.0493485736116384i</v>
      </c>
      <c r="AK314" s="31">
        <f t="shared" si="210"/>
        <v>1.0012169004354168</v>
      </c>
      <c r="AL314" s="31">
        <f t="shared" si="211"/>
        <v>4.9308572816946818E-2</v>
      </c>
      <c r="AM314" s="31" t="str">
        <f t="shared" si="196"/>
        <v>1+15.1280793993901i</v>
      </c>
      <c r="AN314" s="31">
        <f t="shared" si="212"/>
        <v>15.161094495921166</v>
      </c>
      <c r="AO314" s="31">
        <f t="shared" si="213"/>
        <v>1.5047901089502587</v>
      </c>
      <c r="AP314" s="58" t="str">
        <f t="shared" si="214"/>
        <v>-0.589724458143156+0.0683069919488029i</v>
      </c>
      <c r="AQ314" s="49">
        <f t="shared" si="215"/>
        <v>-4.5291384420317353</v>
      </c>
      <c r="AR314" s="61">
        <f t="shared" si="216"/>
        <v>173.39294917965657</v>
      </c>
      <c r="AS314" s="58" t="str">
        <f t="shared" si="217"/>
        <v>0.0300324536113776+0.00875569942346676i</v>
      </c>
      <c r="AT314" s="64">
        <f t="shared" si="218"/>
        <v>-30.093901100108035</v>
      </c>
      <c r="AU314" s="61">
        <f t="shared" si="219"/>
        <v>16.253582637494276</v>
      </c>
    </row>
    <row r="315" spans="14:47" x14ac:dyDescent="0.25">
      <c r="N315" s="10">
        <v>97</v>
      </c>
      <c r="O315" s="50">
        <f t="shared" si="220"/>
        <v>9332.5430079699217</v>
      </c>
      <c r="P315" s="48" t="str">
        <f t="shared" si="188"/>
        <v>304.285714285714</v>
      </c>
      <c r="Q315" s="17" t="str">
        <f t="shared" si="189"/>
        <v>1+3053.3694850351i</v>
      </c>
      <c r="R315" s="17">
        <f t="shared" si="197"/>
        <v>3053.369648788615</v>
      </c>
      <c r="S315" s="17">
        <f t="shared" si="198"/>
        <v>1.5704688197672843</v>
      </c>
      <c r="T315" s="17" t="str">
        <f t="shared" si="190"/>
        <v>1+0.0633291448748019i</v>
      </c>
      <c r="U315" s="17">
        <f t="shared" si="199"/>
        <v>1.0020032837224506</v>
      </c>
      <c r="V315" s="17">
        <f t="shared" si="200"/>
        <v>6.3244685806693221E-2</v>
      </c>
      <c r="W315" s="31" t="str">
        <f t="shared" si="191"/>
        <v>1-0.197903577733756i</v>
      </c>
      <c r="X315" s="17">
        <f t="shared" si="201"/>
        <v>1.0193948332612937</v>
      </c>
      <c r="Y315" s="17">
        <f t="shared" si="202"/>
        <v>-0.19537895893273599</v>
      </c>
      <c r="Z315" s="31" t="str">
        <f t="shared" si="192"/>
        <v>0.994531335377171+1.74579634433283i</v>
      </c>
      <c r="AA315" s="17">
        <f t="shared" si="203"/>
        <v>2.0092031885633101</v>
      </c>
      <c r="AB315" s="17">
        <f t="shared" si="204"/>
        <v>1.0529753816949514</v>
      </c>
      <c r="AC315" s="66" t="str">
        <f t="shared" si="205"/>
        <v>-0.0469349590048405-0.0190745185645679i</v>
      </c>
      <c r="AD315" s="64">
        <f t="shared" si="206"/>
        <v>-25.906202134403685</v>
      </c>
      <c r="AE315" s="61">
        <f t="shared" si="207"/>
        <v>-157.88301671100569</v>
      </c>
      <c r="AF315" s="31" t="str">
        <f t="shared" si="193"/>
        <v>-0.000495863624968664</v>
      </c>
      <c r="AG315" s="31" t="str">
        <f t="shared" si="194"/>
        <v>0.0129426007933021i</v>
      </c>
      <c r="AH315" s="31">
        <f t="shared" si="208"/>
        <v>1.29426007933021E-2</v>
      </c>
      <c r="AI315" s="31">
        <f t="shared" si="209"/>
        <v>1.5707963267948966</v>
      </c>
      <c r="AJ315" s="31" t="str">
        <f t="shared" si="195"/>
        <v>1+0.0504980495558405i</v>
      </c>
      <c r="AK315" s="31">
        <f t="shared" si="210"/>
        <v>1.0012742146929303</v>
      </c>
      <c r="AL315" s="31">
        <f t="shared" si="211"/>
        <v>5.0455190877490286E-2</v>
      </c>
      <c r="AM315" s="31" t="str">
        <f t="shared" si="196"/>
        <v>1+15.4804576360627i</v>
      </c>
      <c r="AN315" s="31">
        <f t="shared" si="212"/>
        <v>15.512722798462299</v>
      </c>
      <c r="AO315" s="31">
        <f t="shared" si="213"/>
        <v>1.5062883809172087</v>
      </c>
      <c r="AP315" s="58" t="str">
        <f t="shared" si="214"/>
        <v>-0.58965694686285+0.0680890436547418i</v>
      </c>
      <c r="AQ315" s="49">
        <f t="shared" si="215"/>
        <v>-4.5304861000039871</v>
      </c>
      <c r="AR315" s="61">
        <f t="shared" si="216"/>
        <v>173.413097464343</v>
      </c>
      <c r="AS315" s="58" t="str">
        <f t="shared" si="217"/>
        <v>0.0289742903551633+0.00805166590704776i</v>
      </c>
      <c r="AT315" s="64">
        <f t="shared" si="218"/>
        <v>-30.436688234407679</v>
      </c>
      <c r="AU315" s="61">
        <f t="shared" si="219"/>
        <v>15.530080753337307</v>
      </c>
    </row>
    <row r="316" spans="14:47" x14ac:dyDescent="0.25">
      <c r="N316" s="10">
        <v>98</v>
      </c>
      <c r="O316" s="50">
        <f t="shared" si="220"/>
        <v>9549.9258602143691</v>
      </c>
      <c r="P316" s="48" t="str">
        <f t="shared" si="188"/>
        <v>304.285714285714</v>
      </c>
      <c r="Q316" s="17" t="str">
        <f t="shared" si="189"/>
        <v>1+3124.49159688032i</v>
      </c>
      <c r="R316" s="17">
        <f t="shared" si="197"/>
        <v>3124.4917569063505</v>
      </c>
      <c r="S316" s="17">
        <f t="shared" si="198"/>
        <v>1.5704762747368741</v>
      </c>
      <c r="T316" s="17" t="str">
        <f t="shared" si="190"/>
        <v>1+0.0648042701575176i</v>
      </c>
      <c r="U316" s="17">
        <f t="shared" si="199"/>
        <v>1.002097596759242</v>
      </c>
      <c r="V316" s="17">
        <f t="shared" si="200"/>
        <v>6.4713780863520143E-2</v>
      </c>
      <c r="W316" s="31" t="str">
        <f t="shared" si="191"/>
        <v>1-0.202513344242243i</v>
      </c>
      <c r="X316" s="17">
        <f t="shared" si="201"/>
        <v>1.0202997866294872</v>
      </c>
      <c r="Y316" s="17">
        <f t="shared" si="202"/>
        <v>-0.19981106480658542</v>
      </c>
      <c r="Z316" s="31" t="str">
        <f t="shared" si="192"/>
        <v>0.99427360515372+1.78646116510514i</v>
      </c>
      <c r="AA316" s="17">
        <f t="shared" si="203"/>
        <v>2.0445105762343689</v>
      </c>
      <c r="AB316" s="17">
        <f t="shared" si="204"/>
        <v>1.0629302695639538</v>
      </c>
      <c r="AC316" s="66" t="str">
        <f t="shared" si="205"/>
        <v>-0.0453519922117591-0.0177517192803592i</v>
      </c>
      <c r="AD316" s="64">
        <f t="shared" si="206"/>
        <v>-26.248987297611958</v>
      </c>
      <c r="AE316" s="61">
        <f t="shared" si="207"/>
        <v>-158.62358492418645</v>
      </c>
      <c r="AF316" s="31" t="str">
        <f t="shared" si="193"/>
        <v>-0.000495863624968664</v>
      </c>
      <c r="AG316" s="31" t="str">
        <f t="shared" si="194"/>
        <v>0.0132440726936734i</v>
      </c>
      <c r="AH316" s="31">
        <f t="shared" si="208"/>
        <v>1.3244072693673401E-2</v>
      </c>
      <c r="AI316" s="31">
        <f t="shared" si="209"/>
        <v>1.5707963267948966</v>
      </c>
      <c r="AJ316" s="31" t="str">
        <f t="shared" si="195"/>
        <v>1+0.0516743002343379i</v>
      </c>
      <c r="AK316" s="31">
        <f t="shared" si="210"/>
        <v>1.0013342265720813</v>
      </c>
      <c r="AL316" s="31">
        <f t="shared" si="211"/>
        <v>5.1628379637313579E-2</v>
      </c>
      <c r="AM316" s="31" t="str">
        <f t="shared" si="196"/>
        <v>1+15.8410438162821i</v>
      </c>
      <c r="AN316" s="31">
        <f t="shared" si="212"/>
        <v>15.872576009878465</v>
      </c>
      <c r="AO316" s="31">
        <f t="shared" si="213"/>
        <v>1.5077528283455457</v>
      </c>
      <c r="AP316" s="58" t="str">
        <f t="shared" si="214"/>
        <v>-0.589586270439114+0.0679068765035377i</v>
      </c>
      <c r="AQ316" s="49">
        <f t="shared" si="215"/>
        <v>-4.5318190084213734</v>
      </c>
      <c r="AR316" s="61">
        <f t="shared" si="216"/>
        <v>173.42978535679541</v>
      </c>
      <c r="AS316" s="58" t="str">
        <f t="shared" si="217"/>
        <v>0.0279443757540116+0.00738645783007576i</v>
      </c>
      <c r="AT316" s="64">
        <f t="shared" si="218"/>
        <v>-30.780806306033341</v>
      </c>
      <c r="AU316" s="61">
        <f t="shared" si="219"/>
        <v>14.806200432608962</v>
      </c>
    </row>
    <row r="317" spans="14:47" x14ac:dyDescent="0.25">
      <c r="N317" s="10">
        <v>99</v>
      </c>
      <c r="O317" s="50">
        <f t="shared" si="220"/>
        <v>9772.3722095581161</v>
      </c>
      <c r="P317" s="48" t="str">
        <f t="shared" si="188"/>
        <v>304.285714285714</v>
      </c>
      <c r="Q317" s="17" t="str">
        <f t="shared" si="189"/>
        <v>1+3197.27035552773i</v>
      </c>
      <c r="R317" s="17">
        <f t="shared" si="197"/>
        <v>3197.2705119111229</v>
      </c>
      <c r="S317" s="17">
        <f t="shared" si="198"/>
        <v>1.5704835600106728</v>
      </c>
      <c r="T317" s="17" t="str">
        <f t="shared" si="190"/>
        <v>1+0.0663137555220566i</v>
      </c>
      <c r="U317" s="17">
        <f t="shared" si="199"/>
        <v>1.0021963451197771</v>
      </c>
      <c r="V317" s="17">
        <f t="shared" si="200"/>
        <v>6.6216805969447817E-2</v>
      </c>
      <c r="W317" s="31" t="str">
        <f t="shared" si="191"/>
        <v>1-0.207230486006427i</v>
      </c>
      <c r="X317" s="17">
        <f t="shared" si="201"/>
        <v>1.0212465296540596</v>
      </c>
      <c r="Y317" s="17">
        <f t="shared" si="202"/>
        <v>-0.20433818497044209</v>
      </c>
      <c r="Z317" s="31" t="str">
        <f t="shared" si="192"/>
        <v>0.994003728479048+1.8280731912338i</v>
      </c>
      <c r="AA317" s="17">
        <f t="shared" si="203"/>
        <v>2.0808399757641092</v>
      </c>
      <c r="AB317" s="17">
        <f t="shared" si="204"/>
        <v>1.0727689140470049</v>
      </c>
      <c r="AC317" s="66" t="str">
        <f t="shared" si="205"/>
        <v>-0.0438065549999992-0.0164998560013025i</v>
      </c>
      <c r="AD317" s="64">
        <f t="shared" si="206"/>
        <v>-26.59306186261059</v>
      </c>
      <c r="AE317" s="61">
        <f t="shared" si="207"/>
        <v>-159.36098302830192</v>
      </c>
      <c r="AF317" s="31" t="str">
        <f t="shared" si="193"/>
        <v>-0.000495863624968664</v>
      </c>
      <c r="AG317" s="31" t="str">
        <f t="shared" si="194"/>
        <v>0.0135525667766929i</v>
      </c>
      <c r="AH317" s="31">
        <f t="shared" si="208"/>
        <v>1.3552566776692899E-2</v>
      </c>
      <c r="AI317" s="31">
        <f t="shared" si="209"/>
        <v>1.5707963267948966</v>
      </c>
      <c r="AJ317" s="31" t="str">
        <f t="shared" si="195"/>
        <v>1+0.0528779493108097i</v>
      </c>
      <c r="AK317" s="31">
        <f t="shared" si="210"/>
        <v>1.0013970628693278</v>
      </c>
      <c r="AL317" s="31">
        <f t="shared" si="211"/>
        <v>5.2828748211341536E-2</v>
      </c>
      <c r="AM317" s="31" t="str">
        <f t="shared" si="196"/>
        <v>1+16.2100291276138i</v>
      </c>
      <c r="AN317" s="31">
        <f t="shared" si="212"/>
        <v>16.24084493855193</v>
      </c>
      <c r="AO317" s="31">
        <f t="shared" si="213"/>
        <v>1.50918420256521</v>
      </c>
      <c r="AP317" s="58" t="str">
        <f t="shared" si="214"/>
        <v>-0.589512281294989+0.0677603711044453i</v>
      </c>
      <c r="AQ317" s="49">
        <f t="shared" si="215"/>
        <v>-4.533139964989334</v>
      </c>
      <c r="AR317" s="61">
        <f t="shared" si="216"/>
        <v>173.44302100533406</v>
      </c>
      <c r="AS317" s="58" t="str">
        <f t="shared" si="217"/>
        <v>0.0269425385395421+0.00675851932875941i</v>
      </c>
      <c r="AT317" s="64">
        <f t="shared" si="218"/>
        <v>-31.126201827599921</v>
      </c>
      <c r="AU317" s="61">
        <f t="shared" si="219"/>
        <v>14.082037977032149</v>
      </c>
    </row>
    <row r="318" spans="14:47" x14ac:dyDescent="0.25">
      <c r="N318" s="10">
        <v>100</v>
      </c>
      <c r="O318" s="50">
        <f t="shared" si="220"/>
        <v>10000</v>
      </c>
      <c r="P318" s="48" t="str">
        <f t="shared" si="188"/>
        <v>304.285714285714</v>
      </c>
      <c r="Q318" s="17" t="str">
        <f t="shared" si="189"/>
        <v>1+3271.74434923852i</v>
      </c>
      <c r="R318" s="17">
        <f t="shared" si="197"/>
        <v>3271.7445020621931</v>
      </c>
      <c r="S318" s="17">
        <f t="shared" si="198"/>
        <v>1.570490679451426</v>
      </c>
      <c r="T318" s="17" t="str">
        <f t="shared" si="190"/>
        <v>1+0.0678584013175396i</v>
      </c>
      <c r="U318" s="17">
        <f t="shared" si="199"/>
        <v>1.0022997369197362</v>
      </c>
      <c r="V318" s="17">
        <f t="shared" si="200"/>
        <v>6.7754530869298404E-2</v>
      </c>
      <c r="W318" s="31" t="str">
        <f t="shared" si="191"/>
        <v>1-0.212057504117311i</v>
      </c>
      <c r="X318" s="17">
        <f t="shared" si="201"/>
        <v>1.0222369515197851</v>
      </c>
      <c r="Y318" s="17">
        <f t="shared" si="202"/>
        <v>-0.20896197715304285</v>
      </c>
      <c r="Z318" s="31" t="str">
        <f t="shared" si="192"/>
        <v>0.993721132908547+1.87065448596587i</v>
      </c>
      <c r="AA318" s="17">
        <f t="shared" si="203"/>
        <v>2.1182138456381781</v>
      </c>
      <c r="AB318" s="17">
        <f t="shared" si="204"/>
        <v>1.0824890844823871</v>
      </c>
      <c r="AC318" s="66" t="str">
        <f t="shared" si="205"/>
        <v>-0.0422989095349614-0.0153160544480225i</v>
      </c>
      <c r="AD318" s="64">
        <f t="shared" si="206"/>
        <v>-26.938368566096329</v>
      </c>
      <c r="AE318" s="61">
        <f t="shared" si="207"/>
        <v>-160.09513431489975</v>
      </c>
      <c r="AF318" s="31" t="str">
        <f t="shared" si="193"/>
        <v>-0.000495863624968664</v>
      </c>
      <c r="AG318" s="31" t="str">
        <f t="shared" si="194"/>
        <v>0.0138682466100068i</v>
      </c>
      <c r="AH318" s="31">
        <f t="shared" si="208"/>
        <v>1.3868246610006799E-2</v>
      </c>
      <c r="AI318" s="31">
        <f t="shared" si="209"/>
        <v>1.5707963267948966</v>
      </c>
      <c r="AJ318" s="31" t="str">
        <f t="shared" si="195"/>
        <v>1+0.0541096349759284i</v>
      </c>
      <c r="AK318" s="31">
        <f t="shared" si="210"/>
        <v>1.0014628563243013</v>
      </c>
      <c r="AL318" s="31">
        <f t="shared" si="211"/>
        <v>5.4056919206289543E-2</v>
      </c>
      <c r="AM318" s="31" t="str">
        <f t="shared" si="196"/>
        <v>1+16.5876092109541i</v>
      </c>
      <c r="AN318" s="31">
        <f t="shared" si="212"/>
        <v>16.617724854363466</v>
      </c>
      <c r="AO318" s="31">
        <f t="shared" si="213"/>
        <v>1.5105832390353575</v>
      </c>
      <c r="AP318" s="58" t="str">
        <f t="shared" si="214"/>
        <v>-0.589434825051017+0.0676494253591865i</v>
      </c>
      <c r="AQ318" s="49">
        <f t="shared" si="215"/>
        <v>-4.5344517430684892</v>
      </c>
      <c r="AR318" s="61">
        <f t="shared" si="216"/>
        <v>173.4528108759275</v>
      </c>
      <c r="AS318" s="58" t="str">
        <f t="shared" si="217"/>
        <v>0.0259685726237675+0.00616631895068164i</v>
      </c>
      <c r="AT318" s="64">
        <f t="shared" si="218"/>
        <v>-31.47282030916482</v>
      </c>
      <c r="AU318" s="61">
        <f t="shared" si="219"/>
        <v>13.35767656102775</v>
      </c>
    </row>
    <row r="319" spans="14:47" x14ac:dyDescent="0.25">
      <c r="N319" s="10">
        <v>1</v>
      </c>
      <c r="O319" s="50">
        <f>10^(4+(N319/100))</f>
        <v>10232.929922807549</v>
      </c>
      <c r="P319" s="48" t="str">
        <f t="shared" si="188"/>
        <v>304.285714285714</v>
      </c>
      <c r="Q319" s="17" t="str">
        <f t="shared" si="189"/>
        <v>1+3347.95306510994i</v>
      </c>
      <c r="R319" s="17">
        <f t="shared" si="197"/>
        <v>3347.9532144549216</v>
      </c>
      <c r="S319" s="17">
        <f t="shared" si="198"/>
        <v>1.5704976368339523</v>
      </c>
      <c r="T319" s="17" t="str">
        <f t="shared" si="190"/>
        <v>1+0.0694390265356133i</v>
      </c>
      <c r="U319" s="17">
        <f t="shared" si="199"/>
        <v>1.0024079899951983</v>
      </c>
      <c r="V319" s="17">
        <f t="shared" si="200"/>
        <v>6.932774177999261E-2</v>
      </c>
      <c r="W319" s="31" t="str">
        <f t="shared" si="191"/>
        <v>1-0.216996957923792i</v>
      </c>
      <c r="X319" s="17">
        <f t="shared" si="201"/>
        <v>1.0232730230726206</v>
      </c>
      <c r="Y319" s="17">
        <f t="shared" si="202"/>
        <v>-0.21368410174725569</v>
      </c>
      <c r="Z319" s="31" t="str">
        <f t="shared" si="192"/>
        <v>0.993425219019122+1.91422762646743i</v>
      </c>
      <c r="AA319" s="17">
        <f t="shared" si="203"/>
        <v>2.1566550655388359</v>
      </c>
      <c r="AB319" s="17">
        <f t="shared" si="204"/>
        <v>1.0920887590148296</v>
      </c>
      <c r="AC319" s="66" t="str">
        <f t="shared" si="205"/>
        <v>-0.0408292270497623-0.014197491273945i</v>
      </c>
      <c r="AD319" s="64">
        <f t="shared" si="206"/>
        <v>-27.284849244977721</v>
      </c>
      <c r="AE319" s="61">
        <f t="shared" si="207"/>
        <v>-160.82597324307983</v>
      </c>
      <c r="AF319" s="31" t="str">
        <f t="shared" si="193"/>
        <v>-0.000495863624968664</v>
      </c>
      <c r="AG319" s="31" t="str">
        <f t="shared" si="194"/>
        <v>0.0141912795712413i</v>
      </c>
      <c r="AH319" s="31">
        <f t="shared" si="208"/>
        <v>1.41912795712413E-2</v>
      </c>
      <c r="AI319" s="31">
        <f t="shared" si="209"/>
        <v>1.5707963267948966</v>
      </c>
      <c r="AJ319" s="31" t="str">
        <f t="shared" si="195"/>
        <v>1+0.0553700102857371i</v>
      </c>
      <c r="AK319" s="31">
        <f t="shared" si="210"/>
        <v>1.0015317458967752</v>
      </c>
      <c r="AL319" s="31">
        <f t="shared" si="211"/>
        <v>5.5313528985649181E-2</v>
      </c>
      <c r="AM319" s="31" t="str">
        <f t="shared" si="196"/>
        <v>1+16.973984264261i</v>
      </c>
      <c r="AN319" s="31">
        <f t="shared" si="212"/>
        <v>17.003415592267924</v>
      </c>
      <c r="AO319" s="31">
        <f t="shared" si="213"/>
        <v>1.5119506576245652</v>
      </c>
      <c r="AP319" s="58" t="str">
        <f t="shared" si="214"/>
        <v>-0.589353740219221+0.0675739542940712i</v>
      </c>
      <c r="AQ319" s="49">
        <f t="shared" si="215"/>
        <v>-4.5357570973177612</v>
      </c>
      <c r="AR319" s="61">
        <f t="shared" si="216"/>
        <v>173.45915975306468</v>
      </c>
      <c r="AS319" s="58" t="str">
        <f t="shared" si="217"/>
        <v>0.0250222382984732+0.00560835226150634i</v>
      </c>
      <c r="AT319" s="64">
        <f t="shared" si="218"/>
        <v>-31.820606342295498</v>
      </c>
      <c r="AU319" s="61">
        <f t="shared" si="219"/>
        <v>12.633186509984844</v>
      </c>
    </row>
    <row r="320" spans="14:47" x14ac:dyDescent="0.25">
      <c r="N320" s="10">
        <v>2</v>
      </c>
      <c r="O320" s="50">
        <f t="shared" ref="O320:O383" si="221">10^(4+(N320/100))</f>
        <v>10471.285480509003</v>
      </c>
      <c r="P320" s="48" t="str">
        <f t="shared" si="188"/>
        <v>304.285714285714</v>
      </c>
      <c r="Q320" s="17" t="str">
        <f t="shared" si="189"/>
        <v>1+3425.93691001187i</v>
      </c>
      <c r="R320" s="17">
        <f t="shared" si="197"/>
        <v>3425.9370559573445</v>
      </c>
      <c r="S320" s="17">
        <f t="shared" si="198"/>
        <v>1.5705044358471452</v>
      </c>
      <c r="T320" s="17" t="str">
        <f t="shared" si="190"/>
        <v>1+0.0710564692446905i</v>
      </c>
      <c r="U320" s="17">
        <f t="shared" si="199"/>
        <v>1.0025213323523452</v>
      </c>
      <c r="V320" s="17">
        <f t="shared" si="200"/>
        <v>7.0937241671787166E-2</v>
      </c>
      <c r="W320" s="31" t="str">
        <f t="shared" si="191"/>
        <v>1-0.222051466389658i</v>
      </c>
      <c r="X320" s="17">
        <f t="shared" si="201"/>
        <v>1.0243568000095462</v>
      </c>
      <c r="Y320" s="17">
        <f t="shared" si="202"/>
        <v>-0.21850621972721826</v>
      </c>
      <c r="Z320" s="31" t="str">
        <f t="shared" si="192"/>
        <v>0.993115359137741+1.95881571579434i</v>
      </c>
      <c r="AA320" s="17">
        <f t="shared" si="203"/>
        <v>2.1961869512858363</v>
      </c>
      <c r="AB320" s="17">
        <f t="shared" si="204"/>
        <v>1.1015661213277783</v>
      </c>
      <c r="AC320" s="66" t="str">
        <f t="shared" si="205"/>
        <v>-0.0393975917099364-0.0131413984269822i</v>
      </c>
      <c r="AD320" s="64">
        <f t="shared" si="206"/>
        <v>-27.632444910659409</v>
      </c>
      <c r="AE320" s="61">
        <f t="shared" si="207"/>
        <v>-161.55344511692826</v>
      </c>
      <c r="AF320" s="31" t="str">
        <f t="shared" si="193"/>
        <v>-0.000495863624968664</v>
      </c>
      <c r="AG320" s="31" t="str">
        <f t="shared" si="194"/>
        <v>0.0145218369367482i</v>
      </c>
      <c r="AH320" s="31">
        <f t="shared" si="208"/>
        <v>1.45218369367482E-2</v>
      </c>
      <c r="AI320" s="31">
        <f t="shared" si="209"/>
        <v>1.5707963267948966</v>
      </c>
      <c r="AJ320" s="31" t="str">
        <f t="shared" si="195"/>
        <v>1+0.0566597435079081i</v>
      </c>
      <c r="AK320" s="31">
        <f t="shared" si="210"/>
        <v>1.0016038770563849</v>
      </c>
      <c r="AL320" s="31">
        <f t="shared" si="211"/>
        <v>5.6599227937384644E-2</v>
      </c>
      <c r="AM320" s="31" t="str">
        <f t="shared" si="196"/>
        <v>1+17.3693591487021i</v>
      </c>
      <c r="AN320" s="31">
        <f t="shared" si="212"/>
        <v>17.398121658288328</v>
      </c>
      <c r="AO320" s="31">
        <f t="shared" si="213"/>
        <v>1.5132871628899476</v>
      </c>
      <c r="AP320" s="58" t="str">
        <f t="shared" si="214"/>
        <v>-0.589268857884089+0.0675338898932837i</v>
      </c>
      <c r="AQ320" s="49">
        <f t="shared" si="215"/>
        <v>-4.5370587693036031</v>
      </c>
      <c r="AR320" s="61">
        <f t="shared" si="216"/>
        <v>173.46207074040922</v>
      </c>
      <c r="AS320" s="58" t="str">
        <f t="shared" si="217"/>
        <v>0.0241032636247095+0.00508314422146817i</v>
      </c>
      <c r="AT320" s="64">
        <f t="shared" si="218"/>
        <v>-32.169503679963</v>
      </c>
      <c r="AU320" s="61">
        <f t="shared" si="219"/>
        <v>11.908625623480933</v>
      </c>
    </row>
    <row r="321" spans="14:47" x14ac:dyDescent="0.25">
      <c r="N321" s="10">
        <v>3</v>
      </c>
      <c r="O321" s="50">
        <f t="shared" si="221"/>
        <v>10715.193052376071</v>
      </c>
      <c r="P321" s="48" t="str">
        <f t="shared" si="188"/>
        <v>304.285714285714</v>
      </c>
      <c r="Q321" s="17" t="str">
        <f t="shared" si="189"/>
        <v>1+3505.73723201113i</v>
      </c>
      <c r="R321" s="17">
        <f t="shared" si="197"/>
        <v>3505.7373746344806</v>
      </c>
      <c r="S321" s="17">
        <f t="shared" si="198"/>
        <v>1.5705110800959292</v>
      </c>
      <c r="T321" s="17" t="str">
        <f t="shared" si="190"/>
        <v>1+0.0727115870343047i</v>
      </c>
      <c r="U321" s="17">
        <f t="shared" si="199"/>
        <v>1.0026400026375604</v>
      </c>
      <c r="V321" s="17">
        <f t="shared" si="200"/>
        <v>7.2583850548952805E-2</v>
      </c>
      <c r="W321" s="31" t="str">
        <f t="shared" si="191"/>
        <v>1-0.227223709482202i</v>
      </c>
      <c r="X321" s="17">
        <f t="shared" si="201"/>
        <v>1.0254904261624544</v>
      </c>
      <c r="Y321" s="17">
        <f t="shared" si="202"/>
        <v>-0.22342999040994518</v>
      </c>
      <c r="Z321" s="31" t="str">
        <f t="shared" si="192"/>
        <v>0.992790896010051+2.00444239514176i</v>
      </c>
      <c r="AA321" s="17">
        <f t="shared" si="203"/>
        <v>2.2368332701929474</v>
      </c>
      <c r="AB321" s="17">
        <f t="shared" si="204"/>
        <v>1.1109195567908812</v>
      </c>
      <c r="AC321" s="66" t="str">
        <f t="shared" si="205"/>
        <v>-0.0380040047189671-0.0121450670783252i</v>
      </c>
      <c r="AD321" s="64">
        <f t="shared" si="206"/>
        <v>-27.981095818954614</v>
      </c>
      <c r="AE321" s="61">
        <f t="shared" si="207"/>
        <v>-162.2775057205655</v>
      </c>
      <c r="AF321" s="31" t="str">
        <f t="shared" si="193"/>
        <v>-0.000495863624968664</v>
      </c>
      <c r="AG321" s="31" t="str">
        <f t="shared" si="194"/>
        <v>0.0148600939724183i</v>
      </c>
      <c r="AH321" s="31">
        <f t="shared" si="208"/>
        <v>1.48600939724183E-2</v>
      </c>
      <c r="AI321" s="31">
        <f t="shared" si="209"/>
        <v>1.5707963267948966</v>
      </c>
      <c r="AJ321" s="31" t="str">
        <f t="shared" si="195"/>
        <v>1+0.0579795184760673i</v>
      </c>
      <c r="AK321" s="31">
        <f t="shared" si="210"/>
        <v>1.0016794020856756</v>
      </c>
      <c r="AL321" s="31">
        <f t="shared" si="211"/>
        <v>5.79146807441639E-2</v>
      </c>
      <c r="AM321" s="31" t="str">
        <f t="shared" si="196"/>
        <v>1+17.7739434972745i</v>
      </c>
      <c r="AN321" s="31">
        <f t="shared" si="212"/>
        <v>17.802052337983575</v>
      </c>
      <c r="AO321" s="31">
        <f t="shared" si="213"/>
        <v>1.5145934443548648</v>
      </c>
      <c r="AP321" s="58" t="str">
        <f t="shared" si="214"/>
        <v>-0.589180001369971+0.0675291809327012i</v>
      </c>
      <c r="AQ321" s="49">
        <f t="shared" si="215"/>
        <v>-4.5383594930868378</v>
      </c>
      <c r="AR321" s="61">
        <f t="shared" si="216"/>
        <v>173.46154526122805</v>
      </c>
      <c r="AS321" s="58" t="str">
        <f t="shared" si="217"/>
        <v>0.0232113459845574+0.00458925132701167i</v>
      </c>
      <c r="AT321" s="64">
        <f t="shared" si="218"/>
        <v>-32.519455312041465</v>
      </c>
      <c r="AU321" s="61">
        <f t="shared" si="219"/>
        <v>11.184039540662573</v>
      </c>
    </row>
    <row r="322" spans="14:47" x14ac:dyDescent="0.25">
      <c r="N322" s="10">
        <v>4</v>
      </c>
      <c r="O322" s="50">
        <f t="shared" si="221"/>
        <v>10964.781961431856</v>
      </c>
      <c r="P322" s="48" t="str">
        <f t="shared" si="188"/>
        <v>304.285714285714</v>
      </c>
      <c r="Q322" s="17" t="str">
        <f t="shared" si="189"/>
        <v>1+3587.39634229471i</v>
      </c>
      <c r="R322" s="17">
        <f t="shared" si="197"/>
        <v>3587.3964816715566</v>
      </c>
      <c r="S322" s="17">
        <f t="shared" si="198"/>
        <v>1.5705175731031706</v>
      </c>
      <c r="T322" s="17" t="str">
        <f t="shared" si="190"/>
        <v>1+0.0744052574698161i</v>
      </c>
      <c r="U322" s="17">
        <f t="shared" si="199"/>
        <v>1.0027642506288053</v>
      </c>
      <c r="V322" s="17">
        <f t="shared" si="200"/>
        <v>7.4268405729398329E-2</v>
      </c>
      <c r="W322" s="31" t="str">
        <f t="shared" si="191"/>
        <v>1-0.232516429593176i</v>
      </c>
      <c r="X322" s="17">
        <f t="shared" si="201"/>
        <v>1.026676136876064</v>
      </c>
      <c r="Y322" s="17">
        <f t="shared" si="202"/>
        <v>-0.22845706905487903</v>
      </c>
      <c r="Z322" s="31" t="str">
        <f t="shared" si="192"/>
        <v>0.992451141406256+2.05113185637901i</v>
      </c>
      <c r="AA322" s="17">
        <f t="shared" si="203"/>
        <v>2.2786182568239428</v>
      </c>
      <c r="AB322" s="17">
        <f t="shared" si="204"/>
        <v>1.1201476480780261</v>
      </c>
      <c r="AC322" s="66" t="str">
        <f t="shared" si="205"/>
        <v>-0.0366483886174069-0.0112058511148906i</v>
      </c>
      <c r="AD322" s="64">
        <f t="shared" si="206"/>
        <v>-28.330741535451423</v>
      </c>
      <c r="AE322" s="61">
        <f t="shared" si="207"/>
        <v>-162.99812091363029</v>
      </c>
      <c r="AF322" s="31" t="str">
        <f t="shared" si="193"/>
        <v>-0.000495863624968664</v>
      </c>
      <c r="AG322" s="31" t="str">
        <f t="shared" si="194"/>
        <v>0.0152062300266091i</v>
      </c>
      <c r="AH322" s="31">
        <f t="shared" si="208"/>
        <v>1.52062300266091E-2</v>
      </c>
      <c r="AI322" s="31">
        <f t="shared" si="209"/>
        <v>1.5707963267948966</v>
      </c>
      <c r="AJ322" s="31" t="str">
        <f t="shared" si="195"/>
        <v>1+0.0593300349523722i</v>
      </c>
      <c r="AK322" s="31">
        <f t="shared" si="210"/>
        <v>1.0017584803970714</v>
      </c>
      <c r="AL322" s="31">
        <f t="shared" si="211"/>
        <v>5.926056665592757E-2</v>
      </c>
      <c r="AM322" s="31" t="str">
        <f t="shared" si="196"/>
        <v>1+18.187951825955i</v>
      </c>
      <c r="AN322" s="31">
        <f t="shared" si="212"/>
        <v>18.215421807448209</v>
      </c>
      <c r="AO322" s="31">
        <f t="shared" si="213"/>
        <v>1.5158701767849381</v>
      </c>
      <c r="AP322" s="58" t="str">
        <f t="shared" si="214"/>
        <v>-0.589086985894529+0.0675597928135935i</v>
      </c>
      <c r="AQ322" s="49">
        <f t="shared" si="215"/>
        <v>-4.5396620007951185</v>
      </c>
      <c r="AR322" s="61">
        <f t="shared" si="216"/>
        <v>173.4575830585886</v>
      </c>
      <c r="AS322" s="58" t="str">
        <f t="shared" si="217"/>
        <v>0.0223461537681416+0.00412526351570968i</v>
      </c>
      <c r="AT322" s="64">
        <f t="shared" si="218"/>
        <v>-32.870403536246535</v>
      </c>
      <c r="AU322" s="61">
        <f t="shared" si="219"/>
        <v>10.459462144958279</v>
      </c>
    </row>
    <row r="323" spans="14:47" x14ac:dyDescent="0.25">
      <c r="N323" s="10">
        <v>5</v>
      </c>
      <c r="O323" s="50">
        <f t="shared" si="221"/>
        <v>11220.184543019639</v>
      </c>
      <c r="P323" s="48" t="str">
        <f t="shared" si="188"/>
        <v>304.285714285714</v>
      </c>
      <c r="Q323" s="17" t="str">
        <f t="shared" si="189"/>
        <v>1+3670.95753760379i</v>
      </c>
      <c r="R323" s="17">
        <f t="shared" si="197"/>
        <v>3670.9576738080327</v>
      </c>
      <c r="S323" s="17">
        <f t="shared" si="198"/>
        <v>1.5705239183115456</v>
      </c>
      <c r="T323" s="17" t="str">
        <f t="shared" si="190"/>
        <v>1+0.0761383785577081i</v>
      </c>
      <c r="U323" s="17">
        <f t="shared" si="199"/>
        <v>1.0028943377491952</v>
      </c>
      <c r="V323" s="17">
        <f t="shared" si="200"/>
        <v>7.5991762122700604E-2</v>
      </c>
      <c r="W323" s="31" t="str">
        <f t="shared" si="191"/>
        <v>1-0.237932432992838i</v>
      </c>
      <c r="X323" s="17">
        <f t="shared" si="201"/>
        <v>1.0279162624795326</v>
      </c>
      <c r="Y323" s="17">
        <f t="shared" si="202"/>
        <v>-0.23358910429495766</v>
      </c>
      <c r="Z323" s="31" t="str">
        <f t="shared" si="192"/>
        <v>0.992095374661292+2.09890885487645i</v>
      </c>
      <c r="AA323" s="17">
        <f t="shared" si="203"/>
        <v>2.3215666291328141</v>
      </c>
      <c r="AB323" s="17">
        <f t="shared" si="204"/>
        <v>1.1292491703113592</v>
      </c>
      <c r="AC323" s="66" t="str">
        <f t="shared" si="205"/>
        <v>-0.0353305917301773-0.0103211701966494i</v>
      </c>
      <c r="AD323" s="64">
        <f t="shared" si="206"/>
        <v>-28.681320996215458</v>
      </c>
      <c r="AE323" s="61">
        <f t="shared" si="207"/>
        <v>-163.71526619004072</v>
      </c>
      <c r="AF323" s="31" t="str">
        <f t="shared" si="193"/>
        <v>-0.000495863624968664</v>
      </c>
      <c r="AG323" s="31" t="str">
        <f t="shared" si="194"/>
        <v>0.0155604286252383i</v>
      </c>
      <c r="AH323" s="31">
        <f t="shared" si="208"/>
        <v>1.55604286252383E-2</v>
      </c>
      <c r="AI323" s="31">
        <f t="shared" si="209"/>
        <v>1.5707963267948966</v>
      </c>
      <c r="AJ323" s="31" t="str">
        <f t="shared" si="195"/>
        <v>1+0.0607120089985347i</v>
      </c>
      <c r="AK323" s="31">
        <f t="shared" si="210"/>
        <v>1.0018412788643909</v>
      </c>
      <c r="AL323" s="31">
        <f t="shared" si="211"/>
        <v>6.0637579764575247E-2</v>
      </c>
      <c r="AM323" s="31" t="str">
        <f t="shared" si="196"/>
        <v>1+18.6116036474397i</v>
      </c>
      <c r="AN323" s="31">
        <f t="shared" si="212"/>
        <v>18.638449246903317</v>
      </c>
      <c r="AO323" s="31">
        <f t="shared" si="213"/>
        <v>1.5171180204621153</v>
      </c>
      <c r="AP323" s="58" t="str">
        <f t="shared" si="214"/>
        <v>-0.588989618207607+0.0676257073954875i</v>
      </c>
      <c r="AQ323" s="49">
        <f t="shared" si="215"/>
        <v>-4.5409690281928459</v>
      </c>
      <c r="AR323" s="61">
        <f t="shared" si="216"/>
        <v>173.45018219532324</v>
      </c>
      <c r="AS323" s="58" t="str">
        <f t="shared" si="217"/>
        <v>0.0215073281699036+0.00368980583512586i</v>
      </c>
      <c r="AT323" s="64">
        <f t="shared" si="218"/>
        <v>-33.222290024408309</v>
      </c>
      <c r="AU323" s="61">
        <f t="shared" si="219"/>
        <v>9.7349160052825248</v>
      </c>
    </row>
    <row r="324" spans="14:47" x14ac:dyDescent="0.25">
      <c r="N324" s="10">
        <v>6</v>
      </c>
      <c r="O324" s="50">
        <f t="shared" si="221"/>
        <v>11481.536214968832</v>
      </c>
      <c r="P324" s="48" t="str">
        <f t="shared" si="188"/>
        <v>304.285714285714</v>
      </c>
      <c r="Q324" s="17" t="str">
        <f t="shared" si="189"/>
        <v>1+3756.46512319017i</v>
      </c>
      <c r="R324" s="17">
        <f t="shared" si="197"/>
        <v>3756.4652562940255</v>
      </c>
      <c r="S324" s="17">
        <f t="shared" si="198"/>
        <v>1.5705301190853656</v>
      </c>
      <c r="T324" s="17" t="str">
        <f t="shared" si="190"/>
        <v>1+0.0779118692217219i</v>
      </c>
      <c r="U324" s="17">
        <f t="shared" si="199"/>
        <v>1.0030305376037276</v>
      </c>
      <c r="V324" s="17">
        <f t="shared" si="200"/>
        <v>7.7754792505956696E-2</v>
      </c>
      <c r="W324" s="31" t="str">
        <f t="shared" si="191"/>
        <v>1-0.243474591317881i</v>
      </c>
      <c r="X324" s="17">
        <f t="shared" si="201"/>
        <v>1.0292132318511111</v>
      </c>
      <c r="Y324" s="17">
        <f t="shared" si="202"/>
        <v>-0.23882773539292684</v>
      </c>
      <c r="Z324" s="31" t="str">
        <f t="shared" si="192"/>
        <v>0.991722841146192+2.1477987226311i</v>
      </c>
      <c r="AA324" s="17">
        <f t="shared" si="203"/>
        <v>2.3657036049739752</v>
      </c>
      <c r="AB324" s="17">
        <f t="shared" si="204"/>
        <v>1.1382230857862363</v>
      </c>
      <c r="AC324" s="66" t="str">
        <f t="shared" si="205"/>
        <v>-0.0340503927188828-0.00948851238431838i</v>
      </c>
      <c r="AD324" s="64">
        <f t="shared" si="206"/>
        <v>-29.03277256376365</v>
      </c>
      <c r="AE324" s="61">
        <f t="shared" si="207"/>
        <v>-164.42892620285355</v>
      </c>
      <c r="AF324" s="31" t="str">
        <f t="shared" si="193"/>
        <v>-0.000495863624968664</v>
      </c>
      <c r="AG324" s="31" t="str">
        <f t="shared" si="194"/>
        <v>0.0159228775690912i</v>
      </c>
      <c r="AH324" s="31">
        <f t="shared" si="208"/>
        <v>1.59228775690912E-2</v>
      </c>
      <c r="AI324" s="31">
        <f t="shared" si="209"/>
        <v>1.5707963267948966</v>
      </c>
      <c r="AJ324" s="31" t="str">
        <f t="shared" si="195"/>
        <v>1+0.0621261733554866i</v>
      </c>
      <c r="AK324" s="31">
        <f t="shared" si="210"/>
        <v>1.0019279721695546</v>
      </c>
      <c r="AL324" s="31">
        <f t="shared" si="211"/>
        <v>6.2046429280528198E-2</v>
      </c>
      <c r="AM324" s="31" t="str">
        <f t="shared" si="196"/>
        <v>1+19.045123587532i</v>
      </c>
      <c r="AN324" s="31">
        <f t="shared" si="212"/>
        <v>19.071358956937697</v>
      </c>
      <c r="AO324" s="31">
        <f t="shared" si="213"/>
        <v>1.5183376214565447</v>
      </c>
      <c r="AP324" s="58" t="str">
        <f t="shared" si="214"/>
        <v>-0.588887696215121+0.0677269228274691i</v>
      </c>
      <c r="AQ324" s="49">
        <f t="shared" si="215"/>
        <v>-4.5422833202567983</v>
      </c>
      <c r="AR324" s="61">
        <f t="shared" si="216"/>
        <v>173.43933905376085</v>
      </c>
      <c r="AS324" s="58" t="str">
        <f t="shared" si="217"/>
        <v>0.0206944850694432+0.00328153987859311i</v>
      </c>
      <c r="AT324" s="64">
        <f t="shared" si="218"/>
        <v>-33.575055884020465</v>
      </c>
      <c r="AU324" s="61">
        <f t="shared" si="219"/>
        <v>9.0104128509073185</v>
      </c>
    </row>
    <row r="325" spans="14:47" x14ac:dyDescent="0.25">
      <c r="N325" s="10">
        <v>7</v>
      </c>
      <c r="O325" s="50">
        <f t="shared" si="221"/>
        <v>11748.975549395318</v>
      </c>
      <c r="P325" s="48" t="str">
        <f t="shared" si="188"/>
        <v>304.285714285714</v>
      </c>
      <c r="Q325" s="17" t="str">
        <f t="shared" si="189"/>
        <v>1+3843.96443630757i</v>
      </c>
      <c r="R325" s="17">
        <f t="shared" si="197"/>
        <v>3843.9645663816118</v>
      </c>
      <c r="S325" s="17">
        <f t="shared" si="198"/>
        <v>1.5705361787123608</v>
      </c>
      <c r="T325" s="17" t="str">
        <f t="shared" si="190"/>
        <v>1+0.0797266697900827i</v>
      </c>
      <c r="U325" s="17">
        <f t="shared" si="199"/>
        <v>1.0031731365401571</v>
      </c>
      <c r="V325" s="17">
        <f t="shared" si="200"/>
        <v>7.9558387796826197E-2</v>
      </c>
      <c r="W325" s="31" t="str">
        <f t="shared" si="191"/>
        <v>1-0.249145843094009i</v>
      </c>
      <c r="X325" s="17">
        <f t="shared" si="201"/>
        <v>1.0305695760748153</v>
      </c>
      <c r="Y325" s="17">
        <f t="shared" si="202"/>
        <v>-0.24417458931678437</v>
      </c>
      <c r="Z325" s="31" t="str">
        <f t="shared" si="192"/>
        <v>0.991332750667425+2.19782738169796i</v>
      </c>
      <c r="AA325" s="17">
        <f t="shared" si="203"/>
        <v>2.4110549189695276</v>
      </c>
      <c r="AB325" s="17">
        <f t="shared" si="204"/>
        <v>1.1470685383311088</v>
      </c>
      <c r="AC325" s="66" t="str">
        <f t="shared" si="205"/>
        <v>-0.0328075051985297-0.00870543634667879i</v>
      </c>
      <c r="AD325" s="64">
        <f t="shared" si="206"/>
        <v>-29.385034078298116</v>
      </c>
      <c r="AE325" s="61">
        <f t="shared" si="207"/>
        <v>-165.13909425800372</v>
      </c>
      <c r="AF325" s="31" t="str">
        <f t="shared" si="193"/>
        <v>-0.000495863624968664</v>
      </c>
      <c r="AG325" s="31" t="str">
        <f t="shared" si="194"/>
        <v>0.0162937690333954i</v>
      </c>
      <c r="AH325" s="31">
        <f t="shared" si="208"/>
        <v>1.6293769033395401E-2</v>
      </c>
      <c r="AI325" s="31">
        <f t="shared" si="209"/>
        <v>1.5707963267948966</v>
      </c>
      <c r="AJ325" s="31" t="str">
        <f t="shared" si="195"/>
        <v>1+0.0635732778318889i</v>
      </c>
      <c r="AK325" s="31">
        <f t="shared" si="210"/>
        <v>1.0020187431651619</v>
      </c>
      <c r="AL325" s="31">
        <f t="shared" si="211"/>
        <v>6.3487839810900323E-2</v>
      </c>
      <c r="AM325" s="31" t="str">
        <f t="shared" si="196"/>
        <v>1+19.4887415042424i</v>
      </c>
      <c r="AN325" s="31">
        <f t="shared" si="212"/>
        <v>19.514380477462776</v>
      </c>
      <c r="AO325" s="31">
        <f t="shared" si="213"/>
        <v>1.5195296118960517</v>
      </c>
      <c r="AP325" s="58" t="str">
        <f t="shared" si="214"/>
        <v>-0.588781008587357+0.0678634533771295i</v>
      </c>
      <c r="AQ325" s="49">
        <f t="shared" si="215"/>
        <v>-4.5436076367687557</v>
      </c>
      <c r="AR325" s="61">
        <f t="shared" si="216"/>
        <v>173.4250483352285</v>
      </c>
      <c r="AS325" s="58" t="str">
        <f t="shared" si="217"/>
        <v>0.0199072169736657+0.00289916499293022i</v>
      </c>
      <c r="AT325" s="64">
        <f t="shared" si="218"/>
        <v>-33.928641715066867</v>
      </c>
      <c r="AU325" s="61">
        <f t="shared" si="219"/>
        <v>8.2859540772247389</v>
      </c>
    </row>
    <row r="326" spans="14:47" x14ac:dyDescent="0.25">
      <c r="N326" s="10">
        <v>8</v>
      </c>
      <c r="O326" s="50">
        <f t="shared" si="221"/>
        <v>12022.644346174151</v>
      </c>
      <c r="P326" s="48" t="str">
        <f t="shared" si="188"/>
        <v>304.285714285714</v>
      </c>
      <c r="Q326" s="17" t="str">
        <f t="shared" si="189"/>
        <v>1+3933.50187024997i</v>
      </c>
      <c r="R326" s="17">
        <f t="shared" si="197"/>
        <v>3933.5019973631652</v>
      </c>
      <c r="S326" s="17">
        <f t="shared" si="198"/>
        <v>1.5705421004054243</v>
      </c>
      <c r="T326" s="17" t="str">
        <f t="shared" si="190"/>
        <v>1+0.0815837424940733i</v>
      </c>
      <c r="U326" s="17">
        <f t="shared" si="199"/>
        <v>1.0033224342350466</v>
      </c>
      <c r="V326" s="17">
        <f t="shared" si="200"/>
        <v>8.1403457323076064E-2</v>
      </c>
      <c r="W326" s="31" t="str">
        <f t="shared" si="191"/>
        <v>1-0.254949195293979i</v>
      </c>
      <c r="X326" s="17">
        <f t="shared" si="201"/>
        <v>1.0319879321877012</v>
      </c>
      <c r="Y326" s="17">
        <f t="shared" si="202"/>
        <v>-0.24963127762853854</v>
      </c>
      <c r="Z326" s="31" t="str">
        <f t="shared" si="192"/>
        <v>0.990924275790786+2.24902135793428i</v>
      </c>
      <c r="AA326" s="17">
        <f t="shared" si="203"/>
        <v>2.4576468397221038</v>
      </c>
      <c r="AB326" s="17">
        <f t="shared" si="204"/>
        <v>1.1557848473550085</v>
      </c>
      <c r="AC326" s="66" t="str">
        <f t="shared" si="205"/>
        <v>-0.0316015823808735-0.00796957316010544i</v>
      </c>
      <c r="AD326" s="64">
        <f t="shared" si="206"/>
        <v>-29.738042904235936</v>
      </c>
      <c r="AE326" s="61">
        <f t="shared" si="207"/>
        <v>-165.84577177964468</v>
      </c>
      <c r="AF326" s="31" t="str">
        <f t="shared" si="193"/>
        <v>-0.000495863624968664</v>
      </c>
      <c r="AG326" s="31" t="str">
        <f t="shared" si="194"/>
        <v>0.0166732996697147i</v>
      </c>
      <c r="AH326" s="31">
        <f t="shared" si="208"/>
        <v>1.6673299669714699E-2</v>
      </c>
      <c r="AI326" s="31">
        <f t="shared" si="209"/>
        <v>1.5707963267948966</v>
      </c>
      <c r="AJ326" s="31" t="str">
        <f t="shared" si="195"/>
        <v>1+0.0650540897016892i</v>
      </c>
      <c r="AK326" s="31">
        <f t="shared" si="210"/>
        <v>1.002113783253636</v>
      </c>
      <c r="AL326" s="31">
        <f t="shared" si="211"/>
        <v>6.4962551638980945E-2</v>
      </c>
      <c r="AM326" s="31" t="str">
        <f t="shared" si="196"/>
        <v>1+19.9426926096623i</v>
      </c>
      <c r="AN326" s="31">
        <f t="shared" si="212"/>
        <v>19.967748709443416</v>
      </c>
      <c r="AO326" s="31">
        <f t="shared" si="213"/>
        <v>1.5206946102330245</v>
      </c>
      <c r="AP326" s="58" t="str">
        <f t="shared" si="214"/>
        <v>-0.588669334351206+0.0680353292563311i</v>
      </c>
      <c r="AQ326" s="49">
        <f t="shared" si="215"/>
        <v>-4.5449447579342088</v>
      </c>
      <c r="AR326" s="61">
        <f t="shared" si="216"/>
        <v>173.40730305932973</v>
      </c>
      <c r="AS326" s="58" t="str">
        <f t="shared" si="217"/>
        <v>0.0191450949985738+0.00254141926491871i</v>
      </c>
      <c r="AT326" s="64">
        <f t="shared" si="218"/>
        <v>-34.282987662170143</v>
      </c>
      <c r="AU326" s="61">
        <f t="shared" si="219"/>
        <v>7.561531279685064</v>
      </c>
    </row>
    <row r="327" spans="14:47" x14ac:dyDescent="0.25">
      <c r="N327" s="10">
        <v>9</v>
      </c>
      <c r="O327" s="50">
        <f t="shared" si="221"/>
        <v>12302.687708123816</v>
      </c>
      <c r="P327" s="48" t="str">
        <f t="shared" si="188"/>
        <v>304.285714285714</v>
      </c>
      <c r="Q327" s="17" t="str">
        <f t="shared" si="189"/>
        <v>1+4025.12489895003i</v>
      </c>
      <c r="R327" s="17">
        <f t="shared" si="197"/>
        <v>4025.1250231697759</v>
      </c>
      <c r="S327" s="17">
        <f t="shared" si="198"/>
        <v>1.5705478873043142</v>
      </c>
      <c r="T327" s="17" t="str">
        <f t="shared" si="190"/>
        <v>1+0.0834840719782227i</v>
      </c>
      <c r="U327" s="17">
        <f t="shared" si="199"/>
        <v>1.0034787443060591</v>
      </c>
      <c r="V327" s="17">
        <f t="shared" si="200"/>
        <v>8.3290929087890139E-2</v>
      </c>
      <c r="W327" s="31" t="str">
        <f t="shared" si="191"/>
        <v>1-0.260887724931946i</v>
      </c>
      <c r="X327" s="17">
        <f t="shared" si="201"/>
        <v>1.0334710470159127</v>
      </c>
      <c r="Y327" s="17">
        <f t="shared" si="202"/>
        <v>-0.25519939318079965</v>
      </c>
      <c r="Z327" s="31" t="str">
        <f t="shared" si="192"/>
        <v>0.990496550086295+2.30140779506389i</v>
      </c>
      <c r="AA327" s="17">
        <f t="shared" si="203"/>
        <v>2.505506187362883</v>
      </c>
      <c r="AB327" s="17">
        <f t="shared" si="204"/>
        <v>1.1643715016334508</v>
      </c>
      <c r="AC327" s="66" t="str">
        <f t="shared" si="205"/>
        <v>-0.0304322217096204-0.00727862771573186i</v>
      </c>
      <c r="AD327" s="64">
        <f t="shared" si="206"/>
        <v>-30.091735972118954</v>
      </c>
      <c r="AE327" s="61">
        <f t="shared" si="207"/>
        <v>-166.54896774973196</v>
      </c>
      <c r="AF327" s="31" t="str">
        <f t="shared" si="193"/>
        <v>-0.000495863624968664</v>
      </c>
      <c r="AG327" s="31" t="str">
        <f t="shared" si="194"/>
        <v>0.017061670710216i</v>
      </c>
      <c r="AH327" s="31">
        <f t="shared" si="208"/>
        <v>1.7061670710216002E-2</v>
      </c>
      <c r="AI327" s="31">
        <f t="shared" si="209"/>
        <v>1.5707963267948966</v>
      </c>
      <c r="AJ327" s="31" t="str">
        <f t="shared" si="195"/>
        <v>1+0.0665693941109421i</v>
      </c>
      <c r="AK327" s="31">
        <f t="shared" si="210"/>
        <v>1.0022132927836758</v>
      </c>
      <c r="AL327" s="31">
        <f t="shared" si="211"/>
        <v>6.6471321004709802E-2</v>
      </c>
      <c r="AM327" s="31" t="str">
        <f t="shared" si="196"/>
        <v>1+20.4072175946766i</v>
      </c>
      <c r="AN327" s="31">
        <f t="shared" si="212"/>
        <v>20.431704039469594</v>
      </c>
      <c r="AO327" s="31">
        <f t="shared" si="213"/>
        <v>1.5218332215085379</v>
      </c>
      <c r="AP327" s="58" t="str">
        <f t="shared" si="214"/>
        <v>-0.58855244246577+0.0682425964429099i</v>
      </c>
      <c r="AQ327" s="49">
        <f t="shared" si="215"/>
        <v>-4.5462974900375723</v>
      </c>
      <c r="AR327" s="61">
        <f t="shared" si="216"/>
        <v>173.38609456300776</v>
      </c>
      <c r="AS327" s="58" t="str">
        <f t="shared" si="217"/>
        <v>0.0184076708707198+0.00220708029490225i</v>
      </c>
      <c r="AT327" s="64">
        <f t="shared" si="218"/>
        <v>-34.638033462156521</v>
      </c>
      <c r="AU327" s="61">
        <f t="shared" si="219"/>
        <v>6.8371268132758019</v>
      </c>
    </row>
    <row r="328" spans="14:47" x14ac:dyDescent="0.25">
      <c r="N328" s="10">
        <v>10</v>
      </c>
      <c r="O328" s="50">
        <f t="shared" si="221"/>
        <v>12589.254117941671</v>
      </c>
      <c r="P328" s="48" t="str">
        <f t="shared" si="188"/>
        <v>304.285714285714</v>
      </c>
      <c r="Q328" s="17" t="str">
        <f t="shared" si="189"/>
        <v>1+4118.88210215034i</v>
      </c>
      <c r="R328" s="17">
        <f t="shared" si="197"/>
        <v>4118.8822235424996</v>
      </c>
      <c r="S328" s="17">
        <f t="shared" si="198"/>
        <v>1.5705535424773194</v>
      </c>
      <c r="T328" s="17" t="str">
        <f t="shared" si="190"/>
        <v>1+0.0854286658223773i</v>
      </c>
      <c r="U328" s="17">
        <f t="shared" si="199"/>
        <v>1.003642394951604</v>
      </c>
      <c r="V328" s="17">
        <f t="shared" si="200"/>
        <v>8.5221750030141125E-2</v>
      </c>
      <c r="W328" s="31" t="str">
        <f t="shared" si="191"/>
        <v>1-0.266964580694929i</v>
      </c>
      <c r="X328" s="17">
        <f t="shared" si="201"/>
        <v>1.0350217810971996</v>
      </c>
      <c r="Y328" s="17">
        <f t="shared" si="202"/>
        <v>-0.26088050661610257</v>
      </c>
      <c r="Z328" s="31" t="str">
        <f t="shared" si="192"/>
        <v>0.990048666290388+2.35501446906918i</v>
      </c>
      <c r="AA328" s="17">
        <f t="shared" si="203"/>
        <v>2.5546603514261084</v>
      </c>
      <c r="AB328" s="17">
        <f t="shared" si="204"/>
        <v>1.1728281528815534</v>
      </c>
      <c r="AC328" s="66" t="str">
        <f t="shared" si="205"/>
        <v>-0.0292989694558461-0.00663037975206063i</v>
      </c>
      <c r="AD328" s="64">
        <f t="shared" si="206"/>
        <v>-30.446049816029603</v>
      </c>
      <c r="AE328" s="61">
        <f t="shared" si="207"/>
        <v>-167.24869812439943</v>
      </c>
      <c r="AF328" s="31" t="str">
        <f t="shared" si="193"/>
        <v>-0.000495863624968664</v>
      </c>
      <c r="AG328" s="31" t="str">
        <f t="shared" si="194"/>
        <v>0.0174590880743659i</v>
      </c>
      <c r="AH328" s="31">
        <f t="shared" si="208"/>
        <v>1.74590880743659E-2</v>
      </c>
      <c r="AI328" s="31">
        <f t="shared" si="209"/>
        <v>1.5707963267948966</v>
      </c>
      <c r="AJ328" s="31" t="str">
        <f t="shared" si="195"/>
        <v>1+0.0681199944941027i</v>
      </c>
      <c r="AK328" s="31">
        <f t="shared" si="210"/>
        <v>1.0023174814647686</v>
      </c>
      <c r="AL328" s="31">
        <f t="shared" si="211"/>
        <v>6.801492038578362E-2</v>
      </c>
      <c r="AM328" s="31" t="str">
        <f t="shared" si="196"/>
        <v>1+20.8825627565811i</v>
      </c>
      <c r="AN328" s="31">
        <f t="shared" si="212"/>
        <v>20.906492467234862</v>
      </c>
      <c r="AO328" s="31">
        <f t="shared" si="213"/>
        <v>1.5229460376135644</v>
      </c>
      <c r="AP328" s="58" t="str">
        <f t="shared" si="214"/>
        <v>-0.588430091380802+0.0684853164973859i</v>
      </c>
      <c r="AQ328" s="49">
        <f t="shared" si="215"/>
        <v>-4.5476686711438488</v>
      </c>
      <c r="AR328" s="61">
        <f t="shared" si="216"/>
        <v>173.36141249940545</v>
      </c>
      <c r="AS328" s="58" t="str">
        <f t="shared" si="217"/>
        <v>0.0176944789300846+0.00189496576716359i</v>
      </c>
      <c r="AT328" s="64">
        <f t="shared" si="218"/>
        <v>-34.993718487173446</v>
      </c>
      <c r="AU328" s="61">
        <f t="shared" si="219"/>
        <v>6.1127143750060018</v>
      </c>
    </row>
    <row r="329" spans="14:47" x14ac:dyDescent="0.25">
      <c r="N329" s="10">
        <v>11</v>
      </c>
      <c r="O329" s="50">
        <f t="shared" si="221"/>
        <v>12882.49551693136</v>
      </c>
      <c r="P329" s="48" t="str">
        <f t="shared" si="188"/>
        <v>304.285714285714</v>
      </c>
      <c r="Q329" s="17" t="str">
        <f t="shared" si="189"/>
        <v>1+4214.82319116107i</v>
      </c>
      <c r="R329" s="17">
        <f t="shared" si="197"/>
        <v>4214.8233097900065</v>
      </c>
      <c r="S329" s="17">
        <f t="shared" si="198"/>
        <v>1.5705590689228859</v>
      </c>
      <c r="T329" s="17" t="str">
        <f t="shared" si="190"/>
        <v>1+0.0874185550759332i</v>
      </c>
      <c r="U329" s="17">
        <f t="shared" si="199"/>
        <v>1.0038137296189786</v>
      </c>
      <c r="V329" s="17">
        <f t="shared" si="200"/>
        <v>8.719688627876386E-2</v>
      </c>
      <c r="W329" s="31" t="str">
        <f t="shared" si="191"/>
        <v>1-0.273182984612292i</v>
      </c>
      <c r="X329" s="17">
        <f t="shared" si="201"/>
        <v>1.0366431126871387</v>
      </c>
      <c r="Y329" s="17">
        <f t="shared" si="202"/>
        <v>-0.26667616266441341</v>
      </c>
      <c r="Z329" s="31" t="str">
        <f t="shared" si="192"/>
        <v>0.989579674381484+2.40986980291828i</v>
      </c>
      <c r="AA329" s="17">
        <f t="shared" si="203"/>
        <v>2.6051373090427217</v>
      </c>
      <c r="AB329" s="17">
        <f t="shared" si="204"/>
        <v>1.1811546091607861</v>
      </c>
      <c r="AC329" s="66" t="str">
        <f t="shared" si="205"/>
        <v>-0.0282013252451867-0.00602268453275866i</v>
      </c>
      <c r="AD329" s="64">
        <f t="shared" si="206"/>
        <v>-30.800920606679668</v>
      </c>
      <c r="AE329" s="61">
        <f t="shared" si="207"/>
        <v>-167.94498522957448</v>
      </c>
      <c r="AF329" s="31" t="str">
        <f t="shared" si="193"/>
        <v>-0.000495863624968664</v>
      </c>
      <c r="AG329" s="31" t="str">
        <f t="shared" si="194"/>
        <v>0.0178657624781111i</v>
      </c>
      <c r="AH329" s="31">
        <f t="shared" si="208"/>
        <v>1.78657624781111E-2</v>
      </c>
      <c r="AI329" s="31">
        <f t="shared" si="209"/>
        <v>1.5707963267948966</v>
      </c>
      <c r="AJ329" s="31" t="str">
        <f t="shared" si="195"/>
        <v>1+0.069706713000019i</v>
      </c>
      <c r="AK329" s="31">
        <f t="shared" si="210"/>
        <v>1.0024265688005616</v>
      </c>
      <c r="AL329" s="31">
        <f t="shared" si="211"/>
        <v>6.9594138779011175E-2</v>
      </c>
      <c r="AM329" s="31" t="str">
        <f t="shared" si="196"/>
        <v>1+21.3689801296726i</v>
      </c>
      <c r="AN329" s="31">
        <f t="shared" si="212"/>
        <v>21.39236573598961</v>
      </c>
      <c r="AO329" s="31">
        <f t="shared" si="213"/>
        <v>1.5240336375471342</v>
      </c>
      <c r="AP329" s="58" t="str">
        <f t="shared" si="214"/>
        <v>-0.588302028577465+0.0687635663736967i</v>
      </c>
      <c r="AQ329" s="49">
        <f t="shared" si="215"/>
        <v>-4.5490611768563296</v>
      </c>
      <c r="AR329" s="61">
        <f t="shared" si="216"/>
        <v>173.33324483653632</v>
      </c>
      <c r="AS329" s="58" t="str">
        <f t="shared" si="217"/>
        <v>0.0170050381179324+0.00160393382778044i</v>
      </c>
      <c r="AT329" s="64">
        <f t="shared" si="218"/>
        <v>-35.349981783535995</v>
      </c>
      <c r="AU329" s="61">
        <f t="shared" si="219"/>
        <v>5.388259606961852</v>
      </c>
    </row>
    <row r="330" spans="14:47" x14ac:dyDescent="0.25">
      <c r="N330" s="10">
        <v>12</v>
      </c>
      <c r="O330" s="50">
        <f t="shared" si="221"/>
        <v>13182.567385564091</v>
      </c>
      <c r="P330" s="48" t="str">
        <f t="shared" si="188"/>
        <v>304.285714285714</v>
      </c>
      <c r="Q330" s="17" t="str">
        <f t="shared" si="189"/>
        <v>1+4312.99903521753i</v>
      </c>
      <c r="R330" s="17">
        <f t="shared" si="197"/>
        <v>4312.9991511461421</v>
      </c>
      <c r="S330" s="17">
        <f t="shared" si="198"/>
        <v>1.5705644695712071</v>
      </c>
      <c r="T330" s="17" t="str">
        <f t="shared" si="190"/>
        <v>1+0.0894547948045116i</v>
      </c>
      <c r="U330" s="17">
        <f t="shared" si="199"/>
        <v>1.003993107702198</v>
      </c>
      <c r="V330" s="17">
        <f t="shared" si="200"/>
        <v>8.9217323400299919E-2</v>
      </c>
      <c r="W330" s="31" t="str">
        <f t="shared" si="191"/>
        <v>1-0.279546233764099i</v>
      </c>
      <c r="X330" s="17">
        <f t="shared" si="201"/>
        <v>1.0383381418457536</v>
      </c>
      <c r="Y330" s="17">
        <f t="shared" si="202"/>
        <v>-0.27258787623481978</v>
      </c>
      <c r="Z330" s="31" t="str">
        <f t="shared" si="192"/>
        <v>0.989088579564866+2.46600288163528i</v>
      </c>
      <c r="AA330" s="17">
        <f t="shared" si="203"/>
        <v>2.656965643447267</v>
      </c>
      <c r="AB330" s="17">
        <f t="shared" si="204"/>
        <v>1.1893508281632068</v>
      </c>
      <c r="AC330" s="66" t="str">
        <f t="shared" si="205"/>
        <v>-0.0271387464915589-0.00545347319088192i</v>
      </c>
      <c r="AD330" s="64">
        <f t="shared" si="206"/>
        <v>-31.156284180376414</v>
      </c>
      <c r="AE330" s="61">
        <f t="shared" si="207"/>
        <v>-168.63785713817248</v>
      </c>
      <c r="AF330" s="31" t="str">
        <f t="shared" si="193"/>
        <v>-0.000495863624968664</v>
      </c>
      <c r="AG330" s="31" t="str">
        <f t="shared" si="194"/>
        <v>0.0182819095456035i</v>
      </c>
      <c r="AH330" s="31">
        <f t="shared" si="208"/>
        <v>1.8281909545603499E-2</v>
      </c>
      <c r="AI330" s="31">
        <f t="shared" si="209"/>
        <v>1.5707963267948966</v>
      </c>
      <c r="AJ330" s="31" t="str">
        <f t="shared" si="195"/>
        <v>1+0.0713303909278452i</v>
      </c>
      <c r="AK330" s="31">
        <f t="shared" si="210"/>
        <v>1.0025407845419154</v>
      </c>
      <c r="AL330" s="31">
        <f t="shared" si="211"/>
        <v>7.1209781981489376E-2</v>
      </c>
      <c r="AM330" s="31" t="str">
        <f t="shared" si="196"/>
        <v>1+21.8667276188806i</v>
      </c>
      <c r="AN330" s="31">
        <f t="shared" si="212"/>
        <v>21.889581466038031</v>
      </c>
      <c r="AO330" s="31">
        <f t="shared" si="213"/>
        <v>1.5250965876713301</v>
      </c>
      <c r="AP330" s="58" t="str">
        <f t="shared" si="214"/>
        <v>-0.5881679900908+0.0690774382228971i</v>
      </c>
      <c r="AQ330" s="49">
        <f t="shared" si="215"/>
        <v>-4.5504779261413688</v>
      </c>
      <c r="AR330" s="61">
        <f t="shared" si="216"/>
        <v>173.30157785578467</v>
      </c>
      <c r="AS330" s="58" t="str">
        <f t="shared" si="217"/>
        <v>0.0163388539349673+0.00133288328147756i</v>
      </c>
      <c r="AT330" s="64">
        <f t="shared" si="218"/>
        <v>-35.706762106517793</v>
      </c>
      <c r="AU330" s="61">
        <f t="shared" si="219"/>
        <v>4.6637207176122031</v>
      </c>
    </row>
    <row r="331" spans="14:47" x14ac:dyDescent="0.25">
      <c r="N331" s="10">
        <v>13</v>
      </c>
      <c r="O331" s="50">
        <f t="shared" si="221"/>
        <v>13489.628825916556</v>
      </c>
      <c r="P331" s="48" t="str">
        <f t="shared" si="188"/>
        <v>304.285714285714</v>
      </c>
      <c r="Q331" s="17" t="str">
        <f t="shared" si="189"/>
        <v>1+4413.46168845175i</v>
      </c>
      <c r="R331" s="17">
        <f t="shared" si="197"/>
        <v>4413.461801741505</v>
      </c>
      <c r="S331" s="17">
        <f t="shared" si="198"/>
        <v>1.5705697472857771</v>
      </c>
      <c r="T331" s="17" t="str">
        <f t="shared" si="190"/>
        <v>1+0.0915384646493695i</v>
      </c>
      <c r="U331" s="17">
        <f t="shared" si="199"/>
        <v>1.0041809052707404</v>
      </c>
      <c r="V331" s="17">
        <f t="shared" si="200"/>
        <v>9.128406663861556E-2</v>
      </c>
      <c r="W331" s="31" t="str">
        <f t="shared" si="191"/>
        <v>1-0.28605770202928i</v>
      </c>
      <c r="X331" s="17">
        <f t="shared" si="201"/>
        <v>1.0401100946006978</v>
      </c>
      <c r="Y331" s="17">
        <f t="shared" si="202"/>
        <v>-0.27861712829815866</v>
      </c>
      <c r="Z331" s="31" t="str">
        <f t="shared" si="192"/>
        <v>0.988574340162585+2.52344346772152i</v>
      </c>
      <c r="AA331" s="17">
        <f t="shared" si="203"/>
        <v>2.7101745627937515</v>
      </c>
      <c r="AB331" s="17">
        <f t="shared" si="204"/>
        <v>1.1974169104143335</v>
      </c>
      <c r="AC331" s="66" t="str">
        <f t="shared" si="205"/>
        <v>-0.0261106527153394-0.00492075276188166i</v>
      </c>
      <c r="AD331" s="64">
        <f t="shared" si="206"/>
        <v>-31.512076064102082</v>
      </c>
      <c r="AE331" s="61">
        <f t="shared" si="207"/>
        <v>-169.32734703109486</v>
      </c>
      <c r="AF331" s="31" t="str">
        <f t="shared" si="193"/>
        <v>-0.000495863624968664</v>
      </c>
      <c r="AG331" s="31" t="str">
        <f t="shared" si="194"/>
        <v>0.0187077499235267i</v>
      </c>
      <c r="AH331" s="31">
        <f t="shared" si="208"/>
        <v>1.8707749923526699E-2</v>
      </c>
      <c r="AI331" s="31">
        <f t="shared" si="209"/>
        <v>1.5707963267948966</v>
      </c>
      <c r="AJ331" s="31" t="str">
        <f t="shared" si="195"/>
        <v>1+0.0729918891731106i</v>
      </c>
      <c r="AK331" s="31">
        <f t="shared" si="210"/>
        <v>1.0026603691604947</v>
      </c>
      <c r="AL331" s="31">
        <f t="shared" si="211"/>
        <v>7.2862672871141801E-2</v>
      </c>
      <c r="AM331" s="31" t="str">
        <f t="shared" si="196"/>
        <v>1+22.3760691365125i</v>
      </c>
      <c r="AN331" s="31">
        <f t="shared" si="212"/>
        <v>22.39840329135064</v>
      </c>
      <c r="AO331" s="31">
        <f t="shared" si="213"/>
        <v>1.5261354419630084</v>
      </c>
      <c r="AP331" s="58" t="str">
        <f t="shared" si="214"/>
        <v>-0.58802770001345+0.069427039188734i</v>
      </c>
      <c r="AQ331" s="49">
        <f t="shared" si="215"/>
        <v>-4.5519218872289295</v>
      </c>
      <c r="AR331" s="61">
        <f t="shared" si="216"/>
        <v>173.26639615025417</v>
      </c>
      <c r="AS331" s="58" t="str">
        <f t="shared" si="217"/>
        <v>0.0156954203568882+0.00108075361959281i</v>
      </c>
      <c r="AT331" s="64">
        <f t="shared" si="218"/>
        <v>-36.063997951331011</v>
      </c>
      <c r="AU331" s="61">
        <f t="shared" si="219"/>
        <v>3.9390491191593067</v>
      </c>
    </row>
    <row r="332" spans="14:47" x14ac:dyDescent="0.25">
      <c r="N332" s="10">
        <v>14</v>
      </c>
      <c r="O332" s="50">
        <f t="shared" si="221"/>
        <v>13803.842646028841</v>
      </c>
      <c r="P332" s="48" t="str">
        <f t="shared" si="188"/>
        <v>304.285714285714</v>
      </c>
      <c r="Q332" s="17" t="str">
        <f t="shared" si="189"/>
        <v>1+4516.26441749226i</v>
      </c>
      <c r="R332" s="17">
        <f t="shared" si="197"/>
        <v>4516.2645282032254</v>
      </c>
      <c r="S332" s="17">
        <f t="shared" si="198"/>
        <v>1.5705749048649085</v>
      </c>
      <c r="T332" s="17" t="str">
        <f t="shared" si="190"/>
        <v>1+0.0936706693998392i</v>
      </c>
      <c r="U332" s="17">
        <f t="shared" si="199"/>
        <v>1.004377515830484</v>
      </c>
      <c r="V332" s="17">
        <f t="shared" si="200"/>
        <v>9.3398141145715402E-2</v>
      </c>
      <c r="W332" s="31" t="str">
        <f t="shared" si="191"/>
        <v>1-0.292720841874498i</v>
      </c>
      <c r="X332" s="17">
        <f t="shared" si="201"/>
        <v>1.0419623271825689</v>
      </c>
      <c r="Y332" s="17">
        <f t="shared" si="202"/>
        <v>-0.28476536155807863</v>
      </c>
      <c r="Z332" s="31" t="str">
        <f t="shared" si="192"/>
        <v>0.988035865403924+2.58222201693608i</v>
      </c>
      <c r="AA332" s="17">
        <f t="shared" si="203"/>
        <v>2.7647939192775142</v>
      </c>
      <c r="AB332" s="17">
        <f t="shared" si="204"/>
        <v>1.205353092432941</v>
      </c>
      <c r="AC332" s="66" t="str">
        <f t="shared" si="205"/>
        <v>-0.0251164297270117-0.00442260592847403i</v>
      </c>
      <c r="AD332" s="64">
        <f t="shared" si="206"/>
        <v>-31.868231496976001</v>
      </c>
      <c r="AE332" s="61">
        <f t="shared" si="207"/>
        <v>-170.01349254414791</v>
      </c>
      <c r="AF332" s="31" t="str">
        <f t="shared" si="193"/>
        <v>-0.000495863624968664</v>
      </c>
      <c r="AG332" s="31" t="str">
        <f t="shared" si="194"/>
        <v>0.0191435093980857i</v>
      </c>
      <c r="AH332" s="31">
        <f t="shared" si="208"/>
        <v>1.9143509398085699E-2</v>
      </c>
      <c r="AI332" s="31">
        <f t="shared" si="209"/>
        <v>1.5707963267948966</v>
      </c>
      <c r="AJ332" s="31" t="str">
        <f t="shared" si="195"/>
        <v>1+0.0746920886841774i</v>
      </c>
      <c r="AK332" s="31">
        <f t="shared" si="210"/>
        <v>1.0027855743437901</v>
      </c>
      <c r="AL332" s="31">
        <f t="shared" si="211"/>
        <v>7.455365168611422E-2</v>
      </c>
      <c r="AM332" s="31" t="str">
        <f t="shared" si="196"/>
        <v>1+22.8972747421829i</v>
      </c>
      <c r="AN332" s="31">
        <f t="shared" si="212"/>
        <v>22.91910099936311</v>
      </c>
      <c r="AO332" s="31">
        <f t="shared" si="213"/>
        <v>1.5271507422621575</v>
      </c>
      <c r="AP332" s="58" t="str">
        <f t="shared" si="214"/>
        <v>-0.587880869980014+0.0698124911939063i</v>
      </c>
      <c r="AQ332" s="49">
        <f t="shared" si="215"/>
        <v>-4.5533960836002914</v>
      </c>
      <c r="AR332" s="61">
        <f t="shared" si="216"/>
        <v>173.22768262298985</v>
      </c>
      <c r="AS332" s="58" t="str">
        <f t="shared" si="217"/>
        <v>0.0150742216961432+0.000846524891670709i</v>
      </c>
      <c r="AT332" s="64">
        <f t="shared" si="218"/>
        <v>-36.421627580576313</v>
      </c>
      <c r="AU332" s="61">
        <f t="shared" si="219"/>
        <v>3.2141900788419275</v>
      </c>
    </row>
    <row r="333" spans="14:47" x14ac:dyDescent="0.25">
      <c r="N333" s="10">
        <v>15</v>
      </c>
      <c r="O333" s="50">
        <f t="shared" si="221"/>
        <v>14125.375446227561</v>
      </c>
      <c r="P333" s="48" t="str">
        <f t="shared" si="188"/>
        <v>304.285714285714</v>
      </c>
      <c r="Q333" s="17" t="str">
        <f t="shared" si="189"/>
        <v>1+4621.46172970676i</v>
      </c>
      <c r="R333" s="17">
        <f t="shared" si="197"/>
        <v>4621.4618378976365</v>
      </c>
      <c r="S333" s="17">
        <f t="shared" si="198"/>
        <v>1.5705799450432172</v>
      </c>
      <c r="T333" s="17" t="str">
        <f t="shared" si="190"/>
        <v>1+0.0958525395791029i</v>
      </c>
      <c r="U333" s="17">
        <f t="shared" si="199"/>
        <v>1.0045833511181457</v>
      </c>
      <c r="V333" s="17">
        <f t="shared" si="200"/>
        <v>9.5560592202500044E-2</v>
      </c>
      <c r="W333" s="31" t="str">
        <f t="shared" si="191"/>
        <v>1-0.299539186184697i</v>
      </c>
      <c r="X333" s="17">
        <f t="shared" si="201"/>
        <v>1.0438983303273315</v>
      </c>
      <c r="Y333" s="17">
        <f t="shared" si="202"/>
        <v>-0.29103397590902891</v>
      </c>
      <c r="Z333" s="31" t="str">
        <f t="shared" si="192"/>
        <v>0.987472013111726+2.64236969444377i</v>
      </c>
      <c r="AA333" s="17">
        <f t="shared" si="203"/>
        <v>2.8208542285615872</v>
      </c>
      <c r="AB333" s="17">
        <f t="shared" si="204"/>
        <v>1.2131597398831768</v>
      </c>
      <c r="AC333" s="66" t="str">
        <f t="shared" si="205"/>
        <v>-0.0241554336602758-0.0039571905008555i</v>
      </c>
      <c r="AD333" s="64">
        <f t="shared" si="206"/>
        <v>-32.224685448391782</v>
      </c>
      <c r="AE333" s="61">
        <f t="shared" si="207"/>
        <v>-170.69633510288529</v>
      </c>
      <c r="AF333" s="31" t="str">
        <f t="shared" si="193"/>
        <v>-0.000495863624968664</v>
      </c>
      <c r="AG333" s="31" t="str">
        <f t="shared" si="194"/>
        <v>0.0195894190147218i</v>
      </c>
      <c r="AH333" s="31">
        <f t="shared" si="208"/>
        <v>1.95894190147218E-2</v>
      </c>
      <c r="AI333" s="31">
        <f t="shared" si="209"/>
        <v>1.5707963267948966</v>
      </c>
      <c r="AJ333" s="31" t="str">
        <f t="shared" si="195"/>
        <v>1+0.0764318909293315i</v>
      </c>
      <c r="AK333" s="31">
        <f t="shared" si="210"/>
        <v>1.0029166635124942</v>
      </c>
      <c r="AL333" s="31">
        <f t="shared" si="211"/>
        <v>7.6283576302483155E-2</v>
      </c>
      <c r="AM333" s="31" t="str">
        <f t="shared" si="196"/>
        <v>1+23.4306207860029i</v>
      </c>
      <c r="AN333" s="31">
        <f t="shared" si="212"/>
        <v>23.451950674037143</v>
      </c>
      <c r="AO333" s="31">
        <f t="shared" si="213"/>
        <v>1.5281430185168137</v>
      </c>
      <c r="AP333" s="58" t="str">
        <f t="shared" si="214"/>
        <v>-0.587727198631528+0.0702339307157686i</v>
      </c>
      <c r="AQ333" s="49">
        <f t="shared" si="215"/>
        <v>-4.5549036000726515</v>
      </c>
      <c r="AR333" s="61">
        <f t="shared" si="216"/>
        <v>173.18541848509895</v>
      </c>
      <c r="AS333" s="58" t="str">
        <f t="shared" si="217"/>
        <v>0.0144747344003498+0.000629217433413941i</v>
      </c>
      <c r="AT333" s="64">
        <f t="shared" si="218"/>
        <v>-36.77958904846443</v>
      </c>
      <c r="AU333" s="61">
        <f t="shared" si="219"/>
        <v>2.4890833822136305</v>
      </c>
    </row>
    <row r="334" spans="14:47" x14ac:dyDescent="0.25">
      <c r="N334" s="10">
        <v>16</v>
      </c>
      <c r="O334" s="50">
        <f t="shared" si="221"/>
        <v>14454.397707459291</v>
      </c>
      <c r="P334" s="48" t="str">
        <f t="shared" si="188"/>
        <v>304.285714285714</v>
      </c>
      <c r="Q334" s="17" t="str">
        <f t="shared" si="189"/>
        <v>1+4729.10940210262i</v>
      </c>
      <c r="R334" s="17">
        <f t="shared" si="197"/>
        <v>4729.1095078307708</v>
      </c>
      <c r="S334" s="17">
        <f t="shared" si="198"/>
        <v>1.5705848704930714</v>
      </c>
      <c r="T334" s="17" t="str">
        <f t="shared" si="190"/>
        <v>1+0.0980852320436096i</v>
      </c>
      <c r="U334" s="17">
        <f t="shared" si="199"/>
        <v>1.0047988419305869</v>
      </c>
      <c r="V334" s="17">
        <f t="shared" si="200"/>
        <v>9.7772485428225517E-2</v>
      </c>
      <c r="W334" s="31" t="str">
        <f t="shared" si="191"/>
        <v>1-0.30651635013628i</v>
      </c>
      <c r="X334" s="17">
        <f t="shared" si="201"/>
        <v>1.0459217336401738</v>
      </c>
      <c r="Y334" s="17">
        <f t="shared" si="202"/>
        <v>-0.29742432368066407</v>
      </c>
      <c r="Z334" s="31" t="str">
        <f t="shared" si="192"/>
        <v>0.986881587279681+2.70391839133934i</v>
      </c>
      <c r="AA334" s="17">
        <f t="shared" si="203"/>
        <v>2.878386689507646</v>
      </c>
      <c r="AB334" s="17">
        <f t="shared" si="204"/>
        <v>1.220837340751483</v>
      </c>
      <c r="AC334" s="66" t="str">
        <f t="shared" si="205"/>
        <v>-0.0232269948414355-0.00352273865583229i</v>
      </c>
      <c r="AD334" s="64">
        <f t="shared" si="206"/>
        <v>-32.58137263315097</v>
      </c>
      <c r="AE334" s="61">
        <f t="shared" si="207"/>
        <v>-171.37591924728198</v>
      </c>
      <c r="AF334" s="31" t="str">
        <f t="shared" si="193"/>
        <v>-0.000495863624968664</v>
      </c>
      <c r="AG334" s="31" t="str">
        <f t="shared" si="194"/>
        <v>0.0200457152006162i</v>
      </c>
      <c r="AH334" s="31">
        <f t="shared" si="208"/>
        <v>2.0045715200616199E-2</v>
      </c>
      <c r="AI334" s="31">
        <f t="shared" si="209"/>
        <v>1.5707963267948966</v>
      </c>
      <c r="AJ334" s="31" t="str">
        <f t="shared" si="195"/>
        <v>1+0.0782122183747519i</v>
      </c>
      <c r="AK334" s="31">
        <f t="shared" si="210"/>
        <v>1.003053912361195</v>
      </c>
      <c r="AL334" s="31">
        <f t="shared" si="211"/>
        <v>7.805332250968311E-2</v>
      </c>
      <c r="AM334" s="31" t="str">
        <f t="shared" si="196"/>
        <v>1+23.9763900551046i</v>
      </c>
      <c r="AN334" s="31">
        <f t="shared" si="212"/>
        <v>23.997234842258777</v>
      </c>
      <c r="AO334" s="31">
        <f t="shared" si="213"/>
        <v>1.5291127890244713</v>
      </c>
      <c r="AP334" s="58" t="str">
        <f t="shared" si="214"/>
        <v>-0.58756637105957+0.0706915085501629i</v>
      </c>
      <c r="AQ334" s="49">
        <f t="shared" si="215"/>
        <v>-4.5564475889903937</v>
      </c>
      <c r="AR334" s="61">
        <f t="shared" si="216"/>
        <v>173.13958325380216</v>
      </c>
      <c r="AS334" s="58" t="str">
        <f t="shared" si="217"/>
        <v>0.0138964287794104+0.000427891463770719i</v>
      </c>
      <c r="AT334" s="64">
        <f t="shared" si="218"/>
        <v>-37.137820222141343</v>
      </c>
      <c r="AU334" s="61">
        <f t="shared" si="219"/>
        <v>1.7636640065201663</v>
      </c>
    </row>
    <row r="335" spans="14:47" x14ac:dyDescent="0.25">
      <c r="N335" s="10">
        <v>17</v>
      </c>
      <c r="O335" s="50">
        <f t="shared" si="221"/>
        <v>14791.083881682089</v>
      </c>
      <c r="P335" s="48" t="str">
        <f t="shared" si="188"/>
        <v>304.285714285714</v>
      </c>
      <c r="Q335" s="17" t="str">
        <f t="shared" si="189"/>
        <v>1+4839.26451090063i</v>
      </c>
      <c r="R335" s="17">
        <f t="shared" si="197"/>
        <v>4839.2646142221138</v>
      </c>
      <c r="S335" s="17">
        <f t="shared" si="198"/>
        <v>1.5705896838260087</v>
      </c>
      <c r="T335" s="17" t="str">
        <f t="shared" si="190"/>
        <v>1+0.100369930596457i</v>
      </c>
      <c r="U335" s="17">
        <f t="shared" si="199"/>
        <v>1.0050244389903846</v>
      </c>
      <c r="V335" s="17">
        <f t="shared" si="200"/>
        <v>0.10003490697734206</v>
      </c>
      <c r="W335" s="31" t="str">
        <f t="shared" si="191"/>
        <v>1-0.31365603311393i</v>
      </c>
      <c r="X335" s="17">
        <f t="shared" si="201"/>
        <v>1.0480363100144798</v>
      </c>
      <c r="Y335" s="17">
        <f t="shared" si="202"/>
        <v>-0.30393770466937892</v>
      </c>
      <c r="Z335" s="31" t="str">
        <f t="shared" si="192"/>
        <v>0.98626333553544+2.7669007415566i</v>
      </c>
      <c r="AA335" s="17">
        <f t="shared" si="203"/>
        <v>2.937423204212827</v>
      </c>
      <c r="AB335" s="17">
        <f t="shared" si="204"/>
        <v>1.2283864985778505</v>
      </c>
      <c r="AC335" s="66" t="str">
        <f t="shared" si="205"/>
        <v>-0.0223304214845666-0.0031175559582612i</v>
      </c>
      <c r="AD335" s="64">
        <f t="shared" si="206"/>
        <v>-32.938227523929754</v>
      </c>
      <c r="AE335" s="61">
        <f t="shared" si="207"/>
        <v>-172.05229194804406</v>
      </c>
      <c r="AF335" s="31" t="str">
        <f t="shared" si="193"/>
        <v>-0.000495863624968664</v>
      </c>
      <c r="AG335" s="31" t="str">
        <f t="shared" si="194"/>
        <v>0.0205126398900464i</v>
      </c>
      <c r="AH335" s="31">
        <f t="shared" si="208"/>
        <v>2.05126398900464E-2</v>
      </c>
      <c r="AI335" s="31">
        <f t="shared" si="209"/>
        <v>1.5707963267948966</v>
      </c>
      <c r="AJ335" s="31" t="str">
        <f t="shared" si="195"/>
        <v>1+0.0800340149736156i</v>
      </c>
      <c r="AK335" s="31">
        <f t="shared" si="210"/>
        <v>1.0031976094233861</v>
      </c>
      <c r="AL335" s="31">
        <f t="shared" si="211"/>
        <v>7.9863784283014397E-2</v>
      </c>
      <c r="AM335" s="31" t="str">
        <f t="shared" si="196"/>
        <v>1+24.5348719235785i</v>
      </c>
      <c r="AN335" s="31">
        <f t="shared" si="212"/>
        <v>24.555242623651687</v>
      </c>
      <c r="AO335" s="31">
        <f t="shared" si="213"/>
        <v>1.5300605606699298</v>
      </c>
      <c r="AP335" s="58" t="str">
        <f t="shared" si="214"/>
        <v>-0.58739805822943+0.0711853895619734i</v>
      </c>
      <c r="AQ335" s="49">
        <f t="shared" si="215"/>
        <v>-4.5580312765340008</v>
      </c>
      <c r="AR335" s="61">
        <f t="shared" si="216"/>
        <v>173.09015475044748</v>
      </c>
      <c r="AS335" s="58" t="str">
        <f t="shared" si="217"/>
        <v>0.0133387706548492+0.000241646563842285i</v>
      </c>
      <c r="AT335" s="64">
        <f t="shared" si="218"/>
        <v>-37.496258800463778</v>
      </c>
      <c r="AU335" s="61">
        <f t="shared" si="219"/>
        <v>1.0378628024034344</v>
      </c>
    </row>
    <row r="336" spans="14:47" x14ac:dyDescent="0.25">
      <c r="N336" s="10">
        <v>18</v>
      </c>
      <c r="O336" s="50">
        <f t="shared" si="221"/>
        <v>15135.612484362096</v>
      </c>
      <c r="P336" s="48" t="str">
        <f t="shared" si="188"/>
        <v>304.285714285714</v>
      </c>
      <c r="Q336" s="17" t="str">
        <f t="shared" si="189"/>
        <v>1+4951.98546179757i</v>
      </c>
      <c r="R336" s="17">
        <f t="shared" si="197"/>
        <v>4951.9855627671704</v>
      </c>
      <c r="S336" s="17">
        <f t="shared" si="198"/>
        <v>1.5705943875941213</v>
      </c>
      <c r="T336" s="17" t="str">
        <f t="shared" si="190"/>
        <v>1+0.10270784661506i</v>
      </c>
      <c r="U336" s="17">
        <f t="shared" si="199"/>
        <v>1.0052606138491167</v>
      </c>
      <c r="V336" s="17">
        <f t="shared" si="200"/>
        <v>0.10234896372228655</v>
      </c>
      <c r="W336" s="31" t="str">
        <f t="shared" si="191"/>
        <v>1-0.320962020672064i</v>
      </c>
      <c r="X336" s="17">
        <f t="shared" si="201"/>
        <v>1.0502459800988977</v>
      </c>
      <c r="Y336" s="17">
        <f t="shared" si="202"/>
        <v>-0.31057536095896132</v>
      </c>
      <c r="Z336" s="31" t="str">
        <f t="shared" si="192"/>
        <v>0.985615946484162+2.83135013917129i</v>
      </c>
      <c r="AA336" s="17">
        <f t="shared" si="203"/>
        <v>2.9979963983549336</v>
      </c>
      <c r="AB336" s="17">
        <f t="shared" si="204"/>
        <v>1.2358079257680465</v>
      </c>
      <c r="AC336" s="66" t="str">
        <f t="shared" si="205"/>
        <v>-0.0214650032044499-0.00274002018778371i</v>
      </c>
      <c r="AD336" s="64">
        <f t="shared" si="206"/>
        <v>-33.295184361437066</v>
      </c>
      <c r="AE336" s="61">
        <f t="shared" si="207"/>
        <v>-172.72550191627897</v>
      </c>
      <c r="AF336" s="31" t="str">
        <f t="shared" si="193"/>
        <v>-0.000495863624968664</v>
      </c>
      <c r="AG336" s="31" t="str">
        <f t="shared" si="194"/>
        <v>0.0209904406526631i</v>
      </c>
      <c r="AH336" s="31">
        <f t="shared" si="208"/>
        <v>2.09904406526631E-2</v>
      </c>
      <c r="AI336" s="31">
        <f t="shared" si="209"/>
        <v>1.5707963267948966</v>
      </c>
      <c r="AJ336" s="31" t="str">
        <f t="shared" si="195"/>
        <v>1+0.0818982466665938i</v>
      </c>
      <c r="AK336" s="31">
        <f t="shared" si="210"/>
        <v>1.0033480566618258</v>
      </c>
      <c r="AL336" s="31">
        <f t="shared" si="211"/>
        <v>8.1715874052533471E-2</v>
      </c>
      <c r="AM336" s="31" t="str">
        <f t="shared" si="196"/>
        <v>1+25.1063625059036i</v>
      </c>
      <c r="AN336" s="31">
        <f t="shared" si="212"/>
        <v>25.126269883885314</v>
      </c>
      <c r="AO336" s="31">
        <f t="shared" si="213"/>
        <v>1.5309868291595314</v>
      </c>
      <c r="AP336" s="58" t="str">
        <f t="shared" si="214"/>
        <v>-0.587221916381885+0.0717157524209278i</v>
      </c>
      <c r="AQ336" s="49">
        <f t="shared" si="215"/>
        <v>-4.5596579691563068</v>
      </c>
      <c r="AR336" s="61">
        <f t="shared" si="216"/>
        <v>173.03710909852484</v>
      </c>
      <c r="AS336" s="58" t="str">
        <f t="shared" si="217"/>
        <v>0.0128012229262758+0.0000696210500706518i</v>
      </c>
      <c r="AT336" s="64">
        <f t="shared" si="218"/>
        <v>-37.854842330593385</v>
      </c>
      <c r="AU336" s="61">
        <f t="shared" si="219"/>
        <v>0.31160718224585271</v>
      </c>
    </row>
    <row r="337" spans="14:47" x14ac:dyDescent="0.25">
      <c r="N337" s="10">
        <v>19</v>
      </c>
      <c r="O337" s="50">
        <f t="shared" si="221"/>
        <v>15488.166189124853</v>
      </c>
      <c r="P337" s="48" t="str">
        <f t="shared" si="188"/>
        <v>304.285714285714</v>
      </c>
      <c r="Q337" s="17" t="str">
        <f t="shared" si="189"/>
        <v>1+5067.33202093363i</v>
      </c>
      <c r="R337" s="17">
        <f t="shared" si="197"/>
        <v>5067.3321196048819</v>
      </c>
      <c r="S337" s="17">
        <f t="shared" si="198"/>
        <v>1.5705989842914081</v>
      </c>
      <c r="T337" s="17" t="str">
        <f t="shared" si="190"/>
        <v>1+0.105100219693438i</v>
      </c>
      <c r="U337" s="17">
        <f t="shared" si="199"/>
        <v>1.0055078598298517</v>
      </c>
      <c r="V337" s="17">
        <f t="shared" si="200"/>
        <v>0.1047157834207073</v>
      </c>
      <c r="W337" s="31" t="str">
        <f t="shared" si="191"/>
        <v>1-0.328438186541994i</v>
      </c>
      <c r="X337" s="17">
        <f t="shared" si="201"/>
        <v>1.0525548168048036</v>
      </c>
      <c r="Y337" s="17">
        <f t="shared" si="202"/>
        <v>-0.31733847153386935</v>
      </c>
      <c r="Z337" s="31" t="str">
        <f t="shared" si="192"/>
        <v>0.984938046926874+2.89730075610712i</v>
      </c>
      <c r="AA337" s="17">
        <f t="shared" si="203"/>
        <v>3.0601396418501912</v>
      </c>
      <c r="AB337" s="17">
        <f t="shared" si="204"/>
        <v>1.2431024370106689</v>
      </c>
      <c r="AC337" s="66" t="str">
        <f t="shared" si="205"/>
        <v>-0.0206300143415628-0.00238857999322308i</v>
      </c>
      <c r="AD337" s="64">
        <f t="shared" si="206"/>
        <v>-33.652177162634779</v>
      </c>
      <c r="AE337" s="61">
        <f t="shared" si="207"/>
        <v>-173.39559890818072</v>
      </c>
      <c r="AF337" s="31" t="str">
        <f t="shared" si="193"/>
        <v>-0.000495863624968664</v>
      </c>
      <c r="AG337" s="31" t="str">
        <f t="shared" si="194"/>
        <v>0.0214793708247552i</v>
      </c>
      <c r="AH337" s="31">
        <f t="shared" si="208"/>
        <v>2.1479370824755199E-2</v>
      </c>
      <c r="AI337" s="31">
        <f t="shared" si="209"/>
        <v>1.5707963267948966</v>
      </c>
      <c r="AJ337" s="31" t="str">
        <f t="shared" si="195"/>
        <v>1+0.0838059018940062i</v>
      </c>
      <c r="AK337" s="31">
        <f t="shared" si="210"/>
        <v>1.0035055700853224</v>
      </c>
      <c r="AL337" s="31">
        <f t="shared" si="211"/>
        <v>8.3610522967577372E-2</v>
      </c>
      <c r="AM337" s="31" t="str">
        <f t="shared" si="196"/>
        <v>1+25.6911648139515i</v>
      </c>
      <c r="AN337" s="31">
        <f t="shared" si="212"/>
        <v>25.710619391559192</v>
      </c>
      <c r="AO337" s="31">
        <f t="shared" si="213"/>
        <v>1.5318920792517561</v>
      </c>
      <c r="AP337" s="58" t="str">
        <f t="shared" si="214"/>
        <v>-0.587037586413066+0.0722827893210671i</v>
      </c>
      <c r="AQ337" s="49">
        <f t="shared" si="215"/>
        <v>-4.5613310601569381</v>
      </c>
      <c r="AR337" s="61">
        <f t="shared" si="216"/>
        <v>172.98042072172203</v>
      </c>
      <c r="AS337" s="58" t="str">
        <f t="shared" si="217"/>
        <v>0.0122832470511646-0.0000890087461655625i</v>
      </c>
      <c r="AT337" s="64">
        <f t="shared" si="218"/>
        <v>-38.213508222791738</v>
      </c>
      <c r="AU337" s="61">
        <f t="shared" si="219"/>
        <v>-0.41517818645867749</v>
      </c>
    </row>
    <row r="338" spans="14:47" x14ac:dyDescent="0.25">
      <c r="N338" s="10">
        <v>20</v>
      </c>
      <c r="O338" s="50">
        <f t="shared" si="221"/>
        <v>15848.931924611146</v>
      </c>
      <c r="P338" s="48" t="str">
        <f t="shared" si="188"/>
        <v>304.285714285714</v>
      </c>
      <c r="Q338" s="17" t="str">
        <f t="shared" si="189"/>
        <v>1+5185.36534658125i</v>
      </c>
      <c r="R338" s="17">
        <f t="shared" si="197"/>
        <v>5185.3654430064707</v>
      </c>
      <c r="S338" s="17">
        <f t="shared" si="198"/>
        <v>1.5706034763550984</v>
      </c>
      <c r="T338" s="17" t="str">
        <f t="shared" si="190"/>
        <v>1+0.107548318299463i</v>
      </c>
      <c r="U338" s="17">
        <f t="shared" si="199"/>
        <v>1.0057666930103832</v>
      </c>
      <c r="V338" s="17">
        <f t="shared" si="200"/>
        <v>0.1071365148654965</v>
      </c>
      <c r="W338" s="31" t="str">
        <f t="shared" si="191"/>
        <v>1-0.336088494685821i</v>
      </c>
      <c r="X338" s="17">
        <f t="shared" si="201"/>
        <v>1.0549670498457198</v>
      </c>
      <c r="Y338" s="17">
        <f t="shared" si="202"/>
        <v>-0.32422814669018146</v>
      </c>
      <c r="Z338" s="31" t="str">
        <f t="shared" si="192"/>
        <v>0.984228198947727+2.96478756025414i</v>
      </c>
      <c r="AA338" s="17">
        <f t="shared" si="203"/>
        <v>3.1238870698284824</v>
      </c>
      <c r="AB338" s="17">
        <f t="shared" si="204"/>
        <v>1.2502709428200935</v>
      </c>
      <c r="AC338" s="66" t="str">
        <f t="shared" si="205"/>
        <v>-0.0198247170955244-0.00206175339623701i</v>
      </c>
      <c r="AD338" s="64">
        <f t="shared" si="206"/>
        <v>-34.00913972740377</v>
      </c>
      <c r="AE338" s="61">
        <f t="shared" si="207"/>
        <v>-174.06263302631831</v>
      </c>
      <c r="AF338" s="31" t="str">
        <f t="shared" si="193"/>
        <v>-0.000495863624968664</v>
      </c>
      <c r="AG338" s="31" t="str">
        <f t="shared" si="194"/>
        <v>0.0219796896435717i</v>
      </c>
      <c r="AH338" s="31">
        <f t="shared" si="208"/>
        <v>2.19796896435717E-2</v>
      </c>
      <c r="AI338" s="31">
        <f t="shared" si="209"/>
        <v>1.5707963267948966</v>
      </c>
      <c r="AJ338" s="31" t="str">
        <f t="shared" si="195"/>
        <v>1+0.0857579921199047i</v>
      </c>
      <c r="AK338" s="31">
        <f t="shared" si="210"/>
        <v>1.0036704803930609</v>
      </c>
      <c r="AL338" s="31">
        <f t="shared" si="211"/>
        <v>8.5548681156111486E-2</v>
      </c>
      <c r="AM338" s="31" t="str">
        <f t="shared" si="196"/>
        <v>1+26.2895889176464i</v>
      </c>
      <c r="AN338" s="31">
        <f t="shared" si="212"/>
        <v>26.308600978745272</v>
      </c>
      <c r="AO338" s="31">
        <f t="shared" si="213"/>
        <v>1.5327767849841412</v>
      </c>
      <c r="AP338" s="58" t="str">
        <f t="shared" si="214"/>
        <v>-0.586844693231988+0.0728867056822315i</v>
      </c>
      <c r="AQ338" s="49">
        <f t="shared" si="215"/>
        <v>-4.5630540364049441</v>
      </c>
      <c r="AR338" s="61">
        <f t="shared" si="216"/>
        <v>172.92006234206701</v>
      </c>
      <c r="AS338" s="58" t="str">
        <f t="shared" si="217"/>
        <v>0.0117843044353148-0.000235029280840273i</v>
      </c>
      <c r="AT338" s="64">
        <f t="shared" si="218"/>
        <v>-38.572193763808741</v>
      </c>
      <c r="AU338" s="61">
        <f t="shared" si="219"/>
        <v>-1.142570684251311</v>
      </c>
    </row>
    <row r="339" spans="14:47" x14ac:dyDescent="0.25">
      <c r="N339" s="10">
        <v>21</v>
      </c>
      <c r="O339" s="50">
        <f t="shared" si="221"/>
        <v>16218.100973589309</v>
      </c>
      <c r="P339" s="48" t="str">
        <f t="shared" ref="P339:P402" si="222">COMPLEX(Adc,0)</f>
        <v>304.285714285714</v>
      </c>
      <c r="Q339" s="17" t="str">
        <f t="shared" ref="Q339:Q402" si="223">IMSUM(COMPLEX(1,0),IMDIV(COMPLEX(0,2*PI()*O339),COMPLEX(wp_lf,0)))</f>
        <v>1+5306.14802157204i</v>
      </c>
      <c r="R339" s="17">
        <f t="shared" si="197"/>
        <v>5306.1481158023553</v>
      </c>
      <c r="S339" s="17">
        <f t="shared" si="198"/>
        <v>1.5706078661669429</v>
      </c>
      <c r="T339" s="17" t="str">
        <f t="shared" ref="T339:T402" si="224">IMSUM(COMPLEX(1,0),IMDIV(COMPLEX(0,2*PI()*O339),COMPLEX(wz_esr,0)))</f>
        <v>1+0.11005344044742i</v>
      </c>
      <c r="U339" s="17">
        <f t="shared" si="199"/>
        <v>1.0060376532487807</v>
      </c>
      <c r="V339" s="17">
        <f t="shared" si="200"/>
        <v>0.10961232801589764</v>
      </c>
      <c r="W339" s="31" t="str">
        <f t="shared" ref="W339:W402" si="225">IMSUB(COMPLEX(1,0),IMDIV(COMPLEX(0,2*PI()*O339),COMPLEX(wz_rhp,0)))</f>
        <v>1-0.343917001398187i</v>
      </c>
      <c r="X339" s="17">
        <f t="shared" si="201"/>
        <v>1.0574870702995478</v>
      </c>
      <c r="Y339" s="17">
        <f t="shared" si="202"/>
        <v>-0.33124542225109271</v>
      </c>
      <c r="Z339" s="31" t="str">
        <f t="shared" ref="Z339:Z402" si="226">IMSUM(COMPLEX(1,0),IMDIV(COMPLEX(0,2*PI()*O339),COMPLEX(Q*(wsl/2),0)),IMDIV(IMPOWER(COMPLEX(0,2*PI()*O339),2),IMPOWER(COMPLEX(wsl/2,0),2)))</f>
        <v>0.983484896863986+3.03384633400921i</v>
      </c>
      <c r="AA339" s="17">
        <f t="shared" si="203"/>
        <v>3.1892736039325142</v>
      </c>
      <c r="AB339" s="17">
        <f t="shared" si="204"/>
        <v>1.2573144432237846</v>
      </c>
      <c r="AC339" s="66" t="str">
        <f t="shared" si="205"/>
        <v>-0.0190483644652984-0.00175812616489903i</v>
      </c>
      <c r="AD339" s="64">
        <f t="shared" si="206"/>
        <v>-34.366005644047306</v>
      </c>
      <c r="AE339" s="61">
        <f t="shared" si="207"/>
        <v>-174.72665401907966</v>
      </c>
      <c r="AF339" s="31" t="str">
        <f t="shared" ref="AF339:AF402" si="227">COMPLEX(Adc_ea,0)</f>
        <v>-0.000495863624968664</v>
      </c>
      <c r="AG339" s="31" t="str">
        <f t="shared" ref="AG339:AG402" si="228">COMPLEX(0,2*PI()*O339*wp0_ea)</f>
        <v>0.0224916623847728i</v>
      </c>
      <c r="AH339" s="31">
        <f t="shared" si="208"/>
        <v>2.2491662384772799E-2</v>
      </c>
      <c r="AI339" s="31">
        <f t="shared" si="209"/>
        <v>1.5707963267948966</v>
      </c>
      <c r="AJ339" s="31" t="str">
        <f t="shared" ref="AJ339:AJ402" si="229">IMSUM(COMPLEX(1,0),IMDIV(COMPLEX(0,2*PI()*O339),COMPLEX(wp1_ea,0)))</f>
        <v>1+0.0877555523683664i</v>
      </c>
      <c r="AK339" s="31">
        <f t="shared" si="210"/>
        <v>1.0038431336476219</v>
      </c>
      <c r="AL339" s="31">
        <f t="shared" si="211"/>
        <v>8.753131797802971E-2</v>
      </c>
      <c r="AM339" s="31" t="str">
        <f t="shared" ref="AM339:AM402" si="230">IMSUM(COMPLEX(1,0),IMDIV(COMPLEX(0,2*PI()*O339),COMPLEX(wz_ea,0)))</f>
        <v>1+26.9019521093693i</v>
      </c>
      <c r="AN339" s="31">
        <f t="shared" si="212"/>
        <v>26.920531705276542</v>
      </c>
      <c r="AO339" s="31">
        <f t="shared" si="213"/>
        <v>1.5336414098965123</v>
      </c>
      <c r="AP339" s="58" t="str">
        <f t="shared" si="214"/>
        <v>-0.586642845095305+0.0735277198317986i</v>
      </c>
      <c r="AQ339" s="49">
        <f t="shared" si="215"/>
        <v>-4.5648304852202166</v>
      </c>
      <c r="AR339" s="61">
        <f t="shared" si="216"/>
        <v>172.8560049782046</v>
      </c>
      <c r="AS339" s="58" t="str">
        <f t="shared" si="217"/>
        <v>0.0113038577324166-0.000369190670245584i</v>
      </c>
      <c r="AT339" s="64">
        <f t="shared" si="218"/>
        <v>-38.930836129267526</v>
      </c>
      <c r="AU339" s="61">
        <f t="shared" si="219"/>
        <v>-1.8706490408750671</v>
      </c>
    </row>
    <row r="340" spans="14:47" x14ac:dyDescent="0.25">
      <c r="N340" s="10">
        <v>22</v>
      </c>
      <c r="O340" s="50">
        <f t="shared" si="221"/>
        <v>16595.869074375616</v>
      </c>
      <c r="P340" s="48" t="str">
        <f t="shared" si="222"/>
        <v>304.285714285714</v>
      </c>
      <c r="Q340" s="17" t="str">
        <f t="shared" si="223"/>
        <v>1+5429.74408647908i</v>
      </c>
      <c r="R340" s="17">
        <f t="shared" ref="R340:R403" si="231">IMABS(Q340)</f>
        <v>5429.7441785644496</v>
      </c>
      <c r="S340" s="17">
        <f t="shared" ref="S340:S403" si="232">IMARGUMENT(Q340)</f>
        <v>1.5706121560544775</v>
      </c>
      <c r="T340" s="17" t="str">
        <f t="shared" si="224"/>
        <v>1+0.112616914386232i</v>
      </c>
      <c r="U340" s="17">
        <f t="shared" ref="U340:U403" si="233">IMABS(T340)</f>
        <v>1.0063213052528879</v>
      </c>
      <c r="V340" s="17">
        <f t="shared" ref="V340:V403" si="234">IMARGUMENT(T340)</f>
        <v>0.11214441410783131</v>
      </c>
      <c r="W340" s="31" t="str">
        <f t="shared" si="225"/>
        <v>1-0.351927857456977i</v>
      </c>
      <c r="X340" s="17">
        <f t="shared" ref="X340:X403" si="235">IMABS(W340)</f>
        <v>1.0601194351837242</v>
      </c>
      <c r="Y340" s="17">
        <f t="shared" ref="Y340:Y403" si="236">IMARGUMENT(W340)</f>
        <v>-0.33839125359568517</v>
      </c>
      <c r="Z340" s="31" t="str">
        <f t="shared" si="226"/>
        <v>0.982706564032275+3.10451369324829i</v>
      </c>
      <c r="AA340" s="17">
        <f t="shared" ref="AA340:AA403" si="237">IMABS(Z340)</f>
        <v>3.2563349739482055</v>
      </c>
      <c r="AB340" s="17">
        <f t="shared" ref="AB340:AB403" si="238">IMARGUMENT(Z340)</f>
        <v>1.2642340216099033</v>
      </c>
      <c r="AC340" s="66" t="str">
        <f t="shared" ref="AC340:AC403" si="239">(IMDIV(IMPRODUCT(P340,T340,W340),IMPRODUCT(Q340,Z340)))</f>
        <v>-0.0183002029961622-0.0014763500768585i</v>
      </c>
      <c r="AD340" s="64">
        <f t="shared" ref="AD340:AD403" si="240">20*LOG(IMABS(AC340))</f>
        <v>-34.722708294029701</v>
      </c>
      <c r="AE340" s="61">
        <f t="shared" ref="AE340:AE403" si="241">(180/PI())*IMARGUMENT(AC340)</f>
        <v>-175.38771057979034</v>
      </c>
      <c r="AF340" s="31" t="str">
        <f t="shared" si="227"/>
        <v>-0.000495863624968664</v>
      </c>
      <c r="AG340" s="31" t="str">
        <f t="shared" si="228"/>
        <v>0.0230155605030826i</v>
      </c>
      <c r="AH340" s="31">
        <f t="shared" ref="AH340:AH403" si="242">IMABS(AG340)</f>
        <v>2.3015560503082601E-2</v>
      </c>
      <c r="AI340" s="31">
        <f t="shared" ref="AI340:AI403" si="243">IMARGUMENT(AG340)</f>
        <v>1.5707963267948966</v>
      </c>
      <c r="AJ340" s="31" t="str">
        <f t="shared" si="229"/>
        <v>1+0.0897996417722764i</v>
      </c>
      <c r="AK340" s="31">
        <f t="shared" ref="AK340:AK403" si="244">IMABS(AJ340)</f>
        <v>1.0040238919778897</v>
      </c>
      <c r="AL340" s="31">
        <f t="shared" ref="AL340:AL403" si="245">IMARGUMENT(AJ340)</f>
        <v>8.9559422271462477E-2</v>
      </c>
      <c r="AM340" s="31" t="str">
        <f t="shared" si="230"/>
        <v>1+27.5285790721901i</v>
      </c>
      <c r="AN340" s="31">
        <f t="shared" ref="AN340:AN403" si="246">IMABS(AM340)</f>
        <v>27.546736026865737</v>
      </c>
      <c r="AO340" s="31">
        <f t="shared" ref="AO340:AO403" si="247">IMARGUMENT(AM340)</f>
        <v>1.5344864072505071</v>
      </c>
      <c r="AP340" s="58" t="str">
        <f t="shared" ref="AP340:AP403" si="248">IMPRODUCT(AF340,IMDIV(AM340,IMPRODUCT(AG340,AJ340)))</f>
        <v>-0.586431632918903+0.0742060626648113i</v>
      </c>
      <c r="AQ340" s="49">
        <f t="shared" ref="AQ340:AQ403" si="249">20*LOG(IMABS(AP340))</f>
        <v>-4.5666641014241547</v>
      </c>
      <c r="AR340" s="61">
        <f t="shared" ref="AR340:AR403" si="250">(180/PI())*IMARGUMENT(AP340)</f>
        <v>172.78821794386215</v>
      </c>
      <c r="AS340" s="58" t="str">
        <f t="shared" ref="AS340:AS403" si="251">IMPRODUCT(AC340,AP340)</f>
        <v>0.0108413720521054-0.000492207623979902i</v>
      </c>
      <c r="AT340" s="64">
        <f t="shared" ref="AT340:AT403" si="252">20*LOG(IMABS(AS340))</f>
        <v>-39.289372395453825</v>
      </c>
      <c r="AU340" s="61">
        <f t="shared" ref="AU340:AU403" si="253">(180/PI())*IMARGUMENT(AS340)</f>
        <v>-2.5994926359281694</v>
      </c>
    </row>
    <row r="341" spans="14:47" x14ac:dyDescent="0.25">
      <c r="N341" s="10">
        <v>23</v>
      </c>
      <c r="O341" s="50">
        <f t="shared" si="221"/>
        <v>16982.436524617482</v>
      </c>
      <c r="P341" s="48" t="str">
        <f t="shared" si="222"/>
        <v>304.285714285714</v>
      </c>
      <c r="Q341" s="17" t="str">
        <f t="shared" si="223"/>
        <v>1+5556.21907357194i</v>
      </c>
      <c r="R341" s="17">
        <f t="shared" si="231"/>
        <v>5556.2191635611907</v>
      </c>
      <c r="S341" s="17">
        <f t="shared" si="232"/>
        <v>1.5706163482922564</v>
      </c>
      <c r="T341" s="17" t="str">
        <f t="shared" si="224"/>
        <v>1+0.115240099303714i</v>
      </c>
      <c r="U341" s="17">
        <f t="shared" si="233"/>
        <v>1.0066182396954317</v>
      </c>
      <c r="V341" s="17">
        <f t="shared" si="234"/>
        <v>0.11473398574146523</v>
      </c>
      <c r="W341" s="31" t="str">
        <f t="shared" si="225"/>
        <v>1-0.360125310324106i</v>
      </c>
      <c r="X341" s="17">
        <f t="shared" si="235"/>
        <v>1.0628688720326858</v>
      </c>
      <c r="Y341" s="17">
        <f t="shared" si="236"/>
        <v>-0.34566650951177369</v>
      </c>
      <c r="Z341" s="31" t="str">
        <f t="shared" si="226"/>
        <v>0.981891549504305+3.17682710674064i</v>
      </c>
      <c r="AA341" s="17">
        <f t="shared" si="237"/>
        <v>3.325107739774769</v>
      </c>
      <c r="AB341" s="17">
        <f t="shared" si="238"/>
        <v>1.2710308387487848</v>
      </c>
      <c r="AC341" s="66" t="str">
        <f t="shared" si="239"/>
        <v>-0.017579475334961-0.00121514109062199i</v>
      </c>
      <c r="AD341" s="64">
        <f t="shared" si="240"/>
        <v>-35.079180856351996</v>
      </c>
      <c r="AE341" s="61">
        <f t="shared" si="241"/>
        <v>-176.04584964701726</v>
      </c>
      <c r="AF341" s="31" t="str">
        <f t="shared" si="227"/>
        <v>-0.000495863624968664</v>
      </c>
      <c r="AG341" s="31" t="str">
        <f t="shared" si="228"/>
        <v>0.0235516617762182i</v>
      </c>
      <c r="AH341" s="31">
        <f t="shared" si="242"/>
        <v>2.3551661776218199E-2</v>
      </c>
      <c r="AI341" s="31">
        <f t="shared" si="243"/>
        <v>1.5707963267948966</v>
      </c>
      <c r="AJ341" s="31" t="str">
        <f t="shared" si="229"/>
        <v>1+0.091891344134893i</v>
      </c>
      <c r="AK341" s="31">
        <f t="shared" si="244"/>
        <v>1.0042131343130887</v>
      </c>
      <c r="AL341" s="31">
        <f t="shared" si="245"/>
        <v>9.1634002591081995E-2</v>
      </c>
      <c r="AM341" s="31" t="str">
        <f t="shared" si="230"/>
        <v>1+28.169802052019i</v>
      </c>
      <c r="AN341" s="31">
        <f t="shared" si="246"/>
        <v>28.187545967145383</v>
      </c>
      <c r="AO341" s="31">
        <f t="shared" si="247"/>
        <v>1.5353122202453884</v>
      </c>
      <c r="AP341" s="58" t="str">
        <f t="shared" si="248"/>
        <v>-0.586210629565985+0.0749219772805318i</v>
      </c>
      <c r="AQ341" s="49">
        <f t="shared" si="249"/>
        <v>-4.5685586945699503</v>
      </c>
      <c r="AR341" s="61">
        <f t="shared" si="250"/>
        <v>172.71666884656079</v>
      </c>
      <c r="AS341" s="58" t="str">
        <f t="shared" si="251"/>
        <v>0.0103963160767314-0.000604760427904603i</v>
      </c>
      <c r="AT341" s="64">
        <f t="shared" si="252"/>
        <v>-39.647739550921969</v>
      </c>
      <c r="AU341" s="61">
        <f t="shared" si="253"/>
        <v>-3.3291808004565078</v>
      </c>
    </row>
    <row r="342" spans="14:47" x14ac:dyDescent="0.25">
      <c r="N342" s="10">
        <v>24</v>
      </c>
      <c r="O342" s="50">
        <f t="shared" si="221"/>
        <v>17378.008287493791</v>
      </c>
      <c r="P342" s="48" t="str">
        <f t="shared" si="222"/>
        <v>304.285714285714</v>
      </c>
      <c r="Q342" s="17" t="str">
        <f t="shared" si="223"/>
        <v>1+5685.6400415628i</v>
      </c>
      <c r="R342" s="17">
        <f t="shared" si="231"/>
        <v>5685.6401295036458</v>
      </c>
      <c r="S342" s="17">
        <f t="shared" si="232"/>
        <v>1.5706204451030592</v>
      </c>
      <c r="T342" s="17" t="str">
        <f t="shared" si="224"/>
        <v>1+0.117924386047228i</v>
      </c>
      <c r="U342" s="17">
        <f t="shared" si="233"/>
        <v>1.0069290743764505</v>
      </c>
      <c r="V342" s="17">
        <f t="shared" si="234"/>
        <v>0.11738227694392528</v>
      </c>
      <c r="W342" s="31" t="str">
        <f t="shared" si="225"/>
        <v>1-0.368513706397588i</v>
      </c>
      <c r="X342" s="17">
        <f t="shared" si="235"/>
        <v>1.0657402834663272</v>
      </c>
      <c r="Y342" s="17">
        <f t="shared" si="236"/>
        <v>-0.3530719658858682</v>
      </c>
      <c r="Z342" s="31" t="str">
        <f t="shared" si="226"/>
        <v>0.981038124524991+3.25082491601522i</v>
      </c>
      <c r="AA342" s="17">
        <f t="shared" si="237"/>
        <v>3.3956293137439006</v>
      </c>
      <c r="AB342" s="17">
        <f t="shared" si="238"/>
        <v>1.2777061269996086</v>
      </c>
      <c r="AC342" s="66" t="str">
        <f t="shared" si="239"/>
        <v>-0.0168854225964883-0.000973277442335148i</v>
      </c>
      <c r="AD342" s="64">
        <f t="shared" si="240"/>
        <v>-35.435356311965961</v>
      </c>
      <c r="AE342" s="61">
        <f t="shared" si="241"/>
        <v>-176.70111570757251</v>
      </c>
      <c r="AF342" s="31" t="str">
        <f t="shared" si="227"/>
        <v>-0.000495863624968664</v>
      </c>
      <c r="AG342" s="31" t="str">
        <f t="shared" si="228"/>
        <v>0.0241002504521706i</v>
      </c>
      <c r="AH342" s="31">
        <f t="shared" si="242"/>
        <v>2.41002504521706E-2</v>
      </c>
      <c r="AI342" s="31">
        <f t="shared" si="243"/>
        <v>1.5707963267948966</v>
      </c>
      <c r="AJ342" s="31" t="str">
        <f t="shared" si="229"/>
        <v>1+0.0940317685044947i</v>
      </c>
      <c r="AK342" s="31">
        <f t="shared" si="244"/>
        <v>1.0044112571492232</v>
      </c>
      <c r="AL342" s="31">
        <f t="shared" si="245"/>
        <v>9.3756087437318614E-2</v>
      </c>
      <c r="AM342" s="31" t="str">
        <f t="shared" si="230"/>
        <v>1+28.8259610337668i</v>
      </c>
      <c r="AN342" s="31">
        <f t="shared" si="246"/>
        <v>28.843301293718824</v>
      </c>
      <c r="AO342" s="31">
        <f t="shared" si="247"/>
        <v>1.5361192822301446</v>
      </c>
      <c r="AP342" s="58" t="str">
        <f t="shared" si="248"/>
        <v>-0.58597938911135+0.0756757185933385i</v>
      </c>
      <c r="AQ342" s="49">
        <f t="shared" si="249"/>
        <v>-4.5705181963630146</v>
      </c>
      <c r="AR342" s="61">
        <f t="shared" si="250"/>
        <v>172.64132358663474</v>
      </c>
      <c r="AS342" s="58" t="str">
        <f t="shared" si="251"/>
        <v>0.0099681630878166-0.000707495967646041i</v>
      </c>
      <c r="AT342" s="64">
        <f t="shared" si="252"/>
        <v>-40.005874508328972</v>
      </c>
      <c r="AU342" s="61">
        <f t="shared" si="253"/>
        <v>-4.0597921209377583</v>
      </c>
    </row>
    <row r="343" spans="14:47" x14ac:dyDescent="0.25">
      <c r="N343" s="10">
        <v>25</v>
      </c>
      <c r="O343" s="50">
        <f t="shared" si="221"/>
        <v>17782.794100389234</v>
      </c>
      <c r="P343" s="48" t="str">
        <f t="shared" si="222"/>
        <v>304.285714285714</v>
      </c>
      <c r="Q343" s="17" t="str">
        <f t="shared" si="223"/>
        <v>1+5818.07561116203i</v>
      </c>
      <c r="R343" s="17">
        <f t="shared" si="231"/>
        <v>5818.0756971010987</v>
      </c>
      <c r="S343" s="17">
        <f t="shared" si="232"/>
        <v>1.5706244486590686</v>
      </c>
      <c r="T343" s="17" t="str">
        <f t="shared" si="224"/>
        <v>1+0.120671197861138i</v>
      </c>
      <c r="U343" s="17">
        <f t="shared" si="233"/>
        <v>1.0072544554347933</v>
      </c>
      <c r="V343" s="17">
        <f t="shared" si="234"/>
        <v>0.12009054320492858</v>
      </c>
      <c r="W343" s="31" t="str">
        <f t="shared" si="225"/>
        <v>1-0.377097493316057i</v>
      </c>
      <c r="X343" s="17">
        <f t="shared" si="235"/>
        <v>1.0687387517374176</v>
      </c>
      <c r="Y343" s="17">
        <f t="shared" si="236"/>
        <v>-0.36060829924558785</v>
      </c>
      <c r="Z343" s="31" t="str">
        <f t="shared" si="226"/>
        <v>0.980144478865532+3.32654635569003i</v>
      </c>
      <c r="AA343" s="17">
        <f t="shared" si="237"/>
        <v>3.4679379832986066</v>
      </c>
      <c r="AB343" s="17">
        <f t="shared" si="238"/>
        <v>1.284261184711514</v>
      </c>
      <c r="AC343" s="66" t="str">
        <f t="shared" si="239"/>
        <v>-0.0162172865449705-0.000749597684244383i</v>
      </c>
      <c r="AD343" s="64">
        <f t="shared" si="240"/>
        <v>-35.791167448627398</v>
      </c>
      <c r="AE343" s="61">
        <f t="shared" si="241"/>
        <v>-177.3535501037542</v>
      </c>
      <c r="AF343" s="31" t="str">
        <f t="shared" si="227"/>
        <v>-0.000495863624968664</v>
      </c>
      <c r="AG343" s="31" t="str">
        <f t="shared" si="228"/>
        <v>0.0246616173999172i</v>
      </c>
      <c r="AH343" s="31">
        <f t="shared" si="242"/>
        <v>2.46616173999172E-2</v>
      </c>
      <c r="AI343" s="31">
        <f t="shared" si="243"/>
        <v>1.5707963267948966</v>
      </c>
      <c r="AJ343" s="31" t="str">
        <f t="shared" si="229"/>
        <v>1+0.0962220497624151i</v>
      </c>
      <c r="AK343" s="31">
        <f t="shared" si="244"/>
        <v>1.0046186753492494</v>
      </c>
      <c r="AL343" s="31">
        <f t="shared" si="245"/>
        <v>9.592672547532162E-2</v>
      </c>
      <c r="AM343" s="31" t="str">
        <f t="shared" si="230"/>
        <v>1+29.4974039216115i</v>
      </c>
      <c r="AN343" s="31">
        <f t="shared" si="246"/>
        <v>29.514349698319656</v>
      </c>
      <c r="AO343" s="31">
        <f t="shared" si="247"/>
        <v>1.5369080169118887</v>
      </c>
      <c r="AP343" s="58" t="str">
        <f t="shared" si="248"/>
        <v>-0.585737446081656+0.0764675529157818i</v>
      </c>
      <c r="AQ343" s="49">
        <f t="shared" si="249"/>
        <v>-4.5725466682814604</v>
      </c>
      <c r="AR343" s="61">
        <f t="shared" si="250"/>
        <v>172.56214635662619</v>
      </c>
      <c r="AS343" s="58" t="str">
        <f t="shared" si="251"/>
        <v>0.00955639190381093-0.000801028783869899i</v>
      </c>
      <c r="AT343" s="64">
        <f t="shared" si="252"/>
        <v>-40.363714116908859</v>
      </c>
      <c r="AU343" s="61">
        <f t="shared" si="253"/>
        <v>-4.791403747128026</v>
      </c>
    </row>
    <row r="344" spans="14:47" x14ac:dyDescent="0.25">
      <c r="N344" s="10">
        <v>26</v>
      </c>
      <c r="O344" s="50">
        <f t="shared" si="221"/>
        <v>18197.008586099837</v>
      </c>
      <c r="P344" s="48" t="str">
        <f t="shared" si="222"/>
        <v>304.285714285714</v>
      </c>
      <c r="Q344" s="17" t="str">
        <f t="shared" si="223"/>
        <v>1+5953.59600146168i</v>
      </c>
      <c r="R344" s="17">
        <f t="shared" si="231"/>
        <v>5953.5960854445366</v>
      </c>
      <c r="S344" s="17">
        <f t="shared" si="232"/>
        <v>1.5706283610830225</v>
      </c>
      <c r="T344" s="17" t="str">
        <f t="shared" si="224"/>
        <v>1+0.123481991141427i</v>
      </c>
      <c r="U344" s="17">
        <f t="shared" si="233"/>
        <v>1.0075950586104774</v>
      </c>
      <c r="V344" s="17">
        <f t="shared" si="234"/>
        <v>0.12286006148293464</v>
      </c>
      <c r="W344" s="31" t="str">
        <f t="shared" si="225"/>
        <v>1-0.38588122231696i</v>
      </c>
      <c r="X344" s="17">
        <f t="shared" si="235"/>
        <v>1.0718695432452734</v>
      </c>
      <c r="Y344" s="17">
        <f t="shared" si="236"/>
        <v>-0.36827608017237023</v>
      </c>
      <c r="Z344" s="31" t="str">
        <f t="shared" si="226"/>
        <v>0.979208716983671+3.40403157427469i</v>
      </c>
      <c r="AA344" s="17">
        <f t="shared" si="237"/>
        <v>3.5420729340424133</v>
      </c>
      <c r="AB344" s="17">
        <f t="shared" si="238"/>
        <v>1.29069737082641</v>
      </c>
      <c r="AC344" s="66" t="str">
        <f t="shared" si="239"/>
        <v>-0.0155743115956093-0.000542998679802014i</v>
      </c>
      <c r="AD344" s="64">
        <f t="shared" si="240"/>
        <v>-36.146546866580763</v>
      </c>
      <c r="AE344" s="61">
        <f t="shared" si="241"/>
        <v>-178.00319034640012</v>
      </c>
      <c r="AF344" s="31" t="str">
        <f t="shared" si="227"/>
        <v>-0.000495863624968664</v>
      </c>
      <c r="AG344" s="31" t="str">
        <f t="shared" si="228"/>
        <v>0.0252360602636443i</v>
      </c>
      <c r="AH344" s="31">
        <f t="shared" si="242"/>
        <v>2.5236060263644298E-2</v>
      </c>
      <c r="AI344" s="31">
        <f t="shared" si="243"/>
        <v>1.5707963267948966</v>
      </c>
      <c r="AJ344" s="31" t="str">
        <f t="shared" si="229"/>
        <v>1+0.0984633492247695i</v>
      </c>
      <c r="AK344" s="31">
        <f t="shared" si="244"/>
        <v>1.0048358229783405</v>
      </c>
      <c r="AL344" s="31">
        <f t="shared" si="245"/>
        <v>9.8146985742403159E-2</v>
      </c>
      <c r="AM344" s="31" t="str">
        <f t="shared" si="230"/>
        <v>1+30.18448672346i</v>
      </c>
      <c r="AN344" s="31">
        <f t="shared" si="246"/>
        <v>30.201046981168268</v>
      </c>
      <c r="AO344" s="31">
        <f t="shared" si="247"/>
        <v>1.5376788385605566</v>
      </c>
      <c r="AP344" s="58" t="str">
        <f t="shared" si="248"/>
        <v>-0.58548431467139+0.0772977575114605i</v>
      </c>
      <c r="AQ344" s="49">
        <f t="shared" si="249"/>
        <v>-4.5746483094086274</v>
      </c>
      <c r="AR344" s="61">
        <f t="shared" si="250"/>
        <v>172.47909964112776</v>
      </c>
      <c r="AS344" s="58" t="str">
        <f t="shared" si="251"/>
        <v>0.00916048773131437-0.000885942151213983i</v>
      </c>
      <c r="AT344" s="64">
        <f t="shared" si="252"/>
        <v>-40.721195175989386</v>
      </c>
      <c r="AU344" s="61">
        <f t="shared" si="253"/>
        <v>-5.5240907052723651</v>
      </c>
    </row>
    <row r="345" spans="14:47" x14ac:dyDescent="0.25">
      <c r="N345" s="10">
        <v>27</v>
      </c>
      <c r="O345" s="50">
        <f t="shared" si="221"/>
        <v>18620.871366628675</v>
      </c>
      <c r="P345" s="48" t="str">
        <f t="shared" si="222"/>
        <v>304.285714285714</v>
      </c>
      <c r="Q345" s="17" t="str">
        <f t="shared" si="223"/>
        <v>1+6092.27306716646i</v>
      </c>
      <c r="R345" s="17">
        <f t="shared" si="231"/>
        <v>6092.2731492376333</v>
      </c>
      <c r="S345" s="17">
        <f t="shared" si="232"/>
        <v>1.5706321844493396</v>
      </c>
      <c r="T345" s="17" t="str">
        <f t="shared" si="224"/>
        <v>1+0.126358256207897i</v>
      </c>
      <c r="U345" s="17">
        <f t="shared" si="233"/>
        <v>1.0079515905597354</v>
      </c>
      <c r="V345" s="17">
        <f t="shared" si="234"/>
        <v>0.12569213017931324</v>
      </c>
      <c r="W345" s="31" t="str">
        <f t="shared" si="225"/>
        <v>1-0.394869550649677i</v>
      </c>
      <c r="X345" s="17">
        <f t="shared" si="235"/>
        <v>1.0751381130023612</v>
      </c>
      <c r="Y345" s="17">
        <f t="shared" si="236"/>
        <v>-0.37607576660492581</v>
      </c>
      <c r="Z345" s="31" t="str">
        <f t="shared" si="226"/>
        <v>0.978228854002996+3.48332165545771i</v>
      </c>
      <c r="AA345" s="17">
        <f t="shared" si="237"/>
        <v>3.6180742731713869</v>
      </c>
      <c r="AB345" s="17">
        <f t="shared" si="238"/>
        <v>1.2970160996890165</v>
      </c>
      <c r="AC345" s="66" t="str">
        <f t="shared" si="239"/>
        <v>-0.0149557466419312-0.000352433569160321i</v>
      </c>
      <c r="AD345" s="64">
        <f t="shared" si="240"/>
        <v>-36.501426985464903</v>
      </c>
      <c r="AE345" s="61">
        <f t="shared" si="241"/>
        <v>-178.65006943538577</v>
      </c>
      <c r="AF345" s="31" t="str">
        <f t="shared" si="227"/>
        <v>-0.000495863624968664</v>
      </c>
      <c r="AG345" s="31" t="str">
        <f t="shared" si="228"/>
        <v>0.025823883620562i</v>
      </c>
      <c r="AH345" s="31">
        <f t="shared" si="242"/>
        <v>2.5823883620562E-2</v>
      </c>
      <c r="AI345" s="31">
        <f t="shared" si="243"/>
        <v>1.5707963267948966</v>
      </c>
      <c r="AJ345" s="31" t="str">
        <f t="shared" si="229"/>
        <v>1+0.100756855258199i</v>
      </c>
      <c r="AK345" s="31">
        <f t="shared" si="244"/>
        <v>1.0050631541756576</v>
      </c>
      <c r="AL345" s="31">
        <f t="shared" si="245"/>
        <v>0.10041795784262922</v>
      </c>
      <c r="AM345" s="31" t="str">
        <f t="shared" si="230"/>
        <v>1+30.887573739708i</v>
      </c>
      <c r="AN345" s="31">
        <f t="shared" si="246"/>
        <v>30.903757239628632</v>
      </c>
      <c r="AO345" s="31">
        <f t="shared" si="247"/>
        <v>1.5384321522099267</v>
      </c>
      <c r="AP345" s="58" t="str">
        <f t="shared" si="248"/>
        <v>-0.585219487934553+0.0781666201152907i</v>
      </c>
      <c r="AQ345" s="49">
        <f t="shared" si="249"/>
        <v>-4.5768274644863238</v>
      </c>
      <c r="AR345" s="61">
        <f t="shared" si="250"/>
        <v>172.39214421715135</v>
      </c>
      <c r="AS345" s="58" t="str">
        <f t="shared" si="251"/>
        <v>0.00877994293238632-0.000962789173425421i</v>
      </c>
      <c r="AT345" s="64">
        <f t="shared" si="252"/>
        <v>-41.078254449951224</v>
      </c>
      <c r="AU345" s="61">
        <f t="shared" si="253"/>
        <v>-6.2579252182344138</v>
      </c>
    </row>
    <row r="346" spans="14:47" x14ac:dyDescent="0.25">
      <c r="N346" s="10">
        <v>28</v>
      </c>
      <c r="O346" s="50">
        <f t="shared" si="221"/>
        <v>19054.607179632505</v>
      </c>
      <c r="P346" s="48" t="str">
        <f t="shared" si="222"/>
        <v>304.285714285714</v>
      </c>
      <c r="Q346" s="17" t="str">
        <f t="shared" si="223"/>
        <v>1+6234.18033669226i</v>
      </c>
      <c r="R346" s="17">
        <f t="shared" si="231"/>
        <v>6234.1804168952658</v>
      </c>
      <c r="S346" s="17">
        <f t="shared" si="232"/>
        <v>1.5706359207852183</v>
      </c>
      <c r="T346" s="17" t="str">
        <f t="shared" si="224"/>
        <v>1+0.129301518094358i</v>
      </c>
      <c r="U346" s="17">
        <f t="shared" si="233"/>
        <v>1.0083247902246109</v>
      </c>
      <c r="V346" s="17">
        <f t="shared" si="234"/>
        <v>0.12858806907785134</v>
      </c>
      <c r="W346" s="31" t="str">
        <f t="shared" si="225"/>
        <v>1-0.404067244044868i</v>
      </c>
      <c r="X346" s="17">
        <f t="shared" si="235"/>
        <v>1.0785501090399161</v>
      </c>
      <c r="Y346" s="17">
        <f t="shared" si="236"/>
        <v>-0.38400769705661947</v>
      </c>
      <c r="Z346" s="31" t="str">
        <f t="shared" si="226"/>
        <v>0.977202811502752+3.5644586398897i</v>
      </c>
      <c r="AA346" s="17">
        <f t="shared" si="237"/>
        <v>3.6959830533016809</v>
      </c>
      <c r="AB346" s="17">
        <f t="shared" si="238"/>
        <v>1.3032188360679891</v>
      </c>
      <c r="AC346" s="66" t="str">
        <f t="shared" si="239"/>
        <v>-0.014360846715359-0.000176909717598628i</v>
      </c>
      <c r="AD346" s="64">
        <f t="shared" si="240"/>
        <v>-36.855740052815314</v>
      </c>
      <c r="AE346" s="61">
        <f t="shared" si="241"/>
        <v>-179.29421518926918</v>
      </c>
      <c r="AF346" s="31" t="str">
        <f t="shared" si="227"/>
        <v>-0.000495863624968664</v>
      </c>
      <c r="AG346" s="31" t="str">
        <f t="shared" si="228"/>
        <v>0.0264253991423949i</v>
      </c>
      <c r="AH346" s="31">
        <f t="shared" si="242"/>
        <v>2.64253991423949E-2</v>
      </c>
      <c r="AI346" s="31">
        <f t="shared" si="243"/>
        <v>1.5707963267948966</v>
      </c>
      <c r="AJ346" s="31" t="str">
        <f t="shared" si="229"/>
        <v>1+0.103103783909962i</v>
      </c>
      <c r="AK346" s="31">
        <f t="shared" si="244"/>
        <v>1.005301144064082</v>
      </c>
      <c r="AL346" s="31">
        <f t="shared" si="245"/>
        <v>0.10274075212712298</v>
      </c>
      <c r="AM346" s="31" t="str">
        <f t="shared" si="230"/>
        <v>1+31.6070377563985i</v>
      </c>
      <c r="AN346" s="31">
        <f t="shared" si="246"/>
        <v>31.622853061265683</v>
      </c>
      <c r="AO346" s="31">
        <f t="shared" si="247"/>
        <v>1.5391683538549803</v>
      </c>
      <c r="AP346" s="58" t="str">
        <f t="shared" si="248"/>
        <v>-0.584942436952023+0.0790744384186023i</v>
      </c>
      <c r="AQ346" s="49">
        <f t="shared" si="249"/>
        <v>-4.5790886321994186</v>
      </c>
      <c r="AR346" s="61">
        <f t="shared" si="250"/>
        <v>172.30123915510495</v>
      </c>
      <c r="AS346" s="58" t="str">
        <f t="shared" si="251"/>
        <v>0.00841425771094645-0.00103209388790001i</v>
      </c>
      <c r="AT346" s="64">
        <f t="shared" si="252"/>
        <v>-41.434828685014729</v>
      </c>
      <c r="AU346" s="61">
        <f t="shared" si="253"/>
        <v>-6.9929760341642586</v>
      </c>
    </row>
    <row r="347" spans="14:47" x14ac:dyDescent="0.25">
      <c r="N347" s="10">
        <v>29</v>
      </c>
      <c r="O347" s="50">
        <f t="shared" si="221"/>
        <v>19498.445997580486</v>
      </c>
      <c r="P347" s="48" t="str">
        <f t="shared" si="222"/>
        <v>304.285714285714</v>
      </c>
      <c r="Q347" s="17" t="str">
        <f t="shared" si="223"/>
        <v>1+6379.39305115162i</v>
      </c>
      <c r="R347" s="17">
        <f t="shared" si="231"/>
        <v>6379.3931295289822</v>
      </c>
      <c r="S347" s="17">
        <f t="shared" si="232"/>
        <v>1.5706395720717135</v>
      </c>
      <c r="T347" s="17" t="str">
        <f t="shared" si="224"/>
        <v>1+0.132313337357219i</v>
      </c>
      <c r="U347" s="17">
        <f t="shared" si="233"/>
        <v>1.0087154302590029</v>
      </c>
      <c r="V347" s="17">
        <f t="shared" si="234"/>
        <v>0.13154921924676116</v>
      </c>
      <c r="W347" s="31" t="str">
        <f t="shared" si="225"/>
        <v>1-0.413479179241308i</v>
      </c>
      <c r="X347" s="17">
        <f t="shared" si="235"/>
        <v>1.0821113767381183</v>
      </c>
      <c r="Y347" s="17">
        <f t="shared" si="236"/>
        <v>-0.39207208377270697</v>
      </c>
      <c r="Z347" s="31" t="str">
        <f t="shared" si="226"/>
        <v>0.976128413109235+3.6474855474737i</v>
      </c>
      <c r="AA347" s="17">
        <f t="shared" si="237"/>
        <v>3.7758412967057651</v>
      </c>
      <c r="AB347" s="17">
        <f t="shared" si="238"/>
        <v>1.3093070903904602</v>
      </c>
      <c r="AC347" s="66" t="str">
        <f t="shared" si="239"/>
        <v>-0.0137888744839383-0.0000154866582517363i</v>
      </c>
      <c r="AD347" s="64">
        <f t="shared" si="240"/>
        <v>-37.209418154525757</v>
      </c>
      <c r="AE347" s="61">
        <f t="shared" si="241"/>
        <v>-179.93564958586524</v>
      </c>
      <c r="AF347" s="31" t="str">
        <f t="shared" si="227"/>
        <v>-0.000495863624968664</v>
      </c>
      <c r="AG347" s="31" t="str">
        <f t="shared" si="228"/>
        <v>0.0270409257606346i</v>
      </c>
      <c r="AH347" s="31">
        <f t="shared" si="242"/>
        <v>2.7040925760634601E-2</v>
      </c>
      <c r="AI347" s="31">
        <f t="shared" si="243"/>
        <v>1.5707963267948966</v>
      </c>
      <c r="AJ347" s="31" t="str">
        <f t="shared" si="229"/>
        <v>1+0.105505379552693i</v>
      </c>
      <c r="AK347" s="31">
        <f t="shared" si="244"/>
        <v>1.0055502896994053</v>
      </c>
      <c r="AL347" s="31">
        <f t="shared" si="245"/>
        <v>0.10511649985852831</v>
      </c>
      <c r="AM347" s="31" t="str">
        <f t="shared" si="230"/>
        <v>1+32.3432602428756i</v>
      </c>
      <c r="AN347" s="31">
        <f t="shared" si="246"/>
        <v>32.358715721399967</v>
      </c>
      <c r="AO347" s="31">
        <f t="shared" si="247"/>
        <v>1.5398878306456201</v>
      </c>
      <c r="AP347" s="58" t="str">
        <f t="shared" si="248"/>
        <v>-0.584652609974578+0.0800215195163234i</v>
      </c>
      <c r="AQ347" s="49">
        <f t="shared" si="249"/>
        <v>-4.5814364737033682</v>
      </c>
      <c r="AR347" s="61">
        <f t="shared" si="250"/>
        <v>172.20634182046891</v>
      </c>
      <c r="AS347" s="58" t="str">
        <f t="shared" si="251"/>
        <v>0.00806294072157192-0.00109435237345794i</v>
      </c>
      <c r="AT347" s="64">
        <f t="shared" si="252"/>
        <v>-41.790854628229127</v>
      </c>
      <c r="AU347" s="61">
        <f t="shared" si="253"/>
        <v>-7.7293077653963698</v>
      </c>
    </row>
    <row r="348" spans="14:47" x14ac:dyDescent="0.25">
      <c r="N348" s="10">
        <v>30</v>
      </c>
      <c r="O348" s="50">
        <f t="shared" si="221"/>
        <v>19952.623149688792</v>
      </c>
      <c r="P348" s="48" t="str">
        <f t="shared" si="222"/>
        <v>304.285714285714</v>
      </c>
      <c r="Q348" s="17" t="str">
        <f t="shared" si="223"/>
        <v>1+6527.98820424801i</v>
      </c>
      <c r="R348" s="17">
        <f t="shared" si="231"/>
        <v>6527.9882808412849</v>
      </c>
      <c r="S348" s="17">
        <f t="shared" si="232"/>
        <v>1.5706431402447851</v>
      </c>
      <c r="T348" s="17" t="str">
        <f t="shared" si="224"/>
        <v>1+0.135395310902921i</v>
      </c>
      <c r="U348" s="17">
        <f t="shared" si="233"/>
        <v>1.0091243185130852</v>
      </c>
      <c r="V348" s="17">
        <f t="shared" si="234"/>
        <v>0.13457694290020278</v>
      </c>
      <c r="W348" s="31" t="str">
        <f t="shared" si="225"/>
        <v>1-0.423110346571629i</v>
      </c>
      <c r="X348" s="17">
        <f t="shared" si="235"/>
        <v>1.0858279630659564</v>
      </c>
      <c r="Y348" s="17">
        <f t="shared" si="236"/>
        <v>-0.40026900585633973</v>
      </c>
      <c r="Z348" s="31" t="str">
        <f t="shared" si="226"/>
        <v>0.975003379879402+3.73244640017517i</v>
      </c>
      <c r="AA348" s="17">
        <f t="shared" si="237"/>
        <v>3.8576920199721547</v>
      </c>
      <c r="AB348" s="17">
        <f t="shared" si="238"/>
        <v>1.3152824141910637</v>
      </c>
      <c r="AC348" s="66" t="str">
        <f t="shared" si="239"/>
        <v>-0.0132391015975432+0.000132725960633936i</v>
      </c>
      <c r="AD348" s="64">
        <f t="shared" si="240"/>
        <v>-37.562393227617854</v>
      </c>
      <c r="AE348" s="61">
        <f t="shared" si="241"/>
        <v>179.42561188436292</v>
      </c>
      <c r="AF348" s="31" t="str">
        <f t="shared" si="227"/>
        <v>-0.000495863624968664</v>
      </c>
      <c r="AG348" s="31" t="str">
        <f t="shared" si="228"/>
        <v>0.0276707898356414i</v>
      </c>
      <c r="AH348" s="31">
        <f t="shared" si="242"/>
        <v>2.7670789835641401E-2</v>
      </c>
      <c r="AI348" s="31">
        <f t="shared" si="243"/>
        <v>1.5707963267948966</v>
      </c>
      <c r="AJ348" s="31" t="str">
        <f t="shared" si="229"/>
        <v>1+0.107962915544192i</v>
      </c>
      <c r="AK348" s="31">
        <f t="shared" si="244"/>
        <v>1.0058111110605223</v>
      </c>
      <c r="AL348" s="31">
        <f t="shared" si="245"/>
        <v>0.10754635335801084</v>
      </c>
      <c r="AM348" s="31" t="str">
        <f t="shared" si="230"/>
        <v>1+33.0966315540474i</v>
      </c>
      <c r="AN348" s="31">
        <f t="shared" si="246"/>
        <v>33.111735385273391</v>
      </c>
      <c r="AO348" s="31">
        <f t="shared" si="247"/>
        <v>1.5405909610767816</v>
      </c>
      <c r="AP348" s="58" t="str">
        <f t="shared" si="248"/>
        <v>-0.584349431541929+0.0810081793134367i</v>
      </c>
      <c r="AQ348" s="49">
        <f t="shared" si="249"/>
        <v>-4.583875821402347</v>
      </c>
      <c r="AR348" s="61">
        <f t="shared" si="250"/>
        <v>172.10740787626622</v>
      </c>
      <c r="AS348" s="58" t="str">
        <f t="shared" si="251"/>
        <v>0.00772550960423163-0.00115003385580988i</v>
      </c>
      <c r="AT348" s="64">
        <f t="shared" si="252"/>
        <v>-42.146269049020198</v>
      </c>
      <c r="AU348" s="61">
        <f t="shared" si="253"/>
        <v>-8.4669802393708071</v>
      </c>
    </row>
    <row r="349" spans="14:47" x14ac:dyDescent="0.25">
      <c r="N349" s="10">
        <v>31</v>
      </c>
      <c r="O349" s="50">
        <f t="shared" si="221"/>
        <v>20417.379446695286</v>
      </c>
      <c r="P349" s="48" t="str">
        <f t="shared" si="222"/>
        <v>304.285714285714</v>
      </c>
      <c r="Q349" s="17" t="str">
        <f t="shared" si="223"/>
        <v>1+6680.04458309839i</v>
      </c>
      <c r="R349" s="17">
        <f t="shared" si="231"/>
        <v>6680.0446579481886</v>
      </c>
      <c r="S349" s="17">
        <f t="shared" si="232"/>
        <v>1.5706466271963251</v>
      </c>
      <c r="T349" s="17" t="str">
        <f t="shared" si="224"/>
        <v>1+0.138549072834633i</v>
      </c>
      <c r="U349" s="17">
        <f t="shared" si="233"/>
        <v>1.0095522995780539</v>
      </c>
      <c r="V349" s="17">
        <f t="shared" si="234"/>
        <v>0.13767262321613721</v>
      </c>
      <c r="W349" s="31" t="str">
        <f t="shared" si="225"/>
        <v>1-0.432965852608228i</v>
      </c>
      <c r="X349" s="17">
        <f t="shared" si="235"/>
        <v>1.0897061207154752</v>
      </c>
      <c r="Y349" s="17">
        <f t="shared" si="236"/>
        <v>-0.40859840239500905</v>
      </c>
      <c r="Z349" s="31" t="str">
        <f t="shared" si="226"/>
        <v>0.973825325466938+3.81938624536277i</v>
      </c>
      <c r="AA349" s="17">
        <f t="shared" si="237"/>
        <v>3.9415792591025118</v>
      </c>
      <c r="AB349" s="17">
        <f t="shared" si="238"/>
        <v>1.3211463957751624</v>
      </c>
      <c r="AC349" s="66" t="str">
        <f t="shared" si="239"/>
        <v>-0.0127108098871745+0.000268570414782857i</v>
      </c>
      <c r="AD349" s="64">
        <f t="shared" si="240"/>
        <v>-37.914597075643371</v>
      </c>
      <c r="AE349" s="61">
        <f t="shared" si="241"/>
        <v>178.78956085011319</v>
      </c>
      <c r="AF349" s="31" t="str">
        <f t="shared" si="227"/>
        <v>-0.000495863624968664</v>
      </c>
      <c r="AG349" s="31" t="str">
        <f t="shared" si="228"/>
        <v>0.0283153253296854i</v>
      </c>
      <c r="AH349" s="31">
        <f t="shared" si="242"/>
        <v>2.8315325329685399E-2</v>
      </c>
      <c r="AI349" s="31">
        <f t="shared" si="243"/>
        <v>1.5707963267948966</v>
      </c>
      <c r="AJ349" s="31" t="str">
        <f t="shared" si="229"/>
        <v>1+0.11047769490257i</v>
      </c>
      <c r="AK349" s="31">
        <f t="shared" si="244"/>
        <v>1.006084152082213</v>
      </c>
      <c r="AL349" s="31">
        <f t="shared" si="245"/>
        <v>0.11003148613301761</v>
      </c>
      <c r="AM349" s="31" t="str">
        <f t="shared" si="230"/>
        <v>1+33.8675511373547i</v>
      </c>
      <c r="AN349" s="31">
        <f t="shared" si="246"/>
        <v>33.882311314922653</v>
      </c>
      <c r="AO349" s="31">
        <f t="shared" si="247"/>
        <v>1.5412781151749562</v>
      </c>
      <c r="AP349" s="58" t="str">
        <f t="shared" si="248"/>
        <v>-0.584032301577853+0.0820347418876852i</v>
      </c>
      <c r="AQ349" s="49">
        <f t="shared" si="249"/>
        <v>-4.5864116879910393</v>
      </c>
      <c r="AR349" s="61">
        <f t="shared" si="250"/>
        <v>172.00439128642921</v>
      </c>
      <c r="AS349" s="58" t="str">
        <f t="shared" si="251"/>
        <v>0.00740149144866967-0.00119958180575915i</v>
      </c>
      <c r="AT349" s="64">
        <f t="shared" si="252"/>
        <v>-42.50100876363441</v>
      </c>
      <c r="AU349" s="61">
        <f t="shared" si="253"/>
        <v>-9.2060478634576022</v>
      </c>
    </row>
    <row r="350" spans="14:47" x14ac:dyDescent="0.25">
      <c r="N350" s="10">
        <v>32</v>
      </c>
      <c r="O350" s="50">
        <f t="shared" si="221"/>
        <v>20892.961308540423</v>
      </c>
      <c r="P350" s="48" t="str">
        <f t="shared" si="222"/>
        <v>304.285714285714</v>
      </c>
      <c r="Q350" s="17" t="str">
        <f t="shared" si="223"/>
        <v>1+6835.64281000763i</v>
      </c>
      <c r="R350" s="17">
        <f t="shared" si="231"/>
        <v>6835.6428831536405</v>
      </c>
      <c r="S350" s="17">
        <f t="shared" si="232"/>
        <v>1.5706500347751611</v>
      </c>
      <c r="T350" s="17" t="str">
        <f t="shared" si="224"/>
        <v>1+0.141776295318676i</v>
      </c>
      <c r="U350" s="17">
        <f t="shared" si="233"/>
        <v>1.0100002563931796</v>
      </c>
      <c r="V350" s="17">
        <f t="shared" si="234"/>
        <v>0.14083766410718196</v>
      </c>
      <c r="W350" s="31" t="str">
        <f t="shared" si="225"/>
        <v>1-0.443050922870864i</v>
      </c>
      <c r="X350" s="17">
        <f t="shared" si="235"/>
        <v>1.093752312114916</v>
      </c>
      <c r="Y350" s="17">
        <f t="shared" si="236"/>
        <v>-0.41706006562223213</v>
      </c>
      <c r="Z350" s="31" t="str">
        <f t="shared" si="226"/>
        <v>0.97259175106049+3.90835117969324i</v>
      </c>
      <c r="AA350" s="17">
        <f t="shared" si="237"/>
        <v>4.027548095062361</v>
      </c>
      <c r="AB350" s="17">
        <f t="shared" si="238"/>
        <v>1.3269006560950694</v>
      </c>
      <c r="AC350" s="66" t="str">
        <f t="shared" si="239"/>
        <v>-0.0122032924261331+0.000392842921227061i</v>
      </c>
      <c r="AD350" s="64">
        <f t="shared" si="240"/>
        <v>-38.265961387028469</v>
      </c>
      <c r="AE350" s="61">
        <f t="shared" si="241"/>
        <v>178.15619667413949</v>
      </c>
      <c r="AF350" s="31" t="str">
        <f t="shared" si="227"/>
        <v>-0.000495863624968664</v>
      </c>
      <c r="AG350" s="31" t="str">
        <f t="shared" si="228"/>
        <v>0.0289748739840169i</v>
      </c>
      <c r="AH350" s="31">
        <f t="shared" si="242"/>
        <v>2.8974873984016901E-2</v>
      </c>
      <c r="AI350" s="31">
        <f t="shared" si="243"/>
        <v>1.5707963267948966</v>
      </c>
      <c r="AJ350" s="31" t="str">
        <f t="shared" si="229"/>
        <v>1+0.113051050997132i</v>
      </c>
      <c r="AK350" s="31">
        <f t="shared" si="244"/>
        <v>1.0063699817321441</v>
      </c>
      <c r="AL350" s="31">
        <f t="shared" si="245"/>
        <v>0.11257309298394627</v>
      </c>
      <c r="AM350" s="31" t="str">
        <f t="shared" si="230"/>
        <v>1+34.6564277445653i</v>
      </c>
      <c r="AN350" s="31">
        <f t="shared" si="246"/>
        <v>34.670852080880209</v>
      </c>
      <c r="AO350" s="31">
        <f t="shared" si="247"/>
        <v>1.5419496546811704</v>
      </c>
      <c r="AP350" s="58" t="str">
        <f t="shared" si="248"/>
        <v>-0.583700594462103+0.0831015388054106i</v>
      </c>
      <c r="AQ350" s="49">
        <f t="shared" si="249"/>
        <v>-4.5890492757663175</v>
      </c>
      <c r="AR350" s="61">
        <f t="shared" si="250"/>
        <v>171.89724432017184</v>
      </c>
      <c r="AS350" s="58" t="str">
        <f t="shared" si="251"/>
        <v>0.00709042319226599-0.00124341502575454i</v>
      </c>
      <c r="AT350" s="64">
        <f t="shared" si="252"/>
        <v>-42.855010662794783</v>
      </c>
      <c r="AU350" s="61">
        <f t="shared" si="253"/>
        <v>-9.9465590056886679</v>
      </c>
    </row>
    <row r="351" spans="14:47" x14ac:dyDescent="0.25">
      <c r="N351" s="10">
        <v>33</v>
      </c>
      <c r="O351" s="50">
        <f t="shared" si="221"/>
        <v>21379.620895022348</v>
      </c>
      <c r="P351" s="48" t="str">
        <f t="shared" si="222"/>
        <v>304.285714285714</v>
      </c>
      <c r="Q351" s="17" t="str">
        <f t="shared" si="223"/>
        <v>1+6994.86538521511i</v>
      </c>
      <c r="R351" s="17">
        <f t="shared" si="231"/>
        <v>6994.8654566961141</v>
      </c>
      <c r="S351" s="17">
        <f t="shared" si="232"/>
        <v>1.5706533647880365</v>
      </c>
      <c r="T351" s="17" t="str">
        <f t="shared" si="224"/>
        <v>1+0.145078689471128i</v>
      </c>
      <c r="U351" s="17">
        <f t="shared" si="233"/>
        <v>1.0104691119171629</v>
      </c>
      <c r="V351" s="17">
        <f t="shared" si="234"/>
        <v>0.14407348994093899</v>
      </c>
      <c r="W351" s="31" t="str">
        <f t="shared" si="225"/>
        <v>1-0.453370904597275i</v>
      </c>
      <c r="X351" s="17">
        <f t="shared" si="235"/>
        <v>1.0979732133050202</v>
      </c>
      <c r="Y351" s="17">
        <f t="shared" si="236"/>
        <v>-0.42565363415200569</v>
      </c>
      <c r="Z351" s="31" t="str">
        <f t="shared" si="226"/>
        <v>0.971300040083353+3.99938837355231i</v>
      </c>
      <c r="AA351" s="17">
        <f t="shared" si="237"/>
        <v>4.1156446798006403</v>
      </c>
      <c r="AB351" s="17">
        <f t="shared" si="238"/>
        <v>1.3325468448369688</v>
      </c>
      <c r="AC351" s="66" t="str">
        <f t="shared" si="239"/>
        <v>-0.0117158544609531+0.000506295626799112i</v>
      </c>
      <c r="AD351" s="64">
        <f t="shared" si="240"/>
        <v>-38.616417756636551</v>
      </c>
      <c r="AE351" s="61">
        <f t="shared" si="241"/>
        <v>177.52552704901208</v>
      </c>
      <c r="AF351" s="31" t="str">
        <f t="shared" si="227"/>
        <v>-0.000495863624968664</v>
      </c>
      <c r="AG351" s="31" t="str">
        <f t="shared" si="228"/>
        <v>0.0296497855000624i</v>
      </c>
      <c r="AH351" s="31">
        <f t="shared" si="242"/>
        <v>2.9649785500062399E-2</v>
      </c>
      <c r="AI351" s="31">
        <f t="shared" si="243"/>
        <v>1.5707963267948966</v>
      </c>
      <c r="AJ351" s="31" t="str">
        <f t="shared" si="229"/>
        <v>1+0.115684348255339i</v>
      </c>
      <c r="AK351" s="31">
        <f t="shared" si="244"/>
        <v>1.0066691951337652</v>
      </c>
      <c r="AL351" s="31">
        <f t="shared" si="245"/>
        <v>0.11517239008770483</v>
      </c>
      <c r="AM351" s="31" t="str">
        <f t="shared" si="230"/>
        <v>1+35.4636796484979i</v>
      </c>
      <c r="AN351" s="31">
        <f t="shared" si="246"/>
        <v>35.477775778806716</v>
      </c>
      <c r="AO351" s="31">
        <f t="shared" si="247"/>
        <v>1.542605933230444</v>
      </c>
      <c r="AP351" s="58" t="str">
        <f t="shared" si="248"/>
        <v>-0.583353658079463+0.0842089083872081i</v>
      </c>
      <c r="AQ351" s="49">
        <f t="shared" si="249"/>
        <v>-4.5917939862215356</v>
      </c>
      <c r="AR351" s="61">
        <f t="shared" si="250"/>
        <v>171.78591755748423</v>
      </c>
      <c r="AS351" s="58" t="str">
        <f t="shared" si="251"/>
        <v>0.00679185195526962-0.00128192872094316i</v>
      </c>
      <c r="AT351" s="64">
        <f t="shared" si="252"/>
        <v>-43.208211742858083</v>
      </c>
      <c r="AU351" s="61">
        <f t="shared" si="253"/>
        <v>-10.688555393503652</v>
      </c>
    </row>
    <row r="352" spans="14:47" x14ac:dyDescent="0.25">
      <c r="N352" s="10">
        <v>34</v>
      </c>
      <c r="O352" s="50">
        <f t="shared" si="221"/>
        <v>21877.61623949555</v>
      </c>
      <c r="P352" s="48" t="str">
        <f t="shared" si="222"/>
        <v>304.285714285714</v>
      </c>
      <c r="Q352" s="17" t="str">
        <f t="shared" si="223"/>
        <v>1+7157.79673063785i</v>
      </c>
      <c r="R352" s="17">
        <f t="shared" si="231"/>
        <v>7157.7968004917466</v>
      </c>
      <c r="S352" s="17">
        <f t="shared" si="232"/>
        <v>1.5706566190005675</v>
      </c>
      <c r="T352" s="17" t="str">
        <f t="shared" si="224"/>
        <v>1+0.148458006265081i</v>
      </c>
      <c r="U352" s="17">
        <f t="shared" si="233"/>
        <v>1.0109598308657981</v>
      </c>
      <c r="V352" s="17">
        <f t="shared" si="234"/>
        <v>0.14738154520608487</v>
      </c>
      <c r="W352" s="31" t="str">
        <f t="shared" si="225"/>
        <v>1-0.463931269578378i</v>
      </c>
      <c r="X352" s="17">
        <f t="shared" si="235"/>
        <v>1.1023757176628146</v>
      </c>
      <c r="Y352" s="17">
        <f t="shared" si="236"/>
        <v>-0.43437858632657489</v>
      </c>
      <c r="Z352" s="31" t="str">
        <f t="shared" si="226"/>
        <v>0.969947452643363+4.0925460960652i</v>
      </c>
      <c r="AA352" s="17">
        <f t="shared" si="237"/>
        <v>4.2059162627551041</v>
      </c>
      <c r="AB352" s="17">
        <f t="shared" si="238"/>
        <v>1.3380866367155015</v>
      </c>
      <c r="AC352" s="66" t="str">
        <f t="shared" si="239"/>
        <v>-0.0112478142199817+0.000609638561618596i</v>
      </c>
      <c r="AD352" s="64">
        <f t="shared" si="240"/>
        <v>-38.965897710804072</v>
      </c>
      <c r="AE352" s="61">
        <f t="shared" si="241"/>
        <v>176.89756857138025</v>
      </c>
      <c r="AF352" s="31" t="str">
        <f t="shared" si="227"/>
        <v>-0.000495863624968664</v>
      </c>
      <c r="AG352" s="31" t="str">
        <f t="shared" si="228"/>
        <v>0.0303404177248414i</v>
      </c>
      <c r="AH352" s="31">
        <f t="shared" si="242"/>
        <v>3.03404177248414E-2</v>
      </c>
      <c r="AI352" s="31">
        <f t="shared" si="243"/>
        <v>1.5707963267948966</v>
      </c>
      <c r="AJ352" s="31" t="str">
        <f t="shared" si="229"/>
        <v>1+0.118378982886255i</v>
      </c>
      <c r="AK352" s="31">
        <f t="shared" si="244"/>
        <v>1.0069824147368138</v>
      </c>
      <c r="AL352" s="31">
        <f t="shared" si="245"/>
        <v>0.11783061505606861</v>
      </c>
      <c r="AM352" s="31" t="str">
        <f t="shared" si="230"/>
        <v>1+36.2897348647975i</v>
      </c>
      <c r="AN352" s="31">
        <f t="shared" si="246"/>
        <v>36.303510251176803</v>
      </c>
      <c r="AO352" s="31">
        <f t="shared" si="247"/>
        <v>1.5432472965277755</v>
      </c>
      <c r="AP352" s="58" t="str">
        <f t="shared" si="248"/>
        <v>-0.582990812846881+0.0853571949199776i</v>
      </c>
      <c r="AQ352" s="49">
        <f t="shared" si="249"/>
        <v>-4.594651429929975</v>
      </c>
      <c r="AR352" s="61">
        <f t="shared" si="250"/>
        <v>171.67035989587242</v>
      </c>
      <c r="AS352" s="58" t="str">
        <f t="shared" si="251"/>
        <v>0.00650533531732302-0.0013154955513795i</v>
      </c>
      <c r="AT352" s="64">
        <f t="shared" si="252"/>
        <v>-43.560549140734054</v>
      </c>
      <c r="AU352" s="61">
        <f t="shared" si="253"/>
        <v>-11.43207153274731</v>
      </c>
    </row>
    <row r="353" spans="14:47" x14ac:dyDescent="0.25">
      <c r="N353" s="10">
        <v>35</v>
      </c>
      <c r="O353" s="50">
        <f t="shared" si="221"/>
        <v>22387.211385683382</v>
      </c>
      <c r="P353" s="48" t="str">
        <f t="shared" si="222"/>
        <v>304.285714285714</v>
      </c>
      <c r="Q353" s="17" t="str">
        <f t="shared" si="223"/>
        <v>1+7324.52323463177i</v>
      </c>
      <c r="R353" s="17">
        <f t="shared" si="231"/>
        <v>7324.5233028955981</v>
      </c>
      <c r="S353" s="17">
        <f t="shared" si="232"/>
        <v>1.5706597991381805</v>
      </c>
      <c r="T353" s="17" t="str">
        <f t="shared" si="224"/>
        <v>1+0.151916037459029i</v>
      </c>
      <c r="U353" s="17">
        <f t="shared" si="233"/>
        <v>1.0114734215179622</v>
      </c>
      <c r="V353" s="17">
        <f t="shared" si="234"/>
        <v>0.15076329412032097</v>
      </c>
      <c r="W353" s="31" t="str">
        <f t="shared" si="225"/>
        <v>1-0.474737617059466i</v>
      </c>
      <c r="X353" s="17">
        <f t="shared" si="235"/>
        <v>1.106966939457227</v>
      </c>
      <c r="Y353" s="17">
        <f t="shared" si="236"/>
        <v>-0.44323423372066606</v>
      </c>
      <c r="Z353" s="31" t="str">
        <f t="shared" si="226"/>
        <v>0.968531119721214+4.18787374068946i</v>
      </c>
      <c r="AA353" s="17">
        <f t="shared" si="237"/>
        <v>4.298411217860008</v>
      </c>
      <c r="AB353" s="17">
        <f t="shared" si="238"/>
        <v>1.3435217279721843</v>
      </c>
      <c r="AC353" s="66" t="str">
        <f t="shared" si="239"/>
        <v>-0.0107985036074437+0.000703541552277864i</v>
      </c>
      <c r="AD353" s="64">
        <f t="shared" si="240"/>
        <v>-39.314332736066945</v>
      </c>
      <c r="AE353" s="61">
        <f t="shared" si="241"/>
        <v>176.2723472922616</v>
      </c>
      <c r="AF353" s="31" t="str">
        <f t="shared" si="227"/>
        <v>-0.000495863624968664</v>
      </c>
      <c r="AG353" s="31" t="str">
        <f t="shared" si="228"/>
        <v>0.0310471368407009i</v>
      </c>
      <c r="AH353" s="31">
        <f t="shared" si="242"/>
        <v>3.1047136840700901E-2</v>
      </c>
      <c r="AI353" s="31">
        <f t="shared" si="243"/>
        <v>1.5707963267948966</v>
      </c>
      <c r="AJ353" s="31" t="str">
        <f t="shared" si="229"/>
        <v>1+0.121136383620827i</v>
      </c>
      <c r="AK353" s="31">
        <f t="shared" si="244"/>
        <v>1.0073102915371868</v>
      </c>
      <c r="AL353" s="31">
        <f t="shared" si="245"/>
        <v>0.12054902696654121</v>
      </c>
      <c r="AM353" s="31" t="str">
        <f t="shared" si="230"/>
        <v>1+37.1350313788737i</v>
      </c>
      <c r="AN353" s="31">
        <f t="shared" si="246"/>
        <v>37.148493314129638</v>
      </c>
      <c r="AO353" s="31">
        <f t="shared" si="247"/>
        <v>1.5438740825206838</v>
      </c>
      <c r="AP353" s="58" t="str">
        <f t="shared" si="248"/>
        <v>-0.582611350719471+0.0865467478117429i</v>
      </c>
      <c r="AQ353" s="49">
        <f t="shared" si="249"/>
        <v>-4.5976274367284375</v>
      </c>
      <c r="AR353" s="61">
        <f t="shared" si="250"/>
        <v>171.55051855847577</v>
      </c>
      <c r="AS353" s="58" t="str">
        <f t="shared" si="251"/>
        <v>0.00623044153918178-0.00134446666251751i</v>
      </c>
      <c r="AT353" s="64">
        <f t="shared" si="252"/>
        <v>-43.911960172795389</v>
      </c>
      <c r="AU353" s="61">
        <f t="shared" si="253"/>
        <v>-12.177134149262672</v>
      </c>
    </row>
    <row r="354" spans="14:47" x14ac:dyDescent="0.25">
      <c r="N354" s="10">
        <v>36</v>
      </c>
      <c r="O354" s="50">
        <f t="shared" si="221"/>
        <v>22908.676527677751</v>
      </c>
      <c r="P354" s="48" t="str">
        <f t="shared" si="222"/>
        <v>304.285714285714</v>
      </c>
      <c r="Q354" s="17" t="str">
        <f t="shared" si="223"/>
        <v>1+7495.1332977963i</v>
      </c>
      <c r="R354" s="17">
        <f t="shared" si="231"/>
        <v>7495.1333645062541</v>
      </c>
      <c r="S354" s="17">
        <f t="shared" si="232"/>
        <v>1.5706629068870266</v>
      </c>
      <c r="T354" s="17" t="str">
        <f t="shared" si="224"/>
        <v>1+0.155454616546886i</v>
      </c>
      <c r="U354" s="17">
        <f t="shared" si="233"/>
        <v>1.0120109375919508</v>
      </c>
      <c r="V354" s="17">
        <f t="shared" si="234"/>
        <v>0.15422022017609407</v>
      </c>
      <c r="W354" s="31" t="str">
        <f t="shared" si="225"/>
        <v>1-0.485795676709019i</v>
      </c>
      <c r="X354" s="17">
        <f t="shared" si="235"/>
        <v>1.1117542172212227</v>
      </c>
      <c r="Y354" s="17">
        <f t="shared" si="236"/>
        <v>-0.45221971484807405</v>
      </c>
      <c r="Z354" s="31" t="str">
        <f t="shared" si="226"/>
        <v>0.967048037084887+4.28542185140414i</v>
      </c>
      <c r="AA354" s="17">
        <f t="shared" si="237"/>
        <v>4.3931790710739094</v>
      </c>
      <c r="AB354" s="17">
        <f t="shared" si="238"/>
        <v>1.3488538330732678</v>
      </c>
      <c r="AC354" s="66" t="str">
        <f t="shared" si="239"/>
        <v>-0.010367268790708+0.00078863609024505i</v>
      </c>
      <c r="AD354" s="64">
        <f t="shared" si="240"/>
        <v>-39.661654311764636</v>
      </c>
      <c r="AE354" s="61">
        <f t="shared" si="241"/>
        <v>175.64989924074629</v>
      </c>
      <c r="AF354" s="31" t="str">
        <f t="shared" si="227"/>
        <v>-0.000495863624968664</v>
      </c>
      <c r="AG354" s="31" t="str">
        <f t="shared" si="228"/>
        <v>0.0317703175594709i</v>
      </c>
      <c r="AH354" s="31">
        <f t="shared" si="242"/>
        <v>3.1770317559470899E-2</v>
      </c>
      <c r="AI354" s="31">
        <f t="shared" si="243"/>
        <v>1.5707963267948966</v>
      </c>
      <c r="AJ354" s="31" t="str">
        <f t="shared" si="229"/>
        <v>1+0.123958012469426i</v>
      </c>
      <c r="AK354" s="31">
        <f t="shared" si="244"/>
        <v>1.0076535063479759</v>
      </c>
      <c r="AL354" s="31">
        <f t="shared" si="245"/>
        <v>0.12332890636335458</v>
      </c>
      <c r="AM354" s="31" t="str">
        <f t="shared" si="230"/>
        <v>1+38.0000173781276i</v>
      </c>
      <c r="AN354" s="31">
        <f t="shared" si="246"/>
        <v>38.013172989609792</v>
      </c>
      <c r="AO354" s="31">
        <f t="shared" si="247"/>
        <v>1.5444866215683548</v>
      </c>
      <c r="AP354" s="58" t="str">
        <f t="shared" si="248"/>
        <v>-0.582214534176658+0.0877779206855047i</v>
      </c>
      <c r="AQ354" s="49">
        <f t="shared" si="249"/>
        <v>-4.6007280662074814</v>
      </c>
      <c r="AR354" s="61">
        <f t="shared" si="250"/>
        <v>171.42633910370148</v>
      </c>
      <c r="AS354" s="58" t="str">
        <f t="shared" si="251"/>
        <v>0.00596674973348701-0.001369172691553i</v>
      </c>
      <c r="AT354" s="64">
        <f t="shared" si="252"/>
        <v>-44.262382377972109</v>
      </c>
      <c r="AU354" s="61">
        <f t="shared" si="253"/>
        <v>-12.923761655552235</v>
      </c>
    </row>
    <row r="355" spans="14:47" x14ac:dyDescent="0.25">
      <c r="N355" s="10">
        <v>37</v>
      </c>
      <c r="O355" s="50">
        <f t="shared" si="221"/>
        <v>23442.288153199243</v>
      </c>
      <c r="P355" s="48" t="str">
        <f t="shared" si="222"/>
        <v>304.285714285714</v>
      </c>
      <c r="Q355" s="17" t="str">
        <f t="shared" si="223"/>
        <v>1+7669.7173798451i</v>
      </c>
      <c r="R355" s="17">
        <f t="shared" si="231"/>
        <v>7669.717445036551</v>
      </c>
      <c r="S355" s="17">
        <f t="shared" si="232"/>
        <v>1.5706659438948747</v>
      </c>
      <c r="T355" s="17" t="str">
        <f t="shared" si="224"/>
        <v>1+0.15907561973012i</v>
      </c>
      <c r="U355" s="17">
        <f t="shared" si="233"/>
        <v>1.0125734801941644</v>
      </c>
      <c r="V355" s="17">
        <f t="shared" si="234"/>
        <v>0.15775382561977874</v>
      </c>
      <c r="W355" s="31" t="str">
        <f t="shared" si="225"/>
        <v>1-0.497111311656626i</v>
      </c>
      <c r="X355" s="17">
        <f t="shared" si="235"/>
        <v>1.11674511692551</v>
      </c>
      <c r="Y355" s="17">
        <f t="shared" si="236"/>
        <v>-0.46133398911877543</v>
      </c>
      <c r="Z355" s="31" t="str">
        <f t="shared" si="226"/>
        <v>0.96549505891727+4.38524214950867i</v>
      </c>
      <c r="AA355" s="17">
        <f t="shared" si="237"/>
        <v>4.4902705284449276</v>
      </c>
      <c r="AB355" s="17">
        <f t="shared" si="238"/>
        <v>1.3540846816020646</v>
      </c>
      <c r="AC355" s="66" t="str">
        <f t="shared" si="239"/>
        <v>-0.00995347068831477+0.000865517151749241i</v>
      </c>
      <c r="AD355" s="64">
        <f t="shared" si="240"/>
        <v>-40.007793946666624</v>
      </c>
      <c r="AE355" s="61">
        <f t="shared" si="241"/>
        <v>175.03027091839385</v>
      </c>
      <c r="AF355" s="31" t="str">
        <f t="shared" si="227"/>
        <v>-0.000495863624968664</v>
      </c>
      <c r="AG355" s="31" t="str">
        <f t="shared" si="228"/>
        <v>0.0325103433211408i</v>
      </c>
      <c r="AH355" s="31">
        <f t="shared" si="242"/>
        <v>3.2510343321140799E-2</v>
      </c>
      <c r="AI355" s="31">
        <f t="shared" si="243"/>
        <v>1.5707963267948966</v>
      </c>
      <c r="AJ355" s="31" t="str">
        <f t="shared" si="229"/>
        <v>1+0.126845365497015i</v>
      </c>
      <c r="AK355" s="31">
        <f t="shared" si="244"/>
        <v>1.008012771123497</v>
      </c>
      <c r="AL355" s="31">
        <f t="shared" si="245"/>
        <v>0.12617155522602633</v>
      </c>
      <c r="AM355" s="31" t="str">
        <f t="shared" si="230"/>
        <v>1+38.8851514895849i</v>
      </c>
      <c r="AN355" s="31">
        <f t="shared" si="246"/>
        <v>38.898007742916171</v>
      </c>
      <c r="AO355" s="31">
        <f t="shared" si="247"/>
        <v>1.545085236607429</v>
      </c>
      <c r="AP355" s="58" t="str">
        <f t="shared" si="248"/>
        <v>-0.581799595189709+0.0890510704081904i</v>
      </c>
      <c r="AQ355" s="49">
        <f t="shared" si="249"/>
        <v>-4.6039596185179894</v>
      </c>
      <c r="AR355" s="61">
        <f t="shared" si="250"/>
        <v>171.29776543652483</v>
      </c>
      <c r="AS355" s="58" t="str">
        <f t="shared" si="251"/>
        <v>0.00571384998837425-0.00138992474758844i</v>
      </c>
      <c r="AT355" s="64">
        <f t="shared" si="252"/>
        <v>-44.611753565184607</v>
      </c>
      <c r="AU355" s="61">
        <f t="shared" si="253"/>
        <v>-13.671963645081366</v>
      </c>
    </row>
    <row r="356" spans="14:47" x14ac:dyDescent="0.25">
      <c r="N356" s="10">
        <v>38</v>
      </c>
      <c r="O356" s="50">
        <f t="shared" si="221"/>
        <v>23988.329190194923</v>
      </c>
      <c r="P356" s="48" t="str">
        <f t="shared" si="222"/>
        <v>304.285714285714</v>
      </c>
      <c r="Q356" s="17" t="str">
        <f t="shared" si="223"/>
        <v>1+7848.36804756937i</v>
      </c>
      <c r="R356" s="17">
        <f t="shared" si="231"/>
        <v>7848.3681112768818</v>
      </c>
      <c r="S356" s="17">
        <f t="shared" si="232"/>
        <v>1.5706689117719865</v>
      </c>
      <c r="T356" s="17" t="str">
        <f t="shared" si="224"/>
        <v>1+0.16278096691255i</v>
      </c>
      <c r="U356" s="17">
        <f t="shared" si="233"/>
        <v>1.0131621998421501</v>
      </c>
      <c r="V356" s="17">
        <f t="shared" si="234"/>
        <v>0.16136563085985914</v>
      </c>
      <c r="W356" s="31" t="str">
        <f t="shared" si="225"/>
        <v>1-0.508690521601718i</v>
      </c>
      <c r="X356" s="17">
        <f t="shared" si="235"/>
        <v>1.1219474349395466</v>
      </c>
      <c r="Y356" s="17">
        <f t="shared" si="236"/>
        <v>-0.47057583109702678</v>
      </c>
      <c r="Z356" s="31" t="str">
        <f t="shared" si="226"/>
        <v>0.96386889114346+4.4873875610464i</v>
      </c>
      <c r="AA356" s="17">
        <f t="shared" si="237"/>
        <v>4.5897375047324953</v>
      </c>
      <c r="AB356" s="17">
        <f t="shared" si="238"/>
        <v>1.359216015340406</v>
      </c>
      <c r="AC356" s="66" t="str">
        <f t="shared" si="239"/>
        <v>-0.00955648536610959+0.000934744966102027i</v>
      </c>
      <c r="AD356" s="64">
        <f t="shared" si="240"/>
        <v>-40.352683219730679</v>
      </c>
      <c r="AE356" s="61">
        <f t="shared" si="241"/>
        <v>174.41351976148027</v>
      </c>
      <c r="AF356" s="31" t="str">
        <f t="shared" si="227"/>
        <v>-0.000495863624968664</v>
      </c>
      <c r="AG356" s="31" t="str">
        <f t="shared" si="228"/>
        <v>0.0332676064971648i</v>
      </c>
      <c r="AH356" s="31">
        <f t="shared" si="242"/>
        <v>3.3267606497164801E-2</v>
      </c>
      <c r="AI356" s="31">
        <f t="shared" si="243"/>
        <v>1.5707963267948966</v>
      </c>
      <c r="AJ356" s="31" t="str">
        <f t="shared" si="229"/>
        <v>1+0.129799973616386i</v>
      </c>
      <c r="AK356" s="31">
        <f t="shared" si="244"/>
        <v>1.0083888303381858</v>
      </c>
      <c r="AL356" s="31">
        <f t="shared" si="245"/>
        <v>0.12907829690280476</v>
      </c>
      <c r="AM356" s="31" t="str">
        <f t="shared" si="230"/>
        <v>1+39.7909030230677i</v>
      </c>
      <c r="AN356" s="31">
        <f t="shared" si="246"/>
        <v>39.803466725791331</v>
      </c>
      <c r="AO356" s="31">
        <f t="shared" si="247"/>
        <v>1.5456702433144796</v>
      </c>
      <c r="AP356" s="58" t="str">
        <f t="shared" si="248"/>
        <v>-0.581365734172358+0.0903665560506498i</v>
      </c>
      <c r="AQ356" s="49">
        <f t="shared" si="249"/>
        <v>-4.6073286455000488</v>
      </c>
      <c r="AR356" s="61">
        <f t="shared" si="250"/>
        <v>171.16473982161148</v>
      </c>
      <c r="AS356" s="58" t="str">
        <f t="shared" si="251"/>
        <v>0.00547134344760338-0.00140701536396558i</v>
      </c>
      <c r="AT356" s="64">
        <f t="shared" si="252"/>
        <v>-44.960011865230726</v>
      </c>
      <c r="AU356" s="61">
        <f t="shared" si="253"/>
        <v>-14.421740416908271</v>
      </c>
    </row>
    <row r="357" spans="14:47" x14ac:dyDescent="0.25">
      <c r="N357" s="10">
        <v>39</v>
      </c>
      <c r="O357" s="50">
        <f t="shared" si="221"/>
        <v>24547.089156850321</v>
      </c>
      <c r="P357" s="48" t="str">
        <f t="shared" si="222"/>
        <v>304.285714285714</v>
      </c>
      <c r="Q357" s="17" t="str">
        <f t="shared" si="223"/>
        <v>1+8031.18002391791i</v>
      </c>
      <c r="R357" s="17">
        <f t="shared" si="231"/>
        <v>8031.1800861752627</v>
      </c>
      <c r="S357" s="17">
        <f t="shared" si="232"/>
        <v>1.5706718120919696</v>
      </c>
      <c r="T357" s="17" t="str">
        <f t="shared" si="224"/>
        <v>1+0.166572622718297i</v>
      </c>
      <c r="U357" s="17">
        <f t="shared" si="233"/>
        <v>1.0137782985639672</v>
      </c>
      <c r="V357" s="17">
        <f t="shared" si="234"/>
        <v>0.16505717379938289</v>
      </c>
      <c r="W357" s="31" t="str">
        <f t="shared" si="225"/>
        <v>1-0.520539445994678i</v>
      </c>
      <c r="X357" s="17">
        <f t="shared" si="235"/>
        <v>1.1273692007663001</v>
      </c>
      <c r="Y357" s="17">
        <f t="shared" si="236"/>
        <v>-0.47994382511261413</v>
      </c>
      <c r="Z357" s="31" t="str">
        <f t="shared" si="226"/>
        <v>0.962166084443582+4.5919122448666i</v>
      </c>
      <c r="AA357" s="17">
        <f t="shared" si="237"/>
        <v>4.6916331526036119</v>
      </c>
      <c r="AB357" s="17">
        <f t="shared" si="238"/>
        <v>1.3642495855334595</v>
      </c>
      <c r="AC357" s="66" t="str">
        <f t="shared" si="239"/>
        <v>-0.00917570434860047+0.000996846730035866i</v>
      </c>
      <c r="AD357" s="64">
        <f t="shared" si="240"/>
        <v>-40.696253825051883</v>
      </c>
      <c r="AE357" s="61">
        <f t="shared" si="241"/>
        <v>173.79971456817023</v>
      </c>
      <c r="AF357" s="31" t="str">
        <f t="shared" si="227"/>
        <v>-0.000495863624968664</v>
      </c>
      <c r="AG357" s="31" t="str">
        <f t="shared" si="228"/>
        <v>0.0340425085985024i</v>
      </c>
      <c r="AH357" s="31">
        <f t="shared" si="242"/>
        <v>3.40425085985024E-2</v>
      </c>
      <c r="AI357" s="31">
        <f t="shared" si="243"/>
        <v>1.5707963267948966</v>
      </c>
      <c r="AJ357" s="31" t="str">
        <f t="shared" si="229"/>
        <v>1+0.132823403399874i</v>
      </c>
      <c r="AK357" s="31">
        <f t="shared" si="244"/>
        <v>1.0087824624222637</v>
      </c>
      <c r="AL357" s="31">
        <f t="shared" si="245"/>
        <v>0.13205047600612926</v>
      </c>
      <c r="AM357" s="31" t="str">
        <f t="shared" si="230"/>
        <v>1+40.7177522200281i</v>
      </c>
      <c r="AN357" s="31">
        <f t="shared" si="246"/>
        <v>40.730030025174351</v>
      </c>
      <c r="AO357" s="31">
        <f t="shared" si="247"/>
        <v>1.5462419502652205</v>
      </c>
      <c r="AP357" s="58" t="str">
        <f t="shared" si="248"/>
        <v>-0.580912118916367+0.0917247377744558i</v>
      </c>
      <c r="AQ357" s="49">
        <f t="shared" si="249"/>
        <v>-4.6108419621414036</v>
      </c>
      <c r="AR357" s="61">
        <f t="shared" si="250"/>
        <v>171.02720289842972</v>
      </c>
      <c r="AS357" s="58" t="str">
        <f t="shared" si="251"/>
        <v>0.00523884235078176-0.0014207194214513i</v>
      </c>
      <c r="AT357" s="64">
        <f t="shared" si="252"/>
        <v>-45.30709578719329</v>
      </c>
      <c r="AU357" s="61">
        <f t="shared" si="253"/>
        <v>-15.173082533400049</v>
      </c>
    </row>
    <row r="358" spans="14:47" x14ac:dyDescent="0.25">
      <c r="N358" s="10">
        <v>40</v>
      </c>
      <c r="O358" s="50">
        <f t="shared" si="221"/>
        <v>25118.86431509586</v>
      </c>
      <c r="P358" s="48" t="str">
        <f t="shared" si="222"/>
        <v>304.285714285714</v>
      </c>
      <c r="Q358" s="17" t="str">
        <f t="shared" si="223"/>
        <v>1+8218.2502382204i</v>
      </c>
      <c r="R358" s="17">
        <f t="shared" si="231"/>
        <v>8218.2502990606008</v>
      </c>
      <c r="S358" s="17">
        <f t="shared" si="232"/>
        <v>1.5706746463926118</v>
      </c>
      <c r="T358" s="17" t="str">
        <f t="shared" si="224"/>
        <v>1+0.17045259753346i</v>
      </c>
      <c r="U358" s="17">
        <f t="shared" si="233"/>
        <v>1.0144230320758216</v>
      </c>
      <c r="V358" s="17">
        <f t="shared" si="234"/>
        <v>0.16883000908782389</v>
      </c>
      <c r="W358" s="31" t="str">
        <f t="shared" si="225"/>
        <v>1-0.532664367292063i</v>
      </c>
      <c r="X358" s="17">
        <f t="shared" si="235"/>
        <v>1.133018679538274</v>
      </c>
      <c r="Y358" s="17">
        <f t="shared" si="236"/>
        <v>-0.48943636027900778</v>
      </c>
      <c r="Z358" s="31" t="str">
        <f t="shared" si="226"/>
        <v>0.960383026936327+4.6988716213402i</v>
      </c>
      <c r="AA358" s="17">
        <f t="shared" si="237"/>
        <v>4.7960118924230857</v>
      </c>
      <c r="AB358" s="17">
        <f t="shared" si="238"/>
        <v>1.3691871503319142</v>
      </c>
      <c r="AC358" s="66" t="str">
        <f t="shared" si="239"/>
        <v>-0.0088105348523815+0.00105231826621284i</v>
      </c>
      <c r="AD358" s="64">
        <f t="shared" si="240"/>
        <v>-41.03843762102008</v>
      </c>
      <c r="AE358" s="61">
        <f t="shared" si="241"/>
        <v>173.18893588759363</v>
      </c>
      <c r="AF358" s="31" t="str">
        <f t="shared" si="227"/>
        <v>-0.000495863624968664</v>
      </c>
      <c r="AG358" s="31" t="str">
        <f t="shared" si="228"/>
        <v>0.0348354604885048i</v>
      </c>
      <c r="AH358" s="31">
        <f t="shared" si="242"/>
        <v>3.4835460488504798E-2</v>
      </c>
      <c r="AI358" s="31">
        <f t="shared" si="243"/>
        <v>1.5707963267948966</v>
      </c>
      <c r="AJ358" s="31" t="str">
        <f t="shared" si="229"/>
        <v>1+0.135917257909971i</v>
      </c>
      <c r="AK358" s="31">
        <f t="shared" si="244"/>
        <v>1.0091944812560985</v>
      </c>
      <c r="AL358" s="31">
        <f t="shared" si="245"/>
        <v>0.13508945826707444</v>
      </c>
      <c r="AM358" s="31" t="str">
        <f t="shared" si="230"/>
        <v>1+41.666190508179i</v>
      </c>
      <c r="AN358" s="31">
        <f t="shared" si="246"/>
        <v>41.678188917752486</v>
      </c>
      <c r="AO358" s="31">
        <f t="shared" si="247"/>
        <v>1.5468006590904941</v>
      </c>
      <c r="AP358" s="58" t="str">
        <f t="shared" si="248"/>
        <v>-0.580437883514199+0.0931259756411438i</v>
      </c>
      <c r="AQ358" s="49">
        <f t="shared" si="249"/>
        <v>-4.6145066583714751</v>
      </c>
      <c r="AR358" s="61">
        <f t="shared" si="250"/>
        <v>170.88509369852733</v>
      </c>
      <c r="AS358" s="58" t="str">
        <f t="shared" si="251"/>
        <v>0.00501597003711834-0.00143129504127224i</v>
      </c>
      <c r="AT358" s="64">
        <f t="shared" si="252"/>
        <v>-45.652944279391548</v>
      </c>
      <c r="AU358" s="61">
        <f t="shared" si="253"/>
        <v>-15.925970413879007</v>
      </c>
    </row>
    <row r="359" spans="14:47" x14ac:dyDescent="0.25">
      <c r="N359" s="10">
        <v>41</v>
      </c>
      <c r="O359" s="50">
        <f t="shared" si="221"/>
        <v>25703.95782768865</v>
      </c>
      <c r="P359" s="48" t="str">
        <f t="shared" si="222"/>
        <v>304.285714285714</v>
      </c>
      <c r="Q359" s="17" t="str">
        <f t="shared" si="223"/>
        <v>1+8409.67787758056i</v>
      </c>
      <c r="R359" s="17">
        <f t="shared" si="231"/>
        <v>8409.677937035869</v>
      </c>
      <c r="S359" s="17">
        <f t="shared" si="232"/>
        <v>1.5706774161766965</v>
      </c>
      <c r="T359" s="17" t="str">
        <f t="shared" si="224"/>
        <v>1+0.174422948572041i</v>
      </c>
      <c r="U359" s="17">
        <f t="shared" si="233"/>
        <v>1.015097712039863</v>
      </c>
      <c r="V359" s="17">
        <f t="shared" si="234"/>
        <v>0.17268570728723412</v>
      </c>
      <c r="W359" s="31" t="str">
        <f t="shared" si="225"/>
        <v>1-0.545071714287628i</v>
      </c>
      <c r="X359" s="17">
        <f t="shared" si="235"/>
        <v>1.1389043742634646</v>
      </c>
      <c r="Y359" s="17">
        <f t="shared" si="236"/>
        <v>-0.49905162597316555</v>
      </c>
      <c r="Z359" s="31" t="str">
        <f t="shared" si="226"/>
        <v>0.958515936517665+4.80832240174432i</v>
      </c>
      <c r="AA359" s="17">
        <f t="shared" si="237"/>
        <v>4.9029294426571761</v>
      </c>
      <c r="AB359" s="17">
        <f t="shared" si="238"/>
        <v>1.3740304724053105</v>
      </c>
      <c r="AC359" s="66" t="str">
        <f t="shared" si="239"/>
        <v>-0.00846039994818453+0.00110162562457105i</v>
      </c>
      <c r="AD359" s="64">
        <f t="shared" si="240"/>
        <v>-41.379166683651761</v>
      </c>
      <c r="AE359" s="61">
        <f t="shared" si="241"/>
        <v>172.5812763677574</v>
      </c>
      <c r="AF359" s="31" t="str">
        <f t="shared" si="227"/>
        <v>-0.000495863624968664</v>
      </c>
      <c r="AG359" s="31" t="str">
        <f t="shared" si="228"/>
        <v>0.03564688260076i</v>
      </c>
      <c r="AH359" s="31">
        <f t="shared" si="242"/>
        <v>3.5646882600760002E-2</v>
      </c>
      <c r="AI359" s="31">
        <f t="shared" si="243"/>
        <v>1.5707963267948966</v>
      </c>
      <c r="AJ359" s="31" t="str">
        <f t="shared" si="229"/>
        <v>1+0.139083177549289i</v>
      </c>
      <c r="AK359" s="31">
        <f t="shared" si="244"/>
        <v>1.009625737725226</v>
      </c>
      <c r="AL359" s="31">
        <f t="shared" si="245"/>
        <v>0.13819663034558904</v>
      </c>
      <c r="AM359" s="31" t="str">
        <f t="shared" si="230"/>
        <v>1+42.6367207620544i</v>
      </c>
      <c r="AN359" s="31">
        <f t="shared" si="246"/>
        <v>42.648446130444199</v>
      </c>
      <c r="AO359" s="31">
        <f t="shared" si="247"/>
        <v>1.5473466646290832</v>
      </c>
      <c r="AP359" s="58" t="str">
        <f t="shared" si="248"/>
        <v>-0.579942127271265+0.0945706283393558i</v>
      </c>
      <c r="AQ359" s="49">
        <f t="shared" si="249"/>
        <v>-4.6183301111966317</v>
      </c>
      <c r="AR359" s="61">
        <f t="shared" si="250"/>
        <v>170.73834966515949</v>
      </c>
      <c r="AS359" s="58" t="str">
        <f t="shared" si="251"/>
        <v>0.00480236091600542-0.00143898444727233i</v>
      </c>
      <c r="AT359" s="64">
        <f t="shared" si="252"/>
        <v>-45.997496794848388</v>
      </c>
      <c r="AU359" s="61">
        <f t="shared" si="253"/>
        <v>-16.680373967083046</v>
      </c>
    </row>
    <row r="360" spans="14:47" x14ac:dyDescent="0.25">
      <c r="N360" s="10">
        <v>42</v>
      </c>
      <c r="O360" s="50">
        <f t="shared" si="221"/>
        <v>26302.679918953829</v>
      </c>
      <c r="P360" s="48" t="str">
        <f t="shared" si="222"/>
        <v>304.285714285714</v>
      </c>
      <c r="Q360" s="17" t="str">
        <f t="shared" si="223"/>
        <v>1+8605.56443946666i</v>
      </c>
      <c r="R360" s="17">
        <f t="shared" si="231"/>
        <v>8605.5644975686009</v>
      </c>
      <c r="S360" s="17">
        <f t="shared" si="232"/>
        <v>1.5706801229128</v>
      </c>
      <c r="T360" s="17" t="str">
        <f t="shared" si="224"/>
        <v>1+0.178485780966715i</v>
      </c>
      <c r="U360" s="17">
        <f t="shared" si="233"/>
        <v>1.0158037084039899</v>
      </c>
      <c r="V360" s="17">
        <f t="shared" si="234"/>
        <v>0.17662585394742616</v>
      </c>
      <c r="W360" s="31" t="str">
        <f t="shared" si="225"/>
        <v>1-0.557768065520986i</v>
      </c>
      <c r="X360" s="17">
        <f t="shared" si="235"/>
        <v>1.1450350278113868</v>
      </c>
      <c r="Y360" s="17">
        <f t="shared" si="236"/>
        <v>-0.50878760783238464</v>
      </c>
      <c r="Z360" s="31" t="str">
        <f t="shared" si="226"/>
        <v>0.956560852838491+4.92032261833152i</v>
      </c>
      <c r="AA360" s="17">
        <f t="shared" si="237"/>
        <v>5.0124428509109045</v>
      </c>
      <c r="AB360" s="17">
        <f t="shared" si="238"/>
        <v>1.3787813167201504</v>
      </c>
      <c r="AC360" s="66" t="str">
        <f t="shared" si="239"/>
        <v>-0.00812473865781859+0.0011452066256398i</v>
      </c>
      <c r="AD360" s="64">
        <f t="shared" si="240"/>
        <v>-41.718373364012571</v>
      </c>
      <c r="AE360" s="61">
        <f t="shared" si="241"/>
        <v>171.9768410591808</v>
      </c>
      <c r="AF360" s="31" t="str">
        <f t="shared" si="227"/>
        <v>-0.000495863624968664</v>
      </c>
      <c r="AG360" s="31" t="str">
        <f t="shared" si="228"/>
        <v>0.0364772051620125i</v>
      </c>
      <c r="AH360" s="31">
        <f t="shared" si="242"/>
        <v>3.6477205162012499E-2</v>
      </c>
      <c r="AI360" s="31">
        <f t="shared" si="243"/>
        <v>1.5707963267948966</v>
      </c>
      <c r="AJ360" s="31" t="str">
        <f t="shared" si="229"/>
        <v>1+0.142322840930327i</v>
      </c>
      <c r="AK360" s="31">
        <f t="shared" si="244"/>
        <v>1.0100771213380091</v>
      </c>
      <c r="AL360" s="31">
        <f t="shared" si="245"/>
        <v>0.141373399593162</v>
      </c>
      <c r="AM360" s="31" t="str">
        <f t="shared" si="230"/>
        <v>1+43.6298575696415i</v>
      </c>
      <c r="AN360" s="31">
        <f t="shared" si="246"/>
        <v>43.641316106955394</v>
      </c>
      <c r="AO360" s="31">
        <f t="shared" si="247"/>
        <v>1.5478802550773949</v>
      </c>
      <c r="AP360" s="58" t="str">
        <f t="shared" si="248"/>
        <v>-0.57942391361069+0.0960590518252533i</v>
      </c>
      <c r="AQ360" s="49">
        <f t="shared" si="249"/>
        <v>-4.6223199971793782</v>
      </c>
      <c r="AR360" s="61">
        <f t="shared" si="250"/>
        <v>170.58690667546333</v>
      </c>
      <c r="AS360" s="58" t="str">
        <f t="shared" si="251"/>
        <v>0.00459766040757436-0.00144401479671914i</v>
      </c>
      <c r="AT360" s="64">
        <f t="shared" si="252"/>
        <v>-46.340693361191938</v>
      </c>
      <c r="AU360" s="61">
        <f t="shared" si="253"/>
        <v>-17.436252265355858</v>
      </c>
    </row>
    <row r="361" spans="14:47" x14ac:dyDescent="0.25">
      <c r="N361" s="10">
        <v>43</v>
      </c>
      <c r="O361" s="50">
        <f t="shared" si="221"/>
        <v>26915.348039269167</v>
      </c>
      <c r="P361" s="48" t="str">
        <f t="shared" si="222"/>
        <v>304.285714285714</v>
      </c>
      <c r="Q361" s="17" t="str">
        <f t="shared" si="223"/>
        <v>1+8806.0137855267i</v>
      </c>
      <c r="R361" s="17">
        <f t="shared" si="231"/>
        <v>8806.0138423060798</v>
      </c>
      <c r="S361" s="17">
        <f t="shared" si="232"/>
        <v>1.5706827680360691</v>
      </c>
      <c r="T361" s="17" t="str">
        <f t="shared" si="224"/>
        <v>1+0.182643248884998i</v>
      </c>
      <c r="U361" s="17">
        <f t="shared" si="233"/>
        <v>1.0165424518254351</v>
      </c>
      <c r="V361" s="17">
        <f t="shared" si="234"/>
        <v>0.18065204858468156</v>
      </c>
      <c r="W361" s="31" t="str">
        <f t="shared" si="225"/>
        <v>1-0.570760152765619i</v>
      </c>
      <c r="X361" s="17">
        <f t="shared" si="235"/>
        <v>1.1514196246308435</v>
      </c>
      <c r="Y361" s="17">
        <f t="shared" si="236"/>
        <v>-0.51864208432351799</v>
      </c>
      <c r="Z361" s="31" t="str">
        <f t="shared" si="226"/>
        <v>0.9545136289042+5.03493165509914i</v>
      </c>
      <c r="AA361" s="17">
        <f t="shared" si="237"/>
        <v>5.1246105256188228</v>
      </c>
      <c r="AB361" s="17">
        <f t="shared" si="238"/>
        <v>1.3834414484762951</v>
      </c>
      <c r="AC361" s="66" t="str">
        <f t="shared" si="239"/>
        <v>-0.00780300599194698+0.00118347234536707i</v>
      </c>
      <c r="AD361" s="64">
        <f t="shared" si="240"/>
        <v>-42.055990349592129</v>
      </c>
      <c r="AE361" s="61">
        <f t="shared" si="241"/>
        <v>171.37574767113924</v>
      </c>
      <c r="AF361" s="31" t="str">
        <f t="shared" si="227"/>
        <v>-0.000495863624968664</v>
      </c>
      <c r="AG361" s="31" t="str">
        <f t="shared" si="228"/>
        <v>0.0373268684202747i</v>
      </c>
      <c r="AH361" s="31">
        <f t="shared" si="242"/>
        <v>3.7326868420274703E-2</v>
      </c>
      <c r="AI361" s="31">
        <f t="shared" si="243"/>
        <v>1.5707963267948966</v>
      </c>
      <c r="AJ361" s="31" t="str">
        <f t="shared" si="229"/>
        <v>1+0.145637965765493i</v>
      </c>
      <c r="AK361" s="31">
        <f t="shared" si="244"/>
        <v>1.0105495619079308</v>
      </c>
      <c r="AL361" s="31">
        <f t="shared" si="245"/>
        <v>0.14462119376434968</v>
      </c>
      <c r="AM361" s="31" t="str">
        <f t="shared" si="230"/>
        <v>1+44.6461275052217i</v>
      </c>
      <c r="AN361" s="31">
        <f t="shared" si="246"/>
        <v>44.657325280546232</v>
      </c>
      <c r="AO361" s="31">
        <f t="shared" si="247"/>
        <v>1.5484017121360658</v>
      </c>
      <c r="AP361" s="58" t="str">
        <f t="shared" si="248"/>
        <v>-0.578882268973741+0.0975915978713902i</v>
      </c>
      <c r="AQ361" s="49">
        <f t="shared" si="249"/>
        <v>-4.6264843052659081</v>
      </c>
      <c r="AR361" s="61">
        <f t="shared" si="250"/>
        <v>170.43069906538622</v>
      </c>
      <c r="AS361" s="58" t="str">
        <f t="shared" si="251"/>
        <v>0.00440152485621299-0.0014465989795079i</v>
      </c>
      <c r="AT361" s="64">
        <f t="shared" si="252"/>
        <v>-46.682474654858041</v>
      </c>
      <c r="AU361" s="61">
        <f t="shared" si="253"/>
        <v>-18.193553263474524</v>
      </c>
    </row>
    <row r="362" spans="14:47" x14ac:dyDescent="0.25">
      <c r="N362" s="10">
        <v>44</v>
      </c>
      <c r="O362" s="50">
        <f t="shared" si="221"/>
        <v>27542.287033381719</v>
      </c>
      <c r="P362" s="48" t="str">
        <f t="shared" si="222"/>
        <v>304.285714285714</v>
      </c>
      <c r="Q362" s="17" t="str">
        <f t="shared" si="223"/>
        <v>1+9011.13219665721i</v>
      </c>
      <c r="R362" s="17">
        <f t="shared" si="231"/>
        <v>9011.1322521441343</v>
      </c>
      <c r="S362" s="17">
        <f t="shared" si="232"/>
        <v>1.5706853529489835</v>
      </c>
      <c r="T362" s="17" t="str">
        <f t="shared" si="224"/>
        <v>1+0.186897556671408i</v>
      </c>
      <c r="U362" s="17">
        <f t="shared" si="233"/>
        <v>1.0173154361798225</v>
      </c>
      <c r="V362" s="17">
        <f t="shared" si="234"/>
        <v>0.1847659035583244</v>
      </c>
      <c r="W362" s="31" t="str">
        <f t="shared" si="225"/>
        <v>1-0.584054864598152i</v>
      </c>
      <c r="X362" s="17">
        <f t="shared" si="235"/>
        <v>1.1580673921930302</v>
      </c>
      <c r="Y362" s="17">
        <f t="shared" si="236"/>
        <v>-0.52861262393943931</v>
      </c>
      <c r="Z362" s="31" t="str">
        <f t="shared" si="226"/>
        <v>0.95236992227835+5.1522102792755i</v>
      </c>
      <c r="AA362" s="17">
        <f t="shared" si="237"/>
        <v>5.2394922684104221</v>
      </c>
      <c r="AB362" s="17">
        <f t="shared" si="238"/>
        <v>1.3880126311951557</v>
      </c>
      <c r="AC362" s="66" t="str">
        <f t="shared" si="239"/>
        <v>-0.00749467293433469+0.00121680854136894i</v>
      </c>
      <c r="AD362" s="64">
        <f t="shared" si="240"/>
        <v>-42.391950729440552</v>
      </c>
      <c r="AE362" s="61">
        <f t="shared" si="241"/>
        <v>170.77812677742341</v>
      </c>
      <c r="AF362" s="31" t="str">
        <f t="shared" si="227"/>
        <v>-0.000495863624968664</v>
      </c>
      <c r="AG362" s="31" t="str">
        <f t="shared" si="228"/>
        <v>0.038196322878253i</v>
      </c>
      <c r="AH362" s="31">
        <f t="shared" si="242"/>
        <v>3.8196322878253003E-2</v>
      </c>
      <c r="AI362" s="31">
        <f t="shared" si="243"/>
        <v>1.5707963267948966</v>
      </c>
      <c r="AJ362" s="31" t="str">
        <f t="shared" si="229"/>
        <v>1+0.149030309777853i</v>
      </c>
      <c r="AK362" s="31">
        <f t="shared" si="244"/>
        <v>1.0110440313025357</v>
      </c>
      <c r="AL362" s="31">
        <f t="shared" si="245"/>
        <v>0.14794146067342245</v>
      </c>
      <c r="AM362" s="31" t="str">
        <f t="shared" si="230"/>
        <v>1+45.6860694085665i</v>
      </c>
      <c r="AN362" s="31">
        <f t="shared" si="246"/>
        <v>45.697012353154506</v>
      </c>
      <c r="AO362" s="31">
        <f t="shared" si="247"/>
        <v>1.5489113111535342</v>
      </c>
      <c r="AP362" s="58" t="str">
        <f t="shared" si="248"/>
        <v>-0.578316181719568+0.0991686125191491i</v>
      </c>
      <c r="AQ362" s="49">
        <f t="shared" si="249"/>
        <v>-4.6308313499636808</v>
      </c>
      <c r="AR362" s="61">
        <f t="shared" si="250"/>
        <v>170.26965965758441</v>
      </c>
      <c r="AS362" s="58" t="str">
        <f t="shared" si="251"/>
        <v>0.00421362141987242-0.00144693638571103i</v>
      </c>
      <c r="AT362" s="64">
        <f t="shared" si="252"/>
        <v>-47.022782079404237</v>
      </c>
      <c r="AU362" s="61">
        <f t="shared" si="253"/>
        <v>-18.952213564992125</v>
      </c>
    </row>
    <row r="363" spans="14:47" x14ac:dyDescent="0.25">
      <c r="N363" s="10">
        <v>45</v>
      </c>
      <c r="O363" s="50">
        <f t="shared" si="221"/>
        <v>28183.829312644593</v>
      </c>
      <c r="P363" s="48" t="str">
        <f t="shared" si="222"/>
        <v>304.285714285714</v>
      </c>
      <c r="Q363" s="17" t="str">
        <f t="shared" si="223"/>
        <v>1+9221.0284293548i</v>
      </c>
      <c r="R363" s="17">
        <f t="shared" si="231"/>
        <v>9221.0284835786842</v>
      </c>
      <c r="S363" s="17">
        <f t="shared" si="232"/>
        <v>1.5706878790220977</v>
      </c>
      <c r="T363" s="17" t="str">
        <f t="shared" si="224"/>
        <v>1+0.191250960016247i</v>
      </c>
      <c r="U363" s="17">
        <f t="shared" si="233"/>
        <v>1.018124221157289</v>
      </c>
      <c r="V363" s="17">
        <f t="shared" si="234"/>
        <v>0.18896904283934179</v>
      </c>
      <c r="W363" s="31" t="str">
        <f t="shared" si="225"/>
        <v>1-0.597659250050773i</v>
      </c>
      <c r="X363" s="17">
        <f t="shared" si="235"/>
        <v>1.1649878021555644</v>
      </c>
      <c r="Y363" s="17">
        <f t="shared" si="236"/>
        <v>-0.53869658307639345</v>
      </c>
      <c r="Z363" s="31" t="str">
        <f t="shared" si="226"/>
        <v>0.950125185871778+5.27222067353949i</v>
      </c>
      <c r="AA363" s="17">
        <f t="shared" si="237"/>
        <v>5.3571493071712188</v>
      </c>
      <c r="AB363" s="17">
        <f t="shared" si="238"/>
        <v>1.3924966249531396</v>
      </c>
      <c r="AC363" s="66" t="str">
        <f t="shared" si="239"/>
        <v>-0.00719922637788018+0.00124557702083284i</v>
      </c>
      <c r="AD363" s="64">
        <f t="shared" si="240"/>
        <v>-42.726188062820576</v>
      </c>
      <c r="AE363" s="61">
        <f t="shared" si="241"/>
        <v>170.1841219685779</v>
      </c>
      <c r="AF363" s="31" t="str">
        <f t="shared" si="227"/>
        <v>-0.000495863624968664</v>
      </c>
      <c r="AG363" s="31" t="str">
        <f t="shared" si="228"/>
        <v>0.0390860295322093i</v>
      </c>
      <c r="AH363" s="31">
        <f t="shared" si="242"/>
        <v>3.9086029532209299E-2</v>
      </c>
      <c r="AI363" s="31">
        <f t="shared" si="243"/>
        <v>1.5707963267948966</v>
      </c>
      <c r="AJ363" s="31" t="str">
        <f t="shared" si="229"/>
        <v>1+0.152501671633107i</v>
      </c>
      <c r="AK363" s="31">
        <f t="shared" si="244"/>
        <v>1.0115615452610345</v>
      </c>
      <c r="AL363" s="31">
        <f t="shared" si="245"/>
        <v>0.15133566779221491</v>
      </c>
      <c r="AM363" s="31" t="str">
        <f t="shared" si="230"/>
        <v>1+46.7502346706382i</v>
      </c>
      <c r="AN363" s="31">
        <f t="shared" si="246"/>
        <v>46.760928581025226</v>
      </c>
      <c r="AO363" s="31">
        <f t="shared" si="247"/>
        <v>1.5494093212666304</v>
      </c>
      <c r="AP363" s="58" t="str">
        <f t="shared" si="248"/>
        <v>-0.577724601028372+0.100790434429749i</v>
      </c>
      <c r="AQ363" s="49">
        <f t="shared" si="249"/>
        <v>-4.6353697848691464</v>
      </c>
      <c r="AR363" s="61">
        <f t="shared" si="250"/>
        <v>170.10371979251954</v>
      </c>
      <c r="AS363" s="58" t="str">
        <f t="shared" si="251"/>
        <v>0.0040336279378283-0.00144521364159541i</v>
      </c>
      <c r="AT363" s="64">
        <f t="shared" si="252"/>
        <v>-47.361557847689738</v>
      </c>
      <c r="AU363" s="61">
        <f t="shared" si="253"/>
        <v>-19.712158238902532</v>
      </c>
    </row>
    <row r="364" spans="14:47" x14ac:dyDescent="0.25">
      <c r="N364" s="10">
        <v>46</v>
      </c>
      <c r="O364" s="50">
        <f t="shared" si="221"/>
        <v>28840.315031266062</v>
      </c>
      <c r="P364" s="48" t="str">
        <f t="shared" si="222"/>
        <v>304.285714285714</v>
      </c>
      <c r="Q364" s="17" t="str">
        <f t="shared" si="223"/>
        <v>1+9435.81377338033i</v>
      </c>
      <c r="R364" s="17">
        <f t="shared" si="231"/>
        <v>9435.8138263699293</v>
      </c>
      <c r="S364" s="17">
        <f t="shared" si="232"/>
        <v>1.5706903475947689</v>
      </c>
      <c r="T364" s="17" t="str">
        <f t="shared" si="224"/>
        <v>1+0.195705767151591i</v>
      </c>
      <c r="U364" s="17">
        <f t="shared" si="233"/>
        <v>1.0189704349471542</v>
      </c>
      <c r="V364" s="17">
        <f t="shared" si="234"/>
        <v>0.19326310066501701</v>
      </c>
      <c r="W364" s="31" t="str">
        <f t="shared" si="225"/>
        <v>1-0.611580522348724i</v>
      </c>
      <c r="X364" s="17">
        <f t="shared" si="235"/>
        <v>1.1721905712452809</v>
      </c>
      <c r="Y364" s="17">
        <f t="shared" si="236"/>
        <v>-0.54889110464400004</v>
      </c>
      <c r="Z364" s="31" t="str">
        <f t="shared" si="226"/>
        <v>0.947774658297607+5.39502646899065i</v>
      </c>
      <c r="AA364" s="17">
        <f t="shared" si="237"/>
        <v>5.4776443298210653</v>
      </c>
      <c r="AB364" s="17">
        <f t="shared" si="238"/>
        <v>1.3968951847538704</v>
      </c>
      <c r="AC364" s="66" t="str">
        <f t="shared" si="239"/>
        <v>-0.00691616901742907+0.00127011695058741i</v>
      </c>
      <c r="AD364" s="64">
        <f t="shared" si="240"/>
        <v>-43.058636451073852</v>
      </c>
      <c r="AE364" s="61">
        <f t="shared" si="241"/>
        <v>169.59388994768204</v>
      </c>
      <c r="AF364" s="31" t="str">
        <f t="shared" si="227"/>
        <v>-0.000495863624968664</v>
      </c>
      <c r="AG364" s="31" t="str">
        <f t="shared" si="228"/>
        <v>0.0399964601163883i</v>
      </c>
      <c r="AH364" s="31">
        <f t="shared" si="242"/>
        <v>3.9996460116388299E-2</v>
      </c>
      <c r="AI364" s="31">
        <f t="shared" si="243"/>
        <v>1.5707963267948966</v>
      </c>
      <c r="AJ364" s="31" t="str">
        <f t="shared" si="229"/>
        <v>1+0.156053891893258i</v>
      </c>
      <c r="AK364" s="31">
        <f t="shared" si="244"/>
        <v>1.0121031652825876</v>
      </c>
      <c r="AL364" s="31">
        <f t="shared" si="245"/>
        <v>0.15480530178502327</v>
      </c>
      <c r="AM364" s="31" t="str">
        <f t="shared" si="230"/>
        <v>1+47.8391875259446i</v>
      </c>
      <c r="AN364" s="31">
        <f t="shared" si="246"/>
        <v>47.849638066995801</v>
      </c>
      <c r="AO364" s="31">
        <f t="shared" si="247"/>
        <v>1.5498960055382343</v>
      </c>
      <c r="AP364" s="58" t="str">
        <f t="shared" si="248"/>
        <v>-0.577106435812562+0.102457393128709i</v>
      </c>
      <c r="AQ364" s="49">
        <f t="shared" si="249"/>
        <v>-4.6401086165447101</v>
      </c>
      <c r="AR364" s="61">
        <f t="shared" si="250"/>
        <v>169.93280936299479</v>
      </c>
      <c r="AS364" s="58" t="str">
        <f t="shared" si="251"/>
        <v>0.00386123277939999-0.00144160531438195i</v>
      </c>
      <c r="AT364" s="64">
        <f t="shared" si="252"/>
        <v>-47.698745067618553</v>
      </c>
      <c r="AU364" s="61">
        <f t="shared" si="253"/>
        <v>-20.473300689323175</v>
      </c>
    </row>
    <row r="365" spans="14:47" x14ac:dyDescent="0.25">
      <c r="N365" s="10">
        <v>47</v>
      </c>
      <c r="O365" s="50">
        <f t="shared" si="221"/>
        <v>29512.092266663854</v>
      </c>
      <c r="P365" s="48" t="str">
        <f t="shared" si="222"/>
        <v>304.285714285714</v>
      </c>
      <c r="Q365" s="17" t="str">
        <f t="shared" si="223"/>
        <v>1+9655.60211076635i</v>
      </c>
      <c r="R365" s="17">
        <f t="shared" si="231"/>
        <v>9655.6021625497578</v>
      </c>
      <c r="S365" s="17">
        <f t="shared" si="232"/>
        <v>1.5706927599758673</v>
      </c>
      <c r="T365" s="17" t="str">
        <f t="shared" si="224"/>
        <v>1+0.200264340075153i</v>
      </c>
      <c r="U365" s="17">
        <f t="shared" si="233"/>
        <v>1.0198557770124834</v>
      </c>
      <c r="V365" s="17">
        <f t="shared" si="234"/>
        <v>0.1976497200734525</v>
      </c>
      <c r="W365" s="31" t="str">
        <f t="shared" si="225"/>
        <v>1-0.625826062734855i</v>
      </c>
      <c r="X365" s="17">
        <f t="shared" si="235"/>
        <v>1.1796856618600613</v>
      </c>
      <c r="Y365" s="17">
        <f t="shared" si="236"/>
        <v>-0.5591931174571021</v>
      </c>
      <c r="Z365" s="31" t="str">
        <f t="shared" si="226"/>
        <v>0.94531335377171+5.52069277888733i</v>
      </c>
      <c r="AA365" s="17">
        <f t="shared" si="237"/>
        <v>5.601041518831817</v>
      </c>
      <c r="AB365" s="17">
        <f t="shared" si="238"/>
        <v>1.4012100590327481</v>
      </c>
      <c r="AC365" s="66" t="str">
        <f t="shared" si="239"/>
        <v>-0.00664501920405166+0.00129074611009525i</v>
      </c>
      <c r="AD365" s="64">
        <f t="shared" si="240"/>
        <v>-43.389230612347582</v>
      </c>
      <c r="AE365" s="61">
        <f t="shared" si="241"/>
        <v>169.00760056687037</v>
      </c>
      <c r="AF365" s="31" t="str">
        <f t="shared" si="227"/>
        <v>-0.000495863624968664</v>
      </c>
      <c r="AG365" s="31" t="str">
        <f t="shared" si="228"/>
        <v>0.0409280973531368i</v>
      </c>
      <c r="AH365" s="31">
        <f t="shared" si="242"/>
        <v>4.0928097353136801E-2</v>
      </c>
      <c r="AI365" s="31">
        <f t="shared" si="243"/>
        <v>1.5707963267948966</v>
      </c>
      <c r="AJ365" s="31" t="str">
        <f t="shared" si="229"/>
        <v>1+0.15968885399251i</v>
      </c>
      <c r="AK365" s="31">
        <f t="shared" si="244"/>
        <v>1.0126700005872797</v>
      </c>
      <c r="AL365" s="31">
        <f t="shared" si="245"/>
        <v>0.15835186797625442</v>
      </c>
      <c r="AM365" s="31" t="str">
        <f t="shared" si="230"/>
        <v>1+48.9535053517042i</v>
      </c>
      <c r="AN365" s="31">
        <f t="shared" si="246"/>
        <v>48.963718059593191</v>
      </c>
      <c r="AO365" s="31">
        <f t="shared" si="247"/>
        <v>1.5503716210920455</v>
      </c>
      <c r="AP365" s="58" t="str">
        <f t="shared" si="248"/>
        <v>-0.576460553640944+0.104169807138647i</v>
      </c>
      <c r="AQ365" s="49">
        <f t="shared" si="249"/>
        <v>-4.6450572187427888</v>
      </c>
      <c r="AR365" s="61">
        <f t="shared" si="250"/>
        <v>169.75685685237764</v>
      </c>
      <c r="AS365" s="58" t="str">
        <f t="shared" si="251"/>
        <v>0.00369613467596874-0.00143627458615407i</v>
      </c>
      <c r="AT365" s="64">
        <f t="shared" si="252"/>
        <v>-48.034287831090374</v>
      </c>
      <c r="AU365" s="61">
        <f t="shared" si="253"/>
        <v>-21.235542580752004</v>
      </c>
    </row>
    <row r="366" spans="14:47" x14ac:dyDescent="0.25">
      <c r="N366" s="10">
        <v>48</v>
      </c>
      <c r="O366" s="50">
        <f t="shared" si="221"/>
        <v>30199.517204020212</v>
      </c>
      <c r="P366" s="48" t="str">
        <f t="shared" si="222"/>
        <v>304.285714285714</v>
      </c>
      <c r="Q366" s="17" t="str">
        <f t="shared" si="223"/>
        <v>1+9880.50997619847i</v>
      </c>
      <c r="R366" s="17">
        <f t="shared" si="231"/>
        <v>9880.5100268031438</v>
      </c>
      <c r="S366" s="17">
        <f t="shared" si="232"/>
        <v>1.570695117444469</v>
      </c>
      <c r="T366" s="17" t="str">
        <f t="shared" si="224"/>
        <v>1+0.204929095802634i</v>
      </c>
      <c r="U366" s="17">
        <f t="shared" si="233"/>
        <v>1.0207820209557401</v>
      </c>
      <c r="V366" s="17">
        <f t="shared" si="234"/>
        <v>0.20213055131166746</v>
      </c>
      <c r="W366" s="31" t="str">
        <f t="shared" si="225"/>
        <v>1-0.640403424383233i</v>
      </c>
      <c r="X366" s="17">
        <f t="shared" si="235"/>
        <v>1.1874832823925443</v>
      </c>
      <c r="Y366" s="17">
        <f t="shared" si="236"/>
        <v>-0.56959933645529714</v>
      </c>
      <c r="Z366" s="31" t="str">
        <f t="shared" si="226"/>
        <v>0.942736051537198+5.64928623317037i</v>
      </c>
      <c r="AA366" s="17">
        <f t="shared" si="237"/>
        <v>5.7274065865063415</v>
      </c>
      <c r="AB366" s="17">
        <f t="shared" si="238"/>
        <v>1.4054429882875095</v>
      </c>
      <c r="AC366" s="66" t="str">
        <f t="shared" si="239"/>
        <v>-0.00638531076516155+0.00130776208833375i</v>
      </c>
      <c r="AD366" s="64">
        <f t="shared" si="240"/>
        <v>-43.717905958771155</v>
      </c>
      <c r="AE366" s="61">
        <f t="shared" si="241"/>
        <v>168.42543680196846</v>
      </c>
      <c r="AF366" s="31" t="str">
        <f t="shared" si="227"/>
        <v>-0.000495863624968664</v>
      </c>
      <c r="AG366" s="31" t="str">
        <f t="shared" si="228"/>
        <v>0.0418814352088495i</v>
      </c>
      <c r="AH366" s="31">
        <f t="shared" si="242"/>
        <v>4.1881435208849502E-2</v>
      </c>
      <c r="AI366" s="31">
        <f t="shared" si="243"/>
        <v>1.5707963267948966</v>
      </c>
      <c r="AJ366" s="31" t="str">
        <f t="shared" si="229"/>
        <v>1+0.16340848523588i</v>
      </c>
      <c r="AK366" s="31">
        <f t="shared" si="244"/>
        <v>1.0132632101517773</v>
      </c>
      <c r="AL366" s="31">
        <f t="shared" si="245"/>
        <v>0.16197688974626934</v>
      </c>
      <c r="AM366" s="31" t="str">
        <f t="shared" si="230"/>
        <v>1+50.0937789739773i</v>
      </c>
      <c r="AN366" s="31">
        <f t="shared" si="246"/>
        <v>50.103759259098425</v>
      </c>
      <c r="AO366" s="31">
        <f t="shared" si="247"/>
        <v>1.5508364192445199</v>
      </c>
      <c r="AP366" s="58" t="str">
        <f t="shared" si="248"/>
        <v>-0.575785779681605+0.105927981995194i</v>
      </c>
      <c r="AQ366" s="49">
        <f t="shared" si="249"/>
        <v>-4.6502253469720847</v>
      </c>
      <c r="AR366" s="61">
        <f t="shared" si="250"/>
        <v>169.57578937677494</v>
      </c>
      <c r="AS366" s="58" t="str">
        <f t="shared" si="251"/>
        <v>0.00353804253848087-0.00142937389743504i</v>
      </c>
      <c r="AT366" s="64">
        <f t="shared" si="252"/>
        <v>-48.368131305743248</v>
      </c>
      <c r="AU366" s="61">
        <f t="shared" si="253"/>
        <v>-21.998773821256542</v>
      </c>
    </row>
    <row r="367" spans="14:47" x14ac:dyDescent="0.25">
      <c r="N367" s="10">
        <v>49</v>
      </c>
      <c r="O367" s="50">
        <f t="shared" si="221"/>
        <v>30902.954325135954</v>
      </c>
      <c r="P367" s="48" t="str">
        <f t="shared" si="222"/>
        <v>304.285714285714</v>
      </c>
      <c r="Q367" s="17" t="str">
        <f t="shared" si="223"/>
        <v>1+10110.656618804i</v>
      </c>
      <c r="R367" s="17">
        <f t="shared" si="231"/>
        <v>10110.65666825677</v>
      </c>
      <c r="S367" s="17">
        <f t="shared" si="232"/>
        <v>1.5706974212505347</v>
      </c>
      <c r="T367" s="17" t="str">
        <f t="shared" si="224"/>
        <v>1+0.209702507649267i</v>
      </c>
      <c r="U367" s="17">
        <f t="shared" si="233"/>
        <v>1.0217510174765627</v>
      </c>
      <c r="V367" s="17">
        <f t="shared" si="234"/>
        <v>0.20670725011091667</v>
      </c>
      <c r="W367" s="31" t="str">
        <f t="shared" si="225"/>
        <v>1-0.65532033640396i</v>
      </c>
      <c r="X367" s="17">
        <f t="shared" si="235"/>
        <v>1.1955938872813792</v>
      </c>
      <c r="Y367" s="17">
        <f t="shared" si="236"/>
        <v>-0.5801062637919826</v>
      </c>
      <c r="Z367" s="31" t="str">
        <f t="shared" si="226"/>
        <v>0.940037284790484+5.78087501379138i</v>
      </c>
      <c r="AA367" s="17">
        <f t="shared" si="237"/>
        <v>5.8568068110424933</v>
      </c>
      <c r="AB367" s="17">
        <f t="shared" si="238"/>
        <v>1.4095957038285911</v>
      </c>
      <c r="AC367" s="66" t="str">
        <f t="shared" si="239"/>
        <v>-0.00613659279454776+0.00132144342570561i</v>
      </c>
      <c r="AD367" s="64">
        <f t="shared" si="240"/>
        <v>-44.044598675627824</v>
      </c>
      <c r="AE367" s="61">
        <f t="shared" si="241"/>
        <v>167.84759466283853</v>
      </c>
      <c r="AF367" s="31" t="str">
        <f t="shared" si="227"/>
        <v>-0.000495863624968664</v>
      </c>
      <c r="AG367" s="31" t="str">
        <f t="shared" si="228"/>
        <v>0.0428569791558761i</v>
      </c>
      <c r="AH367" s="31">
        <f t="shared" si="242"/>
        <v>4.28569791558761E-2</v>
      </c>
      <c r="AI367" s="31">
        <f t="shared" si="243"/>
        <v>1.5707963267948966</v>
      </c>
      <c r="AJ367" s="31" t="str">
        <f t="shared" si="229"/>
        <v>1+0.167214757821089i</v>
      </c>
      <c r="AK367" s="31">
        <f t="shared" si="244"/>
        <v>1.0138840048216391</v>
      </c>
      <c r="AL367" s="31">
        <f t="shared" si="245"/>
        <v>0.16568190785072942</v>
      </c>
      <c r="AM367" s="31" t="str">
        <f t="shared" si="230"/>
        <v>1+51.2606129809319i</v>
      </c>
      <c r="AN367" s="31">
        <f t="shared" si="246"/>
        <v>51.270366130747334</v>
      </c>
      <c r="AO367" s="31">
        <f t="shared" si="247"/>
        <v>1.5512906456340196</v>
      </c>
      <c r="AP367" s="58" t="str">
        <f t="shared" si="248"/>
        <v>-0.575080895669729+0.10773220814085i</v>
      </c>
      <c r="AQ367" s="49">
        <f t="shared" si="249"/>
        <v>-4.6556231533993362</v>
      </c>
      <c r="AR367" s="61">
        <f t="shared" si="250"/>
        <v>169.38953273143164</v>
      </c>
      <c r="AS367" s="58" t="str">
        <f t="shared" si="251"/>
        <v>0.00338667526246446-0.00142104556104952i</v>
      </c>
      <c r="AT367" s="64">
        <f t="shared" si="252"/>
        <v>-48.70022182902715</v>
      </c>
      <c r="AU367" s="61">
        <f t="shared" si="253"/>
        <v>-22.762872605729861</v>
      </c>
    </row>
    <row r="368" spans="14:47" x14ac:dyDescent="0.25">
      <c r="N368" s="10">
        <v>50</v>
      </c>
      <c r="O368" s="50">
        <f t="shared" si="221"/>
        <v>31622.77660168384</v>
      </c>
      <c r="P368" s="48" t="str">
        <f t="shared" si="222"/>
        <v>304.285714285714</v>
      </c>
      <c r="Q368" s="17" t="str">
        <f t="shared" si="223"/>
        <v>1+10346.1640653791i</v>
      </c>
      <c r="R368" s="17">
        <f t="shared" si="231"/>
        <v>10346.164113706189</v>
      </c>
      <c r="S368" s="17">
        <f t="shared" si="232"/>
        <v>1.5706996726155731</v>
      </c>
      <c r="T368" s="17" t="str">
        <f t="shared" si="224"/>
        <v>1+0.214587106541196i</v>
      </c>
      <c r="U368" s="17">
        <f t="shared" si="233"/>
        <v>1.0227646974224924</v>
      </c>
      <c r="V368" s="17">
        <f t="shared" si="234"/>
        <v>0.21138147582271596</v>
      </c>
      <c r="W368" s="31" t="str">
        <f t="shared" si="225"/>
        <v>1-0.670584707941237i</v>
      </c>
      <c r="X368" s="17">
        <f t="shared" si="235"/>
        <v>1.2040281767984644</v>
      </c>
      <c r="Y368" s="17">
        <f t="shared" si="236"/>
        <v>-0.59071019082979159</v>
      </c>
      <c r="Z368" s="31" t="str">
        <f t="shared" si="226"/>
        <v>0.937211329085471+5.91552889086361i</v>
      </c>
      <c r="AA368" s="17">
        <f t="shared" si="237"/>
        <v>5.9893110734047035</v>
      </c>
      <c r="AB368" s="17">
        <f t="shared" si="238"/>
        <v>1.4136699266431914</v>
      </c>
      <c r="AC368" s="66" t="str">
        <f t="shared" si="239"/>
        <v>-0.00589842941610702+0.0013320507022686i</v>
      </c>
      <c r="AD368" s="64">
        <f t="shared" si="240"/>
        <v>-44.369245802012756</v>
      </c>
      <c r="AE368" s="61">
        <f t="shared" si="241"/>
        <v>167.27428303729766</v>
      </c>
      <c r="AF368" s="31" t="str">
        <f t="shared" si="227"/>
        <v>-0.000495863624968664</v>
      </c>
      <c r="AG368" s="31" t="str">
        <f t="shared" si="228"/>
        <v>0.0438552464405304i</v>
      </c>
      <c r="AH368" s="31">
        <f t="shared" si="242"/>
        <v>4.3855246440530397E-2</v>
      </c>
      <c r="AI368" s="31">
        <f t="shared" si="243"/>
        <v>1.5707963267948966</v>
      </c>
      <c r="AJ368" s="31" t="str">
        <f t="shared" si="229"/>
        <v>1+0.171109689884244i</v>
      </c>
      <c r="AK368" s="31">
        <f t="shared" si="244"/>
        <v>1.0145336495022144</v>
      </c>
      <c r="AL368" s="31">
        <f t="shared" si="245"/>
        <v>0.16946847965848991</v>
      </c>
      <c r="AM368" s="31" t="str">
        <f t="shared" si="230"/>
        <v>1+52.4546260434034i</v>
      </c>
      <c r="AN368" s="31">
        <f t="shared" si="246"/>
        <v>52.464157225226579</v>
      </c>
      <c r="AO368" s="31">
        <f t="shared" si="247"/>
        <v>1.5517345403472249</v>
      </c>
      <c r="AP368" s="58" t="str">
        <f t="shared" si="248"/>
        <v>-0.574344638907154+0.109582758691594i</v>
      </c>
      <c r="AQ368" s="49">
        <f t="shared" si="249"/>
        <v>-4.6612612020784159</v>
      </c>
      <c r="AR368" s="61">
        <f t="shared" si="250"/>
        <v>169.19801144163864</v>
      </c>
      <c r="AS368" s="58" t="str">
        <f t="shared" si="251"/>
        <v>0.00324176152244165-0.00141142234696514i</v>
      </c>
      <c r="AT368" s="64">
        <f t="shared" si="252"/>
        <v>-49.03050700409117</v>
      </c>
      <c r="AU368" s="61">
        <f t="shared" si="253"/>
        <v>-23.527705521063766</v>
      </c>
    </row>
    <row r="369" spans="14:47" x14ac:dyDescent="0.25">
      <c r="N369" s="10">
        <v>51</v>
      </c>
      <c r="O369" s="50">
        <f t="shared" si="221"/>
        <v>32359.365692962871</v>
      </c>
      <c r="P369" s="48" t="str">
        <f t="shared" si="222"/>
        <v>304.285714285714</v>
      </c>
      <c r="Q369" s="17" t="str">
        <f t="shared" si="223"/>
        <v>1+10587.1571850894i</v>
      </c>
      <c r="R369" s="17">
        <f t="shared" si="231"/>
        <v>10587.157232316431</v>
      </c>
      <c r="S369" s="17">
        <f t="shared" si="232"/>
        <v>1.5707018727332875</v>
      </c>
      <c r="T369" s="17" t="str">
        <f t="shared" si="224"/>
        <v>1+0.219585482357409i</v>
      </c>
      <c r="U369" s="17">
        <f t="shared" si="233"/>
        <v>1.0238250749332798</v>
      </c>
      <c r="V369" s="17">
        <f t="shared" si="234"/>
        <v>0.21615488940906566</v>
      </c>
      <c r="W369" s="31" t="str">
        <f t="shared" si="225"/>
        <v>1-0.686204632366904i</v>
      </c>
      <c r="X369" s="17">
        <f t="shared" si="235"/>
        <v>1.2127970965836774</v>
      </c>
      <c r="Y369" s="17">
        <f t="shared" si="236"/>
        <v>-0.60140720107381185</v>
      </c>
      <c r="Z369" s="31" t="str">
        <f t="shared" si="226"/>
        <v>0.934252190191223+6.05331925965507i</v>
      </c>
      <c r="AA369" s="17">
        <f t="shared" si="237"/>
        <v>6.1249898950274275</v>
      </c>
      <c r="AB369" s="17">
        <f t="shared" si="238"/>
        <v>1.4176673663671238</v>
      </c>
      <c r="AC369" s="66" t="str">
        <f t="shared" si="239"/>
        <v>-0.00567039952477896+0.00133982757369542i</v>
      </c>
      <c r="AD369" s="64">
        <f t="shared" si="240"/>
        <v>-44.691785312429815</v>
      </c>
      <c r="AE369" s="61">
        <f t="shared" si="241"/>
        <v>166.70572346677667</v>
      </c>
      <c r="AF369" s="31" t="str">
        <f t="shared" si="227"/>
        <v>-0.000495863624968664</v>
      </c>
      <c r="AG369" s="31" t="str">
        <f t="shared" si="228"/>
        <v>0.0448767663573402i</v>
      </c>
      <c r="AH369" s="31">
        <f t="shared" si="242"/>
        <v>4.4876766357340198E-2</v>
      </c>
      <c r="AI369" s="31">
        <f t="shared" si="243"/>
        <v>1.5707963267948966</v>
      </c>
      <c r="AJ369" s="31" t="str">
        <f t="shared" si="229"/>
        <v>1+0.17509534656988i</v>
      </c>
      <c r="AK369" s="31">
        <f t="shared" si="244"/>
        <v>1.015213465430018</v>
      </c>
      <c r="AL369" s="31">
        <f t="shared" si="245"/>
        <v>0.17333817830292908</v>
      </c>
      <c r="AM369" s="31" t="str">
        <f t="shared" si="230"/>
        <v>1+53.6764512429222i</v>
      </c>
      <c r="AN369" s="31">
        <f t="shared" si="246"/>
        <v>53.685765506638759</v>
      </c>
      <c r="AO369" s="31">
        <f t="shared" si="247"/>
        <v>1.5521683380428586</v>
      </c>
      <c r="AP369" s="58" t="str">
        <f t="shared" si="248"/>
        <v>-0.57357570130124+0.111479887071147i</v>
      </c>
      <c r="AQ369" s="49">
        <f t="shared" si="249"/>
        <v>-4.6671504844949263</v>
      </c>
      <c r="AR369" s="61">
        <f t="shared" si="250"/>
        <v>169.00114881844706</v>
      </c>
      <c r="AS369" s="58" t="str">
        <f t="shared" si="251"/>
        <v>0.00310303955747294-0.00140062803887573i</v>
      </c>
      <c r="AT369" s="64">
        <f t="shared" si="252"/>
        <v>-49.35893579692474</v>
      </c>
      <c r="AU369" s="61">
        <f t="shared" si="253"/>
        <v>-24.293127714776194</v>
      </c>
    </row>
    <row r="370" spans="14:47" x14ac:dyDescent="0.25">
      <c r="N370" s="10">
        <v>52</v>
      </c>
      <c r="O370" s="50">
        <f t="shared" si="221"/>
        <v>33113.11214825909</v>
      </c>
      <c r="P370" s="48" t="str">
        <f t="shared" si="222"/>
        <v>304.285714285714</v>
      </c>
      <c r="Q370" s="17" t="str">
        <f t="shared" si="223"/>
        <v>1+10833.7637556768i</v>
      </c>
      <c r="R370" s="17">
        <f t="shared" si="231"/>
        <v>10833.763801828813</v>
      </c>
      <c r="S370" s="17">
        <f t="shared" si="232"/>
        <v>1.5707040227702094</v>
      </c>
      <c r="T370" s="17" t="str">
        <f t="shared" si="224"/>
        <v>1+0.224700285302925i</v>
      </c>
      <c r="U370" s="17">
        <f t="shared" si="233"/>
        <v>1.0249342506791428</v>
      </c>
      <c r="V370" s="17">
        <f t="shared" si="234"/>
        <v>0.22102915128030579</v>
      </c>
      <c r="W370" s="31" t="str">
        <f t="shared" si="225"/>
        <v>1-0.702188391571643i</v>
      </c>
      <c r="X370" s="17">
        <f t="shared" si="235"/>
        <v>1.22191183694159</v>
      </c>
      <c r="Y370" s="17">
        <f t="shared" si="236"/>
        <v>-0.61219317406760931</v>
      </c>
      <c r="Z370" s="31" t="str">
        <f t="shared" si="226"/>
        <v>0.931153591377409+6.19431917844315i</v>
      </c>
      <c r="AA370" s="17">
        <f t="shared" si="237"/>
        <v>6.2639154763744758</v>
      </c>
      <c r="AB370" s="17">
        <f t="shared" si="238"/>
        <v>1.4215897203586856</v>
      </c>
      <c r="AC370" s="66" t="str">
        <f t="shared" si="239"/>
        <v>-0.00545209650792017+0.00134500175647224i</v>
      </c>
      <c r="AD370" s="64">
        <f t="shared" si="240"/>
        <v>-45.012156198738083</v>
      </c>
      <c r="AE370" s="61">
        <f t="shared" si="241"/>
        <v>166.14214985223938</v>
      </c>
      <c r="AF370" s="31" t="str">
        <f t="shared" si="227"/>
        <v>-0.000495863624968664</v>
      </c>
      <c r="AG370" s="31" t="str">
        <f t="shared" si="228"/>
        <v>0.0459220805296869i</v>
      </c>
      <c r="AH370" s="31">
        <f t="shared" si="242"/>
        <v>4.5922080529686903E-2</v>
      </c>
      <c r="AI370" s="31">
        <f t="shared" si="243"/>
        <v>1.5707963267948966</v>
      </c>
      <c r="AJ370" s="31" t="str">
        <f t="shared" si="229"/>
        <v>1+0.179173841125928i</v>
      </c>
      <c r="AK370" s="31">
        <f t="shared" si="244"/>
        <v>1.0159248325264125</v>
      </c>
      <c r="AL370" s="31">
        <f t="shared" si="245"/>
        <v>0.17729259174139131</v>
      </c>
      <c r="AM370" s="31" t="str">
        <f t="shared" si="230"/>
        <v>1+54.9267364073818i</v>
      </c>
      <c r="AN370" s="31">
        <f t="shared" si="246"/>
        <v>54.935838688109627</v>
      </c>
      <c r="AO370" s="31">
        <f t="shared" si="247"/>
        <v>1.5525922680727677</v>
      </c>
      <c r="AP370" s="58" t="str">
        <f t="shared" si="248"/>
        <v>-0.572772728451266+0.113423824507873i</v>
      </c>
      <c r="AQ370" s="49">
        <f t="shared" si="249"/>
        <v>-4.673302435412678</v>
      </c>
      <c r="AR370" s="61">
        <f t="shared" si="250"/>
        <v>168.79886701949607</v>
      </c>
      <c r="AS370" s="58" t="str">
        <f t="shared" si="251"/>
        <v>0.00297025694943217-0.00138877796334067i</v>
      </c>
      <c r="AT370" s="64">
        <f t="shared" si="252"/>
        <v>-49.685458634150763</v>
      </c>
      <c r="AU370" s="61">
        <f t="shared" si="253"/>
        <v>-25.058983128264426</v>
      </c>
    </row>
    <row r="371" spans="14:47" x14ac:dyDescent="0.25">
      <c r="N371" s="10">
        <v>53</v>
      </c>
      <c r="O371" s="50">
        <f t="shared" si="221"/>
        <v>33884.41561392029</v>
      </c>
      <c r="P371" s="48" t="str">
        <f t="shared" si="222"/>
        <v>304.285714285714</v>
      </c>
      <c r="Q371" s="17" t="str">
        <f t="shared" si="223"/>
        <v>1+11086.1145312093i</v>
      </c>
      <c r="R371" s="17">
        <f t="shared" si="231"/>
        <v>11086.114576310763</v>
      </c>
      <c r="S371" s="17">
        <f t="shared" si="232"/>
        <v>1.5707061238663167</v>
      </c>
      <c r="T371" s="17" t="str">
        <f t="shared" si="224"/>
        <v>1+0.229934227313971i</v>
      </c>
      <c r="U371" s="17">
        <f t="shared" si="233"/>
        <v>1.0260944151931015</v>
      </c>
      <c r="V371" s="17">
        <f t="shared" si="234"/>
        <v>0.22600591897407468</v>
      </c>
      <c r="W371" s="31" t="str">
        <f t="shared" si="225"/>
        <v>1-0.71854446035616i</v>
      </c>
      <c r="X371" s="17">
        <f t="shared" si="235"/>
        <v>1.2313838319177839</v>
      </c>
      <c r="Y371" s="17">
        <f t="shared" si="236"/>
        <v>-0.62306379027015024</v>
      </c>
      <c r="Z371" s="31" t="str">
        <f t="shared" si="226"/>
        <v>0.927908960100506+6.33860340725119i</v>
      </c>
      <c r="AA371" s="17">
        <f t="shared" si="237"/>
        <v>6.4061617363793744</v>
      </c>
      <c r="AB371" s="17">
        <f t="shared" si="238"/>
        <v>1.4254386728689814</v>
      </c>
      <c r="AC371" s="66" t="str">
        <f t="shared" si="239"/>
        <v>-0.00524312795009431+0.00134778596392061i</v>
      </c>
      <c r="AD371" s="64">
        <f t="shared" si="240"/>
        <v>-45.330298551828491</v>
      </c>
      <c r="AE371" s="61">
        <f t="shared" si="241"/>
        <v>165.58380808927171</v>
      </c>
      <c r="AF371" s="31" t="str">
        <f t="shared" si="227"/>
        <v>-0.000495863624968664</v>
      </c>
      <c r="AG371" s="31" t="str">
        <f t="shared" si="228"/>
        <v>0.0469917431969811i</v>
      </c>
      <c r="AH371" s="31">
        <f t="shared" si="242"/>
        <v>4.6991743196981101E-2</v>
      </c>
      <c r="AI371" s="31">
        <f t="shared" si="243"/>
        <v>1.5707963267948966</v>
      </c>
      <c r="AJ371" s="31" t="str">
        <f t="shared" si="229"/>
        <v>1+0.183347336024188i</v>
      </c>
      <c r="AK371" s="31">
        <f t="shared" si="244"/>
        <v>1.0166691918353612</v>
      </c>
      <c r="AL371" s="31">
        <f t="shared" si="245"/>
        <v>0.18133332171723129</v>
      </c>
      <c r="AM371" s="31" t="str">
        <f t="shared" si="230"/>
        <v>1+56.2061444545262i</v>
      </c>
      <c r="AN371" s="31">
        <f t="shared" si="246"/>
        <v>56.215039575215691</v>
      </c>
      <c r="AO371" s="31">
        <f t="shared" si="247"/>
        <v>1.5530065546004181</v>
      </c>
      <c r="AP371" s="58" t="str">
        <f t="shared" si="248"/>
        <v>-0.571934318791343+0.115414777389505i</v>
      </c>
      <c r="AQ371" s="49">
        <f t="shared" si="249"/>
        <v>-4.6797289490050478</v>
      </c>
      <c r="AR371" s="61">
        <f t="shared" si="250"/>
        <v>168.5910871152719</v>
      </c>
      <c r="AS371" s="58" t="str">
        <f t="shared" si="251"/>
        <v>0.00284317039547844-0.00137597949233629i</v>
      </c>
      <c r="AT371" s="64">
        <f t="shared" si="252"/>
        <v>-50.010027500833552</v>
      </c>
      <c r="AU371" s="61">
        <f t="shared" si="253"/>
        <v>-25.825104795456355</v>
      </c>
    </row>
    <row r="372" spans="14:47" x14ac:dyDescent="0.25">
      <c r="N372" s="10">
        <v>54</v>
      </c>
      <c r="O372" s="50">
        <f t="shared" si="221"/>
        <v>34673.685045253202</v>
      </c>
      <c r="P372" s="48" t="str">
        <f t="shared" si="222"/>
        <v>304.285714285714</v>
      </c>
      <c r="Q372" s="17" t="str">
        <f t="shared" si="223"/>
        <v>1+11344.3433114083i</v>
      </c>
      <c r="R372" s="17">
        <f t="shared" si="231"/>
        <v>11344.34335548313</v>
      </c>
      <c r="S372" s="17">
        <f t="shared" si="232"/>
        <v>1.5707081771356384</v>
      </c>
      <c r="T372" s="17" t="str">
        <f t="shared" si="224"/>
        <v>1+0.235290083495876i</v>
      </c>
      <c r="U372" s="17">
        <f t="shared" si="233"/>
        <v>1.0273078522972052</v>
      </c>
      <c r="V372" s="17">
        <f t="shared" si="234"/>
        <v>0.23108684466887924</v>
      </c>
      <c r="W372" s="31" t="str">
        <f t="shared" si="225"/>
        <v>1-0.735281510924612i</v>
      </c>
      <c r="X372" s="17">
        <f t="shared" si="235"/>
        <v>1.2412247581754001</v>
      </c>
      <c r="Y372" s="17">
        <f t="shared" si="236"/>
        <v>-0.63401453692404419</v>
      </c>
      <c r="Z372" s="31" t="str">
        <f t="shared" si="226"/>
        <v>0.924511414062565+6.48624844748703i</v>
      </c>
      <c r="AA372" s="17">
        <f t="shared" si="237"/>
        <v>6.5518043527916694</v>
      </c>
      <c r="AB372" s="17">
        <f t="shared" si="238"/>
        <v>1.4292158943032856</v>
      </c>
      <c r="AC372" s="66" t="str">
        <f t="shared" si="239"/>
        <v>-0.00504311532401268+0.00134837879468473i</v>
      </c>
      <c r="AD372" s="64">
        <f t="shared" si="240"/>
        <v>-45.646153642382608</v>
      </c>
      <c r="AE372" s="61">
        <f t="shared" si="241"/>
        <v>165.03095563168011</v>
      </c>
      <c r="AF372" s="31" t="str">
        <f t="shared" si="227"/>
        <v>-0.000495863624968664</v>
      </c>
      <c r="AG372" s="31" t="str">
        <f t="shared" si="228"/>
        <v>0.0480863215085276i</v>
      </c>
      <c r="AH372" s="31">
        <f t="shared" si="242"/>
        <v>4.8086321508527603E-2</v>
      </c>
      <c r="AI372" s="31">
        <f t="shared" si="243"/>
        <v>1.5707963267948966</v>
      </c>
      <c r="AJ372" s="31" t="str">
        <f t="shared" si="229"/>
        <v>1+0.187618044106895i</v>
      </c>
      <c r="AK372" s="31">
        <f t="shared" si="244"/>
        <v>1.0174480480469246</v>
      </c>
      <c r="AL372" s="31">
        <f t="shared" si="245"/>
        <v>0.18546198261875868</v>
      </c>
      <c r="AM372" s="31" t="str">
        <f t="shared" si="230"/>
        <v>1+57.5153537434362i</v>
      </c>
      <c r="AN372" s="31">
        <f t="shared" si="246"/>
        <v>57.524046417412265</v>
      </c>
      <c r="AO372" s="31">
        <f t="shared" si="247"/>
        <v>1.5534114167168407</v>
      </c>
      <c r="AP372" s="58" t="str">
        <f t="shared" si="248"/>
        <v>-0.571059022799644+0.117452924471031i</v>
      </c>
      <c r="AQ372" s="49">
        <f t="shared" si="249"/>
        <v>-4.6864423952510101</v>
      </c>
      <c r="AR372" s="61">
        <f t="shared" si="250"/>
        <v>168.37772916112945</v>
      </c>
      <c r="AS372" s="58" t="str">
        <f t="shared" si="251"/>
        <v>0.00272154547606615-0.00136233252010638i</v>
      </c>
      <c r="AT372" s="64">
        <f t="shared" si="252"/>
        <v>-50.332596037633614</v>
      </c>
      <c r="AU372" s="61">
        <f t="shared" si="253"/>
        <v>-26.591315207190313</v>
      </c>
    </row>
    <row r="373" spans="14:47" x14ac:dyDescent="0.25">
      <c r="N373" s="10">
        <v>55</v>
      </c>
      <c r="O373" s="50">
        <f t="shared" si="221"/>
        <v>35481.33892335758</v>
      </c>
      <c r="P373" s="48" t="str">
        <f t="shared" si="222"/>
        <v>304.285714285714</v>
      </c>
      <c r="Q373" s="17" t="str">
        <f t="shared" si="223"/>
        <v>1+11608.5870125912i</v>
      </c>
      <c r="R373" s="17">
        <f t="shared" si="231"/>
        <v>11608.587055662763</v>
      </c>
      <c r="S373" s="17">
        <f t="shared" si="232"/>
        <v>1.5707101836668449</v>
      </c>
      <c r="T373" s="17" t="str">
        <f t="shared" si="224"/>
        <v>1+0.240770693594484i</v>
      </c>
      <c r="U373" s="17">
        <f t="shared" si="233"/>
        <v>1.0285769426221691</v>
      </c>
      <c r="V373" s="17">
        <f t="shared" si="234"/>
        <v>0.2362735725259521</v>
      </c>
      <c r="W373" s="31" t="str">
        <f t="shared" si="225"/>
        <v>1-0.752408417482763i</v>
      </c>
      <c r="X373" s="17">
        <f t="shared" si="235"/>
        <v>1.2514465336956733</v>
      </c>
      <c r="Y373" s="17">
        <f t="shared" si="236"/>
        <v>-0.64504071491749082</v>
      </c>
      <c r="Z373" s="31" t="str">
        <f t="shared" si="226"/>
        <v>0.920953746612917+6.63733258250542i</v>
      </c>
      <c r="AA373" s="17">
        <f t="shared" si="237"/>
        <v>6.7009208034559284</v>
      </c>
      <c r="AB373" s="17">
        <f t="shared" si="238"/>
        <v>1.4329230405682756</v>
      </c>
      <c r="AC373" s="66" t="str">
        <f t="shared" si="239"/>
        <v>-0.00485169367012609+0.00134696557536637i</v>
      </c>
      <c r="AD373" s="64">
        <f t="shared" si="240"/>
        <v>-45.959664000048875</v>
      </c>
      <c r="AE373" s="61">
        <f t="shared" si="241"/>
        <v>164.48386098339762</v>
      </c>
      <c r="AF373" s="31" t="str">
        <f t="shared" si="227"/>
        <v>-0.000495863624968664</v>
      </c>
      <c r="AG373" s="31" t="str">
        <f t="shared" si="228"/>
        <v>0.0492063958242355i</v>
      </c>
      <c r="AH373" s="31">
        <f t="shared" si="242"/>
        <v>4.9206395824235499E-2</v>
      </c>
      <c r="AI373" s="31">
        <f t="shared" si="243"/>
        <v>1.5707963267948966</v>
      </c>
      <c r="AJ373" s="31" t="str">
        <f t="shared" si="229"/>
        <v>1+0.191988229760008i</v>
      </c>
      <c r="AK373" s="31">
        <f t="shared" si="244"/>
        <v>1.0182629721080805</v>
      </c>
      <c r="AL373" s="31">
        <f t="shared" si="245"/>
        <v>0.18968020022923782</v>
      </c>
      <c r="AM373" s="31" t="str">
        <f t="shared" si="230"/>
        <v>1+58.8550584342072i</v>
      </c>
      <c r="AN373" s="31">
        <f t="shared" si="246"/>
        <v>58.863553267654041</v>
      </c>
      <c r="AO373" s="31">
        <f t="shared" si="247"/>
        <v>1.5538070685540859</v>
      </c>
      <c r="AP373" s="58" t="str">
        <f t="shared" si="248"/>
        <v>-0.570145342284521+0.119538413931432i</v>
      </c>
      <c r="AQ373" s="49">
        <f t="shared" si="249"/>
        <v>-4.6934556365727333</v>
      </c>
      <c r="AR373" s="61">
        <f t="shared" si="250"/>
        <v>168.15871227541197</v>
      </c>
      <c r="AS373" s="58" t="str">
        <f t="shared" si="251"/>
        <v>0.00260515641971415-0.00134792991522077i</v>
      </c>
      <c r="AT373" s="64">
        <f t="shared" si="252"/>
        <v>-50.653119636621604</v>
      </c>
      <c r="AU373" s="61">
        <f t="shared" si="253"/>
        <v>-27.357426741190412</v>
      </c>
    </row>
    <row r="374" spans="14:47" x14ac:dyDescent="0.25">
      <c r="N374" s="10">
        <v>56</v>
      </c>
      <c r="O374" s="50">
        <f t="shared" si="221"/>
        <v>36307.805477010232</v>
      </c>
      <c r="P374" s="48" t="str">
        <f t="shared" si="222"/>
        <v>304.285714285714</v>
      </c>
      <c r="Q374" s="17" t="str">
        <f t="shared" si="223"/>
        <v>1+11878.985740266i</v>
      </c>
      <c r="R374" s="17">
        <f t="shared" si="231"/>
        <v>11878.985782357136</v>
      </c>
      <c r="S374" s="17">
        <f t="shared" si="232"/>
        <v>1.5707121445238255</v>
      </c>
      <c r="T374" s="17" t="str">
        <f t="shared" si="224"/>
        <v>1+0.246378963501812i</v>
      </c>
      <c r="U374" s="17">
        <f t="shared" si="233"/>
        <v>1.0299041672195657</v>
      </c>
      <c r="V374" s="17">
        <f t="shared" si="234"/>
        <v>0.24156773585314889</v>
      </c>
      <c r="W374" s="31" t="str">
        <f t="shared" si="225"/>
        <v>1-0.769934260943163i</v>
      </c>
      <c r="X374" s="17">
        <f t="shared" si="235"/>
        <v>1.2620613163290024</v>
      </c>
      <c r="Y374" s="17">
        <f t="shared" si="236"/>
        <v>-0.6561374466335459</v>
      </c>
      <c r="Z374" s="31" t="str">
        <f t="shared" si="226"/>
        <v>0.91722841146192+6.79193591911451i</v>
      </c>
      <c r="AA374" s="17">
        <f t="shared" si="237"/>
        <v>6.8535904085487056</v>
      </c>
      <c r="AB374" s="17">
        <f t="shared" si="238"/>
        <v>1.4365617525000938</v>
      </c>
      <c r="AC374" s="66" t="str">
        <f t="shared" si="239"/>
        <v>-0.00466851126715157+0.00134371915901455i</v>
      </c>
      <c r="AD374" s="64">
        <f t="shared" si="240"/>
        <v>-46.270773490358685</v>
      </c>
      <c r="AE374" s="61">
        <f t="shared" si="241"/>
        <v>163.94280311899379</v>
      </c>
      <c r="AF374" s="31" t="str">
        <f t="shared" si="227"/>
        <v>-0.000495863624968664</v>
      </c>
      <c r="AG374" s="31" t="str">
        <f t="shared" si="228"/>
        <v>0.0503525600223333i</v>
      </c>
      <c r="AH374" s="31">
        <f t="shared" si="242"/>
        <v>5.0352560022333299E-2</v>
      </c>
      <c r="AI374" s="31">
        <f t="shared" si="243"/>
        <v>1.5707963267948966</v>
      </c>
      <c r="AJ374" s="31" t="str">
        <f t="shared" si="229"/>
        <v>1+0.196460210113804i</v>
      </c>
      <c r="AK374" s="31">
        <f t="shared" si="244"/>
        <v>1.0191156039223226</v>
      </c>
      <c r="AL374" s="31">
        <f t="shared" si="245"/>
        <v>0.19398961036187351</v>
      </c>
      <c r="AM374" s="31" t="str">
        <f t="shared" si="230"/>
        <v>1+60.2259688559984i</v>
      </c>
      <c r="AN374" s="31">
        <f t="shared" si="246"/>
        <v>60.234270350388485</v>
      </c>
      <c r="AO374" s="31">
        <f t="shared" si="247"/>
        <v>1.5541937193962265</v>
      </c>
      <c r="AP374" s="58" t="str">
        <f t="shared" si="248"/>
        <v>-0.56919172975903+0.121671360275238i</v>
      </c>
      <c r="AQ374" s="49">
        <f t="shared" si="249"/>
        <v>-4.7007820446868616</v>
      </c>
      <c r="AR374" s="61">
        <f t="shared" si="250"/>
        <v>167.93395472402091</v>
      </c>
      <c r="AS374" s="58" t="str">
        <f t="shared" si="251"/>
        <v>0.00249378586564432-0.00133285794876445i</v>
      </c>
      <c r="AT374" s="64">
        <f t="shared" si="252"/>
        <v>-50.97155553504556</v>
      </c>
      <c r="AU374" s="61">
        <f t="shared" si="253"/>
        <v>-28.123242156985377</v>
      </c>
    </row>
    <row r="375" spans="14:47" x14ac:dyDescent="0.25">
      <c r="N375" s="10">
        <v>57</v>
      </c>
      <c r="O375" s="50">
        <f t="shared" si="221"/>
        <v>37153.522909717351</v>
      </c>
      <c r="P375" s="48" t="str">
        <f t="shared" si="222"/>
        <v>304.285714285714</v>
      </c>
      <c r="Q375" s="17" t="str">
        <f t="shared" si="223"/>
        <v>1+12155.6828634172i</v>
      </c>
      <c r="R375" s="17">
        <f t="shared" si="231"/>
        <v>12155.682904550224</v>
      </c>
      <c r="S375" s="17">
        <f t="shared" si="232"/>
        <v>1.5707140607462524</v>
      </c>
      <c r="T375" s="17" t="str">
        <f t="shared" si="224"/>
        <v>1+0.2521178667968i</v>
      </c>
      <c r="U375" s="17">
        <f t="shared" si="233"/>
        <v>1.0312921112653626</v>
      </c>
      <c r="V375" s="17">
        <f t="shared" si="234"/>
        <v>0.24697095408496902</v>
      </c>
      <c r="W375" s="31" t="str">
        <f t="shared" si="225"/>
        <v>1-0.78786833374i</v>
      </c>
      <c r="X375" s="17">
        <f t="shared" si="235"/>
        <v>1.2730815022260924</v>
      </c>
      <c r="Y375" s="17">
        <f t="shared" si="236"/>
        <v>-0.66729968477155777</v>
      </c>
      <c r="Z375" s="31" t="str">
        <f t="shared" si="226"/>
        <v>0.913327506674254+6.95014043004982i</v>
      </c>
      <c r="AA375" s="17">
        <f t="shared" si="237"/>
        <v>7.0098943738019983</v>
      </c>
      <c r="AB375" s="17">
        <f t="shared" si="238"/>
        <v>1.4401336553684789</v>
      </c>
      <c r="AC375" s="66" t="str">
        <f t="shared" si="239"/>
        <v>-0.00449322929560924+0.00133880068118978i</v>
      </c>
      <c r="AD375" s="64">
        <f t="shared" si="240"/>
        <v>-46.57942738870539</v>
      </c>
      <c r="AE375" s="61">
        <f t="shared" si="241"/>
        <v>163.40807083359036</v>
      </c>
      <c r="AF375" s="31" t="str">
        <f t="shared" si="227"/>
        <v>-0.000495863624968664</v>
      </c>
      <c r="AG375" s="31" t="str">
        <f t="shared" si="228"/>
        <v>0.0515254218142497i</v>
      </c>
      <c r="AH375" s="31">
        <f t="shared" si="242"/>
        <v>5.1525421814249697E-2</v>
      </c>
      <c r="AI375" s="31">
        <f t="shared" si="243"/>
        <v>1.5707963267948966</v>
      </c>
      <c r="AJ375" s="31" t="str">
        <f t="shared" si="229"/>
        <v>1+0.20103635627146i</v>
      </c>
      <c r="AK375" s="31">
        <f t="shared" si="244"/>
        <v>1.0200076551393649</v>
      </c>
      <c r="AL375" s="31">
        <f t="shared" si="245"/>
        <v>0.19839185737365364</v>
      </c>
      <c r="AM375" s="31" t="str">
        <f t="shared" si="230"/>
        <v>1+61.6288118836621i</v>
      </c>
      <c r="AN375" s="31">
        <f t="shared" si="246"/>
        <v>61.636924438130514</v>
      </c>
      <c r="AO375" s="31">
        <f t="shared" si="247"/>
        <v>1.5545715737879608</v>
      </c>
      <c r="AP375" s="58" t="str">
        <f t="shared" si="248"/>
        <v>-0.56819658791623+0.123851841075369i</v>
      </c>
      <c r="AQ375" s="49">
        <f t="shared" si="249"/>
        <v>-4.7084355176382564</v>
      </c>
      <c r="AR375" s="61">
        <f t="shared" si="250"/>
        <v>167.70337401178864</v>
      </c>
      <c r="AS375" s="58" t="str">
        <f t="shared" si="251"/>
        <v>0.0023872246252921-0.00131719669958695i</v>
      </c>
      <c r="AT375" s="64">
        <f t="shared" si="252"/>
        <v>-51.287862906343648</v>
      </c>
      <c r="AU375" s="61">
        <f t="shared" si="253"/>
        <v>-28.888555154621134</v>
      </c>
    </row>
    <row r="376" spans="14:47" x14ac:dyDescent="0.25">
      <c r="N376" s="10">
        <v>58</v>
      </c>
      <c r="O376" s="50">
        <f t="shared" si="221"/>
        <v>38018.939632056143</v>
      </c>
      <c r="P376" s="48" t="str">
        <f t="shared" si="222"/>
        <v>304.285714285714</v>
      </c>
      <c r="Q376" s="17" t="str">
        <f t="shared" si="223"/>
        <v>1+12438.825090522i</v>
      </c>
      <c r="R376" s="17">
        <f t="shared" si="231"/>
        <v>12438.825130718722</v>
      </c>
      <c r="S376" s="17">
        <f t="shared" si="232"/>
        <v>1.5707159333501324</v>
      </c>
      <c r="T376" s="17" t="str">
        <f t="shared" si="224"/>
        <v>1+0.257990446321938i</v>
      </c>
      <c r="U376" s="17">
        <f t="shared" si="233"/>
        <v>1.0327434678531706</v>
      </c>
      <c r="V376" s="17">
        <f t="shared" si="234"/>
        <v>0.25248482957300383</v>
      </c>
      <c r="W376" s="31" t="str">
        <f t="shared" si="225"/>
        <v>1-0.806220144756056i</v>
      </c>
      <c r="X376" s="17">
        <f t="shared" si="235"/>
        <v>1.2845197241811726</v>
      </c>
      <c r="Y376" s="17">
        <f t="shared" si="236"/>
        <v>-0.67852222211624791</v>
      </c>
      <c r="Z376" s="31" t="str">
        <f t="shared" si="226"/>
        <v>0.909242757907861+7.11202999743713i</v>
      </c>
      <c r="AA376" s="17">
        <f t="shared" si="237"/>
        <v>7.169915834739867</v>
      </c>
      <c r="AB376" s="17">
        <f t="shared" si="238"/>
        <v>1.4436403584523363</v>
      </c>
      <c r="AC376" s="66" t="str">
        <f t="shared" si="239"/>
        <v>-0.00432552149625216+0.00133236027532242i</v>
      </c>
      <c r="AD376" s="64">
        <f t="shared" si="240"/>
        <v>-46.885572450715209</v>
      </c>
      <c r="AE376" s="61">
        <f t="shared" si="241"/>
        <v>162.87996202352718</v>
      </c>
      <c r="AF376" s="31" t="str">
        <f t="shared" si="227"/>
        <v>-0.000495863624968664</v>
      </c>
      <c r="AG376" s="31" t="str">
        <f t="shared" si="228"/>
        <v>0.0527256030668315i</v>
      </c>
      <c r="AH376" s="31">
        <f t="shared" si="242"/>
        <v>5.2725603066831501E-2</v>
      </c>
      <c r="AI376" s="31">
        <f t="shared" si="243"/>
        <v>1.5707963267948966</v>
      </c>
      <c r="AJ376" s="31" t="str">
        <f t="shared" si="229"/>
        <v>1+0.205719094566242i</v>
      </c>
      <c r="AK376" s="31">
        <f t="shared" si="244"/>
        <v>1.0209409120361248</v>
      </c>
      <c r="AL376" s="31">
        <f t="shared" si="245"/>
        <v>0.20288859255171321</v>
      </c>
      <c r="AM376" s="31" t="str">
        <f t="shared" si="230"/>
        <v>1+63.0643313231403i</v>
      </c>
      <c r="AN376" s="31">
        <f t="shared" si="246"/>
        <v>63.072259236805643</v>
      </c>
      <c r="AO376" s="31">
        <f t="shared" si="247"/>
        <v>1.5549408316408593</v>
      </c>
      <c r="AP376" s="58" t="str">
        <f t="shared" si="248"/>
        <v>-0.567158269218562+0.126079893554184i</v>
      </c>
      <c r="AQ376" s="49">
        <f t="shared" si="249"/>
        <v>-4.7164304969805739</v>
      </c>
      <c r="AR376" s="61">
        <f t="shared" si="250"/>
        <v>167.46688698102108</v>
      </c>
      <c r="AS376" s="58" t="str">
        <f t="shared" si="251"/>
        <v>0.00228527144359359-0.00130102043754124i</v>
      </c>
      <c r="AT376" s="64">
        <f t="shared" si="252"/>
        <v>-51.602002947695766</v>
      </c>
      <c r="AU376" s="61">
        <f t="shared" si="253"/>
        <v>-29.653150995451774</v>
      </c>
    </row>
    <row r="377" spans="14:47" x14ac:dyDescent="0.25">
      <c r="N377" s="10">
        <v>59</v>
      </c>
      <c r="O377" s="50">
        <f t="shared" si="221"/>
        <v>38904.514499428085</v>
      </c>
      <c r="P377" s="48" t="str">
        <f t="shared" si="222"/>
        <v>304.285714285714</v>
      </c>
      <c r="Q377" s="17" t="str">
        <f t="shared" si="223"/>
        <v>1+12728.5625473372i</v>
      </c>
      <c r="R377" s="17">
        <f t="shared" si="231"/>
        <v>12728.562586618933</v>
      </c>
      <c r="S377" s="17">
        <f t="shared" si="232"/>
        <v>1.5707177633283447</v>
      </c>
      <c r="T377" s="17" t="str">
        <f t="shared" si="224"/>
        <v>1+0.263999815796623i</v>
      </c>
      <c r="U377" s="17">
        <f t="shared" si="233"/>
        <v>1.0342610418751403</v>
      </c>
      <c r="V377" s="17">
        <f t="shared" si="234"/>
        <v>0.25811094418154068</v>
      </c>
      <c r="W377" s="31" t="str">
        <f t="shared" si="225"/>
        <v>1-0.824999424364448i</v>
      </c>
      <c r="X377" s="17">
        <f t="shared" si="235"/>
        <v>1.2963888499218399</v>
      </c>
      <c r="Y377" s="17">
        <f t="shared" si="236"/>
        <v>-0.68979970222072451</v>
      </c>
      <c r="Z377" s="31" t="str">
        <f t="shared" si="226"/>
        <v>0.904965500862954+7.27769045726792i</v>
      </c>
      <c r="AA377" s="17">
        <f t="shared" si="237"/>
        <v>7.3337399019573013</v>
      </c>
      <c r="AB377" s="17">
        <f t="shared" si="238"/>
        <v>1.4470834546823637</v>
      </c>
      <c r="AC377" s="66" t="str">
        <f t="shared" si="239"/>
        <v>-0.00416507382509013+0.00132453774907611i</v>
      </c>
      <c r="AD377" s="64">
        <f t="shared" si="240"/>
        <v>-47.189156978356557</v>
      </c>
      <c r="AE377" s="61">
        <f t="shared" si="241"/>
        <v>162.35878289965774</v>
      </c>
      <c r="AF377" s="31" t="str">
        <f t="shared" si="227"/>
        <v>-0.000495863624968664</v>
      </c>
      <c r="AG377" s="31" t="str">
        <f t="shared" si="228"/>
        <v>0.0539537401320653i</v>
      </c>
      <c r="AH377" s="31">
        <f t="shared" si="242"/>
        <v>5.3953740132065303E-2</v>
      </c>
      <c r="AI377" s="31">
        <f t="shared" si="243"/>
        <v>1.5707963267948966</v>
      </c>
      <c r="AJ377" s="31" t="str">
        <f t="shared" si="229"/>
        <v>1+0.210510907847977i</v>
      </c>
      <c r="AK377" s="31">
        <f t="shared" si="244"/>
        <v>1.0219172384899766</v>
      </c>
      <c r="AL377" s="31">
        <f t="shared" si="245"/>
        <v>0.20748147236582079</v>
      </c>
      <c r="AM377" s="31" t="str">
        <f t="shared" si="230"/>
        <v>1+64.5332883058411i</v>
      </c>
      <c r="AN377" s="31">
        <f t="shared" si="246"/>
        <v>64.541035780074111</v>
      </c>
      <c r="AO377" s="31">
        <f t="shared" si="247"/>
        <v>1.5553016883373014</v>
      </c>
      <c r="AP377" s="58" t="str">
        <f t="shared" si="248"/>
        <v>-0.566075075615566+0.128355511000314i</v>
      </c>
      <c r="AQ377" s="49">
        <f t="shared" si="249"/>
        <v>-4.7247819850634762</v>
      </c>
      <c r="AR377" s="61">
        <f t="shared" si="250"/>
        <v>167.22440991757691</v>
      </c>
      <c r="AS377" s="58" t="str">
        <f t="shared" si="251"/>
        <v>0.00218773276086044-0.00128439798563741i</v>
      </c>
      <c r="AT377" s="64">
        <f t="shared" si="252"/>
        <v>-51.91393896342003</v>
      </c>
      <c r="AU377" s="61">
        <f t="shared" si="253"/>
        <v>-30.416807182765421</v>
      </c>
    </row>
    <row r="378" spans="14:47" x14ac:dyDescent="0.25">
      <c r="N378" s="10">
        <v>60</v>
      </c>
      <c r="O378" s="50">
        <f t="shared" si="221"/>
        <v>39810.717055349742</v>
      </c>
      <c r="P378" s="48" t="str">
        <f t="shared" si="222"/>
        <v>304.285714285714</v>
      </c>
      <c r="Q378" s="17" t="str">
        <f t="shared" si="223"/>
        <v>1+13025.0488564974i</v>
      </c>
      <c r="R378" s="17">
        <f t="shared" si="231"/>
        <v>13025.048894884972</v>
      </c>
      <c r="S378" s="17">
        <f t="shared" si="232"/>
        <v>1.5707195516511676</v>
      </c>
      <c r="T378" s="17" t="str">
        <f t="shared" si="224"/>
        <v>1+0.270149161468094i</v>
      </c>
      <c r="U378" s="17">
        <f t="shared" si="233"/>
        <v>1.0358477539879662</v>
      </c>
      <c r="V378" s="17">
        <f t="shared" si="234"/>
        <v>0.26385085568348754</v>
      </c>
      <c r="W378" s="31" t="str">
        <f t="shared" si="225"/>
        <v>1-0.844216129587793i</v>
      </c>
      <c r="X378" s="17">
        <f t="shared" si="235"/>
        <v>1.3087019803821622</v>
      </c>
      <c r="Y378" s="17">
        <f t="shared" si="236"/>
        <v>-0.70112663096036953</v>
      </c>
      <c r="Z378" s="31" t="str">
        <f t="shared" si="226"/>
        <v>0.900486662903881+7.44720964491077i</v>
      </c>
      <c r="AA378" s="17">
        <f t="shared" si="237"/>
        <v>7.5014537074702901</v>
      </c>
      <c r="AB378" s="17">
        <f t="shared" si="238"/>
        <v>1.4504645203465281</v>
      </c>
      <c r="AC378" s="66" t="str">
        <f t="shared" si="239"/>
        <v>-0.00401158410653899+0.00131546322340845i</v>
      </c>
      <c r="AD378" s="64">
        <f t="shared" si="240"/>
        <v>-47.490130881161662</v>
      </c>
      <c r="AE378" s="61">
        <f t="shared" si="241"/>
        <v>161.84484713570743</v>
      </c>
      <c r="AF378" s="31" t="str">
        <f t="shared" si="227"/>
        <v>-0.000495863624968664</v>
      </c>
      <c r="AG378" s="31" t="str">
        <f t="shared" si="228"/>
        <v>0.0552104841844793i</v>
      </c>
      <c r="AH378" s="31">
        <f t="shared" si="242"/>
        <v>5.5210484184479297E-2</v>
      </c>
      <c r="AI378" s="31">
        <f t="shared" si="243"/>
        <v>1.5707963267948966</v>
      </c>
      <c r="AJ378" s="31" t="str">
        <f t="shared" si="229"/>
        <v>1+0.215414336799494i</v>
      </c>
      <c r="AK378" s="31">
        <f t="shared" si="244"/>
        <v>1.0229385790450793</v>
      </c>
      <c r="AL378" s="31">
        <f t="shared" si="245"/>
        <v>0.21217215658050173</v>
      </c>
      <c r="AM378" s="31" t="str">
        <f t="shared" si="230"/>
        <v>1+66.0364616922006i</v>
      </c>
      <c r="AN378" s="31">
        <f t="shared" si="246"/>
        <v>66.044032832841751</v>
      </c>
      <c r="AO378" s="31">
        <f t="shared" si="247"/>
        <v>1.5556543348321494</v>
      </c>
      <c r="AP378" s="58" t="str">
        <f t="shared" si="248"/>
        <v>-0.564945258405277+0.13067863901955i</v>
      </c>
      <c r="AQ378" s="49">
        <f t="shared" si="249"/>
        <v>-4.7335055623797615</v>
      </c>
      <c r="AR378" s="61">
        <f t="shared" si="250"/>
        <v>166.97585866486196</v>
      </c>
      <c r="AS378" s="58" t="str">
        <f t="shared" si="251"/>
        <v>0.00209442247596789-0.0012673930620261i</v>
      </c>
      <c r="AT378" s="64">
        <f t="shared" si="252"/>
        <v>-52.223636443541409</v>
      </c>
      <c r="AU378" s="61">
        <f t="shared" si="253"/>
        <v>-31.179294199430615</v>
      </c>
    </row>
    <row r="379" spans="14:47" x14ac:dyDescent="0.25">
      <c r="N379" s="10">
        <v>61</v>
      </c>
      <c r="O379" s="50">
        <f t="shared" si="221"/>
        <v>40738.027780411358</v>
      </c>
      <c r="P379" s="48" t="str">
        <f t="shared" si="222"/>
        <v>304.285714285714</v>
      </c>
      <c r="Q379" s="17" t="str">
        <f t="shared" si="223"/>
        <v>1+13328.4412189682i</v>
      </c>
      <c r="R379" s="17">
        <f t="shared" si="231"/>
        <v>13328.441256481965</v>
      </c>
      <c r="S379" s="17">
        <f t="shared" si="232"/>
        <v>1.5707212992667938</v>
      </c>
      <c r="T379" s="17" t="str">
        <f t="shared" si="224"/>
        <v>1+0.276441743800822i</v>
      </c>
      <c r="U379" s="17">
        <f t="shared" si="233"/>
        <v>1.037506644660958</v>
      </c>
      <c r="V379" s="17">
        <f t="shared" si="234"/>
        <v>0.26970609395234019</v>
      </c>
      <c r="W379" s="31" t="str">
        <f t="shared" si="225"/>
        <v>1-0.863880449377571i</v>
      </c>
      <c r="X379" s="17">
        <f t="shared" si="235"/>
        <v>1.3214724479976092</v>
      </c>
      <c r="Y379" s="17">
        <f t="shared" si="236"/>
        <v>-0.71249738890547731</v>
      </c>
      <c r="Z379" s="31" t="str">
        <f t="shared" si="226"/>
        <v>0.895796743814841+7.62067744168284i</v>
      </c>
      <c r="AA379" s="17">
        <f t="shared" si="237"/>
        <v>7.673146452166999</v>
      </c>
      <c r="AB379" s="17">
        <f t="shared" si="238"/>
        <v>1.4537851148543965</v>
      </c>
      <c r="AC379" s="66" t="str">
        <f t="shared" si="239"/>
        <v>-0.00386476168606876+0.00130525773599647i</v>
      </c>
      <c r="AD379" s="64">
        <f t="shared" si="240"/>
        <v>-47.788445731972018</v>
      </c>
      <c r="AE379" s="61">
        <f t="shared" si="241"/>
        <v>161.33847495466193</v>
      </c>
      <c r="AF379" s="31" t="str">
        <f t="shared" si="227"/>
        <v>-0.000495863624968664</v>
      </c>
      <c r="AG379" s="31" t="str">
        <f t="shared" si="228"/>
        <v>0.0564965015664052i</v>
      </c>
      <c r="AH379" s="31">
        <f t="shared" si="242"/>
        <v>5.6496501566405198E-2</v>
      </c>
      <c r="AI379" s="31">
        <f t="shared" si="243"/>
        <v>1.5707963267948966</v>
      </c>
      <c r="AJ379" s="31" t="str">
        <f t="shared" si="229"/>
        <v>1+0.220431981283729i</v>
      </c>
      <c r="AK379" s="31">
        <f t="shared" si="244"/>
        <v>1.0240069620723633</v>
      </c>
      <c r="AL379" s="31">
        <f t="shared" si="245"/>
        <v>0.21696230622025656</v>
      </c>
      <c r="AM379" s="31" t="str">
        <f t="shared" si="230"/>
        <v>1+67.5746484846454i</v>
      </c>
      <c r="AN379" s="31">
        <f t="shared" si="246"/>
        <v>67.582047304172335</v>
      </c>
      <c r="AO379" s="31">
        <f t="shared" si="247"/>
        <v>1.5559989577522018</v>
      </c>
      <c r="AP379" s="58" t="str">
        <f t="shared" si="248"/>
        <v>-0.563767018255417+0.13304917161891i</v>
      </c>
      <c r="AQ379" s="49">
        <f t="shared" si="249"/>
        <v>-4.7426174049236804</v>
      </c>
      <c r="AR379" s="61">
        <f t="shared" si="250"/>
        <v>166.72114874611034</v>
      </c>
      <c r="AS379" s="58" t="str">
        <f t="shared" si="251"/>
        <v>0.00200516171149926-0.0012500646027135i</v>
      </c>
      <c r="AT379" s="64">
        <f t="shared" si="252"/>
        <v>-52.531063136895696</v>
      </c>
      <c r="AU379" s="61">
        <f t="shared" si="253"/>
        <v>-31.940376299227768</v>
      </c>
    </row>
    <row r="380" spans="14:47" x14ac:dyDescent="0.25">
      <c r="N380" s="10">
        <v>62</v>
      </c>
      <c r="O380" s="50">
        <f t="shared" si="221"/>
        <v>41686.938347033625</v>
      </c>
      <c r="P380" s="48" t="str">
        <f t="shared" si="222"/>
        <v>304.285714285714</v>
      </c>
      <c r="Q380" s="17" t="str">
        <f t="shared" si="223"/>
        <v>1+13638.9004973962i</v>
      </c>
      <c r="R380" s="17">
        <f t="shared" si="231"/>
        <v>13638.900534056045</v>
      </c>
      <c r="S380" s="17">
        <f t="shared" si="232"/>
        <v>1.5707230071018321</v>
      </c>
      <c r="T380" s="17" t="str">
        <f t="shared" si="224"/>
        <v>1+0.282880899205254i</v>
      </c>
      <c r="U380" s="17">
        <f t="shared" si="233"/>
        <v>1.0392408783026066</v>
      </c>
      <c r="V380" s="17">
        <f t="shared" si="234"/>
        <v>0.27567815694656722</v>
      </c>
      <c r="W380" s="31" t="str">
        <f t="shared" si="225"/>
        <v>1-0.884002810016419i</v>
      </c>
      <c r="X380" s="17">
        <f t="shared" si="235"/>
        <v>1.3347138150618374</v>
      </c>
      <c r="Y380" s="17">
        <f t="shared" si="236"/>
        <v>-0.72390624445166407</v>
      </c>
      <c r="Z380" s="31" t="str">
        <f t="shared" si="226"/>
        <v>0.890885795648658+7.79818582250609i</v>
      </c>
      <c r="AA380" s="17">
        <f t="shared" si="237"/>
        <v>7.8489094543906885</v>
      </c>
      <c r="AB380" s="17">
        <f t="shared" si="238"/>
        <v>1.4570467805565046</v>
      </c>
      <c r="AC380" s="66" t="str">
        <f t="shared" si="239"/>
        <v>-0.00372432708357811+0.00129403381066233i</v>
      </c>
      <c r="AD380" s="64">
        <f t="shared" si="240"/>
        <v>-48.084054816665059</v>
      </c>
      <c r="AE380" s="61">
        <f t="shared" si="241"/>
        <v>160.83999215669314</v>
      </c>
      <c r="AF380" s="31" t="str">
        <f t="shared" si="227"/>
        <v>-0.000495863624968664</v>
      </c>
      <c r="AG380" s="31" t="str">
        <f t="shared" si="228"/>
        <v>0.0578124741412811i</v>
      </c>
      <c r="AH380" s="31">
        <f t="shared" si="242"/>
        <v>5.7812474141281101E-2</v>
      </c>
      <c r="AI380" s="31">
        <f t="shared" si="243"/>
        <v>1.5707963267948966</v>
      </c>
      <c r="AJ380" s="31" t="str">
        <f t="shared" si="229"/>
        <v>1+0.225566501722202i</v>
      </c>
      <c r="AK380" s="31">
        <f t="shared" si="244"/>
        <v>1.025124503023507</v>
      </c>
      <c r="AL380" s="31">
        <f t="shared" si="245"/>
        <v>0.22185358138131467</v>
      </c>
      <c r="AM380" s="31" t="str">
        <f t="shared" si="230"/>
        <v>1+69.1486642501731i</v>
      </c>
      <c r="AN380" s="31">
        <f t="shared" si="246"/>
        <v>69.155894669819489</v>
      </c>
      <c r="AO380" s="31">
        <f t="shared" si="247"/>
        <v>1.5563357394934711</v>
      </c>
      <c r="AP380" s="58" t="str">
        <f t="shared" si="248"/>
        <v>-0.562538505401804+0.135466947123937i</v>
      </c>
      <c r="AQ380" s="49">
        <f t="shared" si="249"/>
        <v>-4.7521343015016191</v>
      </c>
      <c r="AR380" s="61">
        <f t="shared" si="250"/>
        <v>166.46019549533645</v>
      </c>
      <c r="AS380" s="58" t="str">
        <f t="shared" si="251"/>
        <v>0.00191977858141791-0.00123246706589271i</v>
      </c>
      <c r="AT380" s="64">
        <f t="shared" si="252"/>
        <v>-52.836189118166679</v>
      </c>
      <c r="AU380" s="61">
        <f t="shared" si="253"/>
        <v>-32.699812347970365</v>
      </c>
    </row>
    <row r="381" spans="14:47" x14ac:dyDescent="0.25">
      <c r="N381" s="10">
        <v>63</v>
      </c>
      <c r="O381" s="50">
        <f t="shared" si="221"/>
        <v>42657.951880159271</v>
      </c>
      <c r="P381" s="48" t="str">
        <f t="shared" si="222"/>
        <v>304.285714285714</v>
      </c>
      <c r="Q381" s="17" t="str">
        <f t="shared" si="223"/>
        <v>1+13956.5913014i</v>
      </c>
      <c r="R381" s="17">
        <f t="shared" si="231"/>
        <v>13956.591337225367</v>
      </c>
      <c r="S381" s="17">
        <f t="shared" si="232"/>
        <v>1.570724676061799</v>
      </c>
      <c r="T381" s="17" t="str">
        <f t="shared" si="224"/>
        <v>1+0.289470041806814i</v>
      </c>
      <c r="U381" s="17">
        <f t="shared" si="233"/>
        <v>1.0410537474615029</v>
      </c>
      <c r="V381" s="17">
        <f t="shared" si="234"/>
        <v>0.2817685064835263</v>
      </c>
      <c r="W381" s="31" t="str">
        <f t="shared" si="225"/>
        <v>1-0.904593880646296i</v>
      </c>
      <c r="X381" s="17">
        <f t="shared" si="235"/>
        <v>1.3484398721866411</v>
      </c>
      <c r="Y381" s="17">
        <f t="shared" si="236"/>
        <v>-0.73534736763882114</v>
      </c>
      <c r="Z381" s="31" t="str">
        <f t="shared" si="226"/>
        <v>0.885743401625851+7.97982890467361i</v>
      </c>
      <c r="AA381" s="17">
        <f t="shared" si="237"/>
        <v>8.0288361996859905</v>
      </c>
      <c r="AB381" s="17">
        <f t="shared" si="238"/>
        <v>1.4602510426151538</v>
      </c>
      <c r="AC381" s="66" t="str">
        <f t="shared" si="239"/>
        <v>-0.00359001164858641+0.00128189599439871i</v>
      </c>
      <c r="AD381" s="64">
        <f t="shared" si="240"/>
        <v>-48.376913177376323</v>
      </c>
      <c r="AE381" s="61">
        <f t="shared" si="241"/>
        <v>160.34972909263038</v>
      </c>
      <c r="AF381" s="31" t="str">
        <f t="shared" si="227"/>
        <v>-0.000495863624968664</v>
      </c>
      <c r="AG381" s="31" t="str">
        <f t="shared" si="228"/>
        <v>0.0591590996551851i</v>
      </c>
      <c r="AH381" s="31">
        <f t="shared" si="242"/>
        <v>5.91590996551851E-2</v>
      </c>
      <c r="AI381" s="31">
        <f t="shared" si="243"/>
        <v>1.5707963267948966</v>
      </c>
      <c r="AJ381" s="31" t="str">
        <f t="shared" si="229"/>
        <v>1+0.230820620505614i</v>
      </c>
      <c r="AK381" s="31">
        <f t="shared" si="244"/>
        <v>1.0262934077789825</v>
      </c>
      <c r="AL381" s="31">
        <f t="shared" si="245"/>
        <v>0.22684763888341009</v>
      </c>
      <c r="AM381" s="31" t="str">
        <f t="shared" si="230"/>
        <v>1+70.7593435527768i</v>
      </c>
      <c r="AN381" s="31">
        <f t="shared" si="246"/>
        <v>70.766409404603081</v>
      </c>
      <c r="AO381" s="31">
        <f t="shared" si="247"/>
        <v>1.5566648583163321</v>
      </c>
      <c r="AP381" s="58" t="str">
        <f t="shared" si="248"/>
        <v>-0.561257820042096+0.137931743930403i</v>
      </c>
      <c r="AQ381" s="49">
        <f t="shared" si="249"/>
        <v>-4.7620736709347842</v>
      </c>
      <c r="AR381" s="61">
        <f t="shared" si="250"/>
        <v>166.19291419732883</v>
      </c>
      <c r="AS381" s="58" t="str">
        <f t="shared" si="251"/>
        <v>0.00183810796176653-0.0012146507187569i</v>
      </c>
      <c r="AT381" s="64">
        <f t="shared" si="252"/>
        <v>-53.138986848311099</v>
      </c>
      <c r="AU381" s="61">
        <f t="shared" si="253"/>
        <v>-33.457356710040749</v>
      </c>
    </row>
    <row r="382" spans="14:47" x14ac:dyDescent="0.25">
      <c r="N382" s="10">
        <v>64</v>
      </c>
      <c r="O382" s="50">
        <f t="shared" si="221"/>
        <v>43651.583224016598</v>
      </c>
      <c r="P382" s="48" t="str">
        <f t="shared" si="222"/>
        <v>304.285714285714</v>
      </c>
      <c r="Q382" s="17" t="str">
        <f t="shared" si="223"/>
        <v>1+14281.6820748491i</v>
      </c>
      <c r="R382" s="17">
        <f t="shared" si="231"/>
        <v>14281.682109858981</v>
      </c>
      <c r="S382" s="17">
        <f t="shared" si="232"/>
        <v>1.5707263070315995</v>
      </c>
      <c r="T382" s="17" t="str">
        <f t="shared" si="224"/>
        <v>1+0.296212665256129i</v>
      </c>
      <c r="U382" s="17">
        <f t="shared" si="233"/>
        <v>1.0429486770968834</v>
      </c>
      <c r="V382" s="17">
        <f t="shared" si="234"/>
        <v>0.28797856380093573</v>
      </c>
      <c r="W382" s="31" t="str">
        <f t="shared" si="225"/>
        <v>1-0.925664578925405i</v>
      </c>
      <c r="X382" s="17">
        <f t="shared" si="235"/>
        <v>1.3626646369070958</v>
      </c>
      <c r="Y382" s="17">
        <f t="shared" si="236"/>
        <v>-0.74681484458159286</v>
      </c>
      <c r="Z382" s="31" t="str">
        <f t="shared" si="226"/>
        <v>0.880358654039243+8.16570299775189i</v>
      </c>
      <c r="AA382" s="17">
        <f t="shared" si="237"/>
        <v>8.2130223917408127</v>
      </c>
      <c r="AB382" s="17">
        <f t="shared" si="238"/>
        <v>1.4633994089232012</v>
      </c>
      <c r="AC382" s="66" t="str">
        <f t="shared" si="239"/>
        <v>-0.00346155721820838+0.00126894136355212i</v>
      </c>
      <c r="AD382" s="64">
        <f t="shared" si="240"/>
        <v>-48.666977648798081</v>
      </c>
      <c r="AE382" s="61">
        <f t="shared" si="241"/>
        <v>159.86801958746952</v>
      </c>
      <c r="AF382" s="31" t="str">
        <f t="shared" si="227"/>
        <v>-0.000495863624968664</v>
      </c>
      <c r="AG382" s="31" t="str">
        <f t="shared" si="228"/>
        <v>0.0605370921067897i</v>
      </c>
      <c r="AH382" s="31">
        <f t="shared" si="242"/>
        <v>6.0537092106789703E-2</v>
      </c>
      <c r="AI382" s="31">
        <f t="shared" si="243"/>
        <v>1.5707963267948966</v>
      </c>
      <c r="AJ382" s="31" t="str">
        <f t="shared" si="229"/>
        <v>1+0.23619712343729i</v>
      </c>
      <c r="AK382" s="31">
        <f t="shared" si="244"/>
        <v>1.0275159760899342</v>
      </c>
      <c r="AL382" s="31">
        <f t="shared" si="245"/>
        <v>0.23194612975509912</v>
      </c>
      <c r="AM382" s="31" t="str">
        <f t="shared" si="230"/>
        <v>1+72.4075403959427i</v>
      </c>
      <c r="AN382" s="31">
        <f t="shared" si="246"/>
        <v>72.414445424860318</v>
      </c>
      <c r="AO382" s="31">
        <f t="shared" si="247"/>
        <v>1.5569864884385778</v>
      </c>
      <c r="AP382" s="58" t="str">
        <f t="shared" si="248"/>
        <v>-0.559923012944308+0.140443276092796i</v>
      </c>
      <c r="AQ382" s="49">
        <f t="shared" si="249"/>
        <v>-4.7724535790825442</v>
      </c>
      <c r="AR382" s="61">
        <f t="shared" si="250"/>
        <v>165.91922023706411</v>
      </c>
      <c r="AS382" s="58" t="str">
        <f t="shared" si="251"/>
        <v>0.00175999126483143-0.00119666190763761i</v>
      </c>
      <c r="AT382" s="64">
        <f t="shared" si="252"/>
        <v>-53.439431227880632</v>
      </c>
      <c r="AU382" s="61">
        <f t="shared" si="253"/>
        <v>-34.212760175466386</v>
      </c>
    </row>
    <row r="383" spans="14:47" x14ac:dyDescent="0.25">
      <c r="N383" s="10">
        <v>65</v>
      </c>
      <c r="O383" s="50">
        <f t="shared" si="221"/>
        <v>44668.359215096389</v>
      </c>
      <c r="P383" s="48" t="str">
        <f t="shared" si="222"/>
        <v>304.285714285714</v>
      </c>
      <c r="Q383" s="17" t="str">
        <f t="shared" si="223"/>
        <v>1+14614.3451851748i</v>
      </c>
      <c r="R383" s="17">
        <f t="shared" si="231"/>
        <v>14614.345219387758</v>
      </c>
      <c r="S383" s="17">
        <f t="shared" si="232"/>
        <v>1.5707279008759951</v>
      </c>
      <c r="T383" s="17" t="str">
        <f t="shared" si="224"/>
        <v>1+0.303112344581403i</v>
      </c>
      <c r="U383" s="17">
        <f t="shared" si="233"/>
        <v>1.0449292289134395</v>
      </c>
      <c r="V383" s="17">
        <f t="shared" si="234"/>
        <v>0.29430970490485187</v>
      </c>
      <c r="W383" s="31" t="str">
        <f t="shared" si="225"/>
        <v>1-0.947226076816886i</v>
      </c>
      <c r="X383" s="17">
        <f t="shared" si="235"/>
        <v>1.3774023524743628</v>
      </c>
      <c r="Y383" s="17">
        <f t="shared" si="236"/>
        <v>-0.75830269242741299</v>
      </c>
      <c r="Z383" s="31" t="str">
        <f t="shared" si="226"/>
        <v>0.874720131117256+8.35590665464549i</v>
      </c>
      <c r="AA383" s="17">
        <f t="shared" si="237"/>
        <v>8.4015660045571607</v>
      </c>
      <c r="AB383" s="17">
        <f t="shared" si="238"/>
        <v>1.4664933700675868</v>
      </c>
      <c r="AC383" s="66" t="str">
        <f t="shared" si="239"/>
        <v>-0.00333871577876232+0.00125526000067846i</v>
      </c>
      <c r="AD383" s="64">
        <f t="shared" si="240"/>
        <v>-48.954206887205501</v>
      </c>
      <c r="AE383" s="61">
        <f t="shared" si="241"/>
        <v>159.39519981886383</v>
      </c>
      <c r="AF383" s="31" t="str">
        <f t="shared" si="227"/>
        <v>-0.000495863624968664</v>
      </c>
      <c r="AG383" s="31" t="str">
        <f t="shared" si="228"/>
        <v>0.0619471821259326i</v>
      </c>
      <c r="AH383" s="31">
        <f t="shared" si="242"/>
        <v>6.1947182125932601E-2</v>
      </c>
      <c r="AI383" s="31">
        <f t="shared" si="243"/>
        <v>1.5707963267948966</v>
      </c>
      <c r="AJ383" s="31" t="str">
        <f t="shared" si="229"/>
        <v>1+0.241698861210252i</v>
      </c>
      <c r="AK383" s="31">
        <f t="shared" si="244"/>
        <v>1.0287946051133494</v>
      </c>
      <c r="AL383" s="31">
        <f t="shared" si="245"/>
        <v>0.2371506965462995</v>
      </c>
      <c r="AM383" s="31" t="str">
        <f t="shared" si="230"/>
        <v>1+74.0941286754541i</v>
      </c>
      <c r="AN383" s="31">
        <f t="shared" si="246"/>
        <v>74.100876541203945</v>
      </c>
      <c r="AO383" s="31">
        <f t="shared" si="247"/>
        <v>1.557300800126433</v>
      </c>
      <c r="AP383" s="58" t="str">
        <f t="shared" si="248"/>
        <v>-0.55853208629013+0.143001188753386i</v>
      </c>
      <c r="AQ383" s="49">
        <f t="shared" si="249"/>
        <v>-4.7832927556137008</v>
      </c>
      <c r="AR383" s="61">
        <f t="shared" si="250"/>
        <v>165.63902925890014</v>
      </c>
      <c r="AS383" s="58" t="str">
        <f t="shared" si="251"/>
        <v>0.0016852762171503-0.00117854331228819i</v>
      </c>
      <c r="AT383" s="64">
        <f t="shared" si="252"/>
        <v>-53.737499642819202</v>
      </c>
      <c r="AU383" s="61">
        <f t="shared" si="253"/>
        <v>-34.96577092223604</v>
      </c>
    </row>
    <row r="384" spans="14:47" x14ac:dyDescent="0.25">
      <c r="N384" s="10">
        <v>66</v>
      </c>
      <c r="O384" s="50">
        <f t="shared" ref="O384:O418" si="254">10^(4+(N384/100))</f>
        <v>45708.818961487581</v>
      </c>
      <c r="P384" s="48" t="str">
        <f t="shared" si="222"/>
        <v>304.285714285714</v>
      </c>
      <c r="Q384" s="17" t="str">
        <f t="shared" si="223"/>
        <v>1+14954.7570147613i</v>
      </c>
      <c r="R384" s="17">
        <f t="shared" si="231"/>
        <v>14954.757048195475</v>
      </c>
      <c r="S384" s="17">
        <f t="shared" si="232"/>
        <v>1.5707294584400633</v>
      </c>
      <c r="T384" s="17" t="str">
        <f t="shared" si="224"/>
        <v>1+0.310172738083938i</v>
      </c>
      <c r="U384" s="17">
        <f t="shared" si="233"/>
        <v>1.0469991057543875</v>
      </c>
      <c r="V384" s="17">
        <f t="shared" si="234"/>
        <v>0.30076325570427309</v>
      </c>
      <c r="W384" s="31" t="str">
        <f t="shared" si="225"/>
        <v>1-0.969289806512307i</v>
      </c>
      <c r="X384" s="17">
        <f t="shared" si="235"/>
        <v>1.3926674868785678</v>
      </c>
      <c r="Y384" s="17">
        <f t="shared" si="236"/>
        <v>-0.76980487475199255</v>
      </c>
      <c r="Z384" s="31" t="str">
        <f t="shared" si="226"/>
        <v>0.868815872796806+8.55054072385082i</v>
      </c>
      <c r="AA384" s="17">
        <f t="shared" si="237"/>
        <v>8.5945673358846282</v>
      </c>
      <c r="AB384" s="17">
        <f t="shared" si="238"/>
        <v>1.4695343993345236</v>
      </c>
      <c r="AC384" s="66" t="str">
        <f t="shared" si="239"/>
        <v>-0.00322124913175408+0.00124093544353815i</v>
      </c>
      <c r="AD384" s="64">
        <f t="shared" si="240"/>
        <v>-49.238561391946753</v>
      </c>
      <c r="AE384" s="61">
        <f t="shared" si="241"/>
        <v>158.931607155937</v>
      </c>
      <c r="AF384" s="31" t="str">
        <f t="shared" si="227"/>
        <v>-0.000495863624968664</v>
      </c>
      <c r="AG384" s="31" t="str">
        <f t="shared" si="228"/>
        <v>0.0633901173610064i</v>
      </c>
      <c r="AH384" s="31">
        <f t="shared" si="242"/>
        <v>6.3390117361006401E-2</v>
      </c>
      <c r="AI384" s="31">
        <f t="shared" si="243"/>
        <v>1.5707963267948966</v>
      </c>
      <c r="AJ384" s="31" t="str">
        <f t="shared" si="229"/>
        <v>1+0.247328750918688i</v>
      </c>
      <c r="AK384" s="31">
        <f t="shared" si="244"/>
        <v>1.0301317930396083</v>
      </c>
      <c r="AL384" s="31">
        <f t="shared" si="245"/>
        <v>0.24246297046187298</v>
      </c>
      <c r="AM384" s="31" t="str">
        <f t="shared" si="230"/>
        <v>1+75.8200026427404i</v>
      </c>
      <c r="AN384" s="31">
        <f t="shared" si="246"/>
        <v>75.826596921826592</v>
      </c>
      <c r="AO384" s="31">
        <f t="shared" si="247"/>
        <v>1.557607959783561</v>
      </c>
      <c r="AP384" s="58" t="str">
        <f t="shared" si="248"/>
        <v>-0.557082994774414+0.145605053417177i</v>
      </c>
      <c r="AQ384" s="49">
        <f t="shared" si="249"/>
        <v>-4.7946106104402624</v>
      </c>
      <c r="AR384" s="61">
        <f t="shared" si="250"/>
        <v>165.35225733591042</v>
      </c>
      <c r="AS384" s="58" t="str">
        <f t="shared" si="251"/>
        <v>0.0016138166416884-0.00116033418510704i</v>
      </c>
      <c r="AT384" s="64">
        <f t="shared" si="252"/>
        <v>-54.033172002387019</v>
      </c>
      <c r="AU384" s="61">
        <f t="shared" si="253"/>
        <v>-35.716135508152711</v>
      </c>
    </row>
    <row r="385" spans="14:47" x14ac:dyDescent="0.25">
      <c r="N385" s="10">
        <v>67</v>
      </c>
      <c r="O385" s="50">
        <f t="shared" si="254"/>
        <v>46773.514128719893</v>
      </c>
      <c r="P385" s="48" t="str">
        <f t="shared" si="222"/>
        <v>304.285714285714</v>
      </c>
      <c r="Q385" s="17" t="str">
        <f t="shared" si="223"/>
        <v>1+15303.0980544668i</v>
      </c>
      <c r="R385" s="17">
        <f t="shared" si="231"/>
        <v>15303.098087139922</v>
      </c>
      <c r="S385" s="17">
        <f t="shared" si="232"/>
        <v>1.570730980549645</v>
      </c>
      <c r="T385" s="17" t="str">
        <f t="shared" si="224"/>
        <v>1+0.317397589277828i</v>
      </c>
      <c r="U385" s="17">
        <f t="shared" si="233"/>
        <v>1.0491621560461362</v>
      </c>
      <c r="V385" s="17">
        <f t="shared" si="234"/>
        <v>0.30734048693374444</v>
      </c>
      <c r="W385" s="31" t="str">
        <f t="shared" si="225"/>
        <v>1-0.991867466493215i</v>
      </c>
      <c r="X385" s="17">
        <f t="shared" si="235"/>
        <v>1.4084747321438424</v>
      </c>
      <c r="Y385" s="17">
        <f t="shared" si="236"/>
        <v>-0.78131531729711445</v>
      </c>
      <c r="Z385" s="31" t="str">
        <f t="shared" si="226"/>
        <v>0.862633355354394+8.74970840292777i</v>
      </c>
      <c r="AA385" s="17">
        <f t="shared" si="237"/>
        <v>8.792129061952787</v>
      </c>
      <c r="AB385" s="17">
        <f t="shared" si="238"/>
        <v>1.4725239527534475</v>
      </c>
      <c r="AC385" s="66" t="str">
        <f t="shared" si="239"/>
        <v>-0.00310892856488277+0.00122604510764985i</v>
      </c>
      <c r="AD385" s="64">
        <f t="shared" si="240"/>
        <v>-49.520003519216587</v>
      </c>
      <c r="AE385" s="61">
        <f t="shared" si="241"/>
        <v>158.47757896411571</v>
      </c>
      <c r="AF385" s="31" t="str">
        <f t="shared" si="227"/>
        <v>-0.000495863624968664</v>
      </c>
      <c r="AG385" s="31" t="str">
        <f t="shared" si="228"/>
        <v>0.0648666628753724i</v>
      </c>
      <c r="AH385" s="31">
        <f t="shared" si="242"/>
        <v>6.4866662875372405E-2</v>
      </c>
      <c r="AI385" s="31">
        <f t="shared" si="243"/>
        <v>1.5707963267948966</v>
      </c>
      <c r="AJ385" s="31" t="str">
        <f t="shared" si="229"/>
        <v>1+0.253089777604647i</v>
      </c>
      <c r="AK385" s="31">
        <f t="shared" si="244"/>
        <v>1.0315301428111394</v>
      </c>
      <c r="AL385" s="31">
        <f t="shared" si="245"/>
        <v>0.24788456831036093</v>
      </c>
      <c r="AM385" s="31" t="str">
        <f t="shared" si="230"/>
        <v>1+77.5860773790247i</v>
      </c>
      <c r="AN385" s="31">
        <f t="shared" si="246"/>
        <v>77.59252156660466</v>
      </c>
      <c r="AO385" s="31">
        <f t="shared" si="247"/>
        <v>1.5579081300381079</v>
      </c>
      <c r="AP385" s="58" t="str">
        <f t="shared" si="248"/>
        <v>-0.555573646982747+0.148254363079818i</v>
      </c>
      <c r="AQ385" s="49">
        <f t="shared" si="249"/>
        <v>-4.8064272497254574</v>
      </c>
      <c r="AR385" s="61">
        <f t="shared" si="250"/>
        <v>165.05882114969583</v>
      </c>
      <c r="AS385" s="58" t="str">
        <f t="shared" si="251"/>
        <v>0.001545472244459-0.00114207057606973i</v>
      </c>
      <c r="AT385" s="64">
        <f t="shared" si="252"/>
        <v>-54.326430768942053</v>
      </c>
      <c r="AU385" s="61">
        <f t="shared" si="253"/>
        <v>-36.463599886188518</v>
      </c>
    </row>
    <row r="386" spans="14:47" x14ac:dyDescent="0.25">
      <c r="N386" s="10">
        <v>68</v>
      </c>
      <c r="O386" s="50">
        <f t="shared" si="254"/>
        <v>47863.009232263823</v>
      </c>
      <c r="P386" s="48" t="str">
        <f t="shared" si="222"/>
        <v>304.285714285714</v>
      </c>
      <c r="Q386" s="17" t="str">
        <f t="shared" si="223"/>
        <v>1+15659.552999321i</v>
      </c>
      <c r="R386" s="17">
        <f t="shared" si="231"/>
        <v>15659.553031250392</v>
      </c>
      <c r="S386" s="17">
        <f t="shared" si="232"/>
        <v>1.5707324680117829</v>
      </c>
      <c r="T386" s="17" t="str">
        <f t="shared" si="224"/>
        <v>1+0.324790728874806i</v>
      </c>
      <c r="U386" s="17">
        <f t="shared" si="233"/>
        <v>1.0514223782871599</v>
      </c>
      <c r="V386" s="17">
        <f t="shared" si="234"/>
        <v>0.31404260886666774</v>
      </c>
      <c r="W386" s="31" t="str">
        <f t="shared" si="225"/>
        <v>1-1.01497102773377i</v>
      </c>
      <c r="X386" s="17">
        <f t="shared" si="235"/>
        <v>1.4248390039365659</v>
      </c>
      <c r="Y386" s="17">
        <f t="shared" si="236"/>
        <v>-0.79282792395136903</v>
      </c>
      <c r="Z386" s="31" t="str">
        <f t="shared" si="226"/>
        <v>0.856159464841624+8.95351529321599i</v>
      </c>
      <c r="AA386" s="17">
        <f t="shared" si="237"/>
        <v>8.994356293537102</v>
      </c>
      <c r="AB386" s="17">
        <f t="shared" si="238"/>
        <v>1.4754634691769704</v>
      </c>
      <c r="AC386" s="66" t="str">
        <f t="shared" si="239"/>
        <v>-0.00300153452862433+0.00121066068377092i</v>
      </c>
      <c r="AD386" s="64">
        <f t="shared" si="240"/>
        <v>-49.798497488026392</v>
      </c>
      <c r="AE386" s="61">
        <f t="shared" si="241"/>
        <v>158.03345138199128</v>
      </c>
      <c r="AF386" s="31" t="str">
        <f t="shared" si="227"/>
        <v>-0.000495863624968664</v>
      </c>
      <c r="AG386" s="31" t="str">
        <f t="shared" si="228"/>
        <v>0.0663776015530066i</v>
      </c>
      <c r="AH386" s="31">
        <f t="shared" si="242"/>
        <v>6.6377601553006593E-2</v>
      </c>
      <c r="AI386" s="31">
        <f t="shared" si="243"/>
        <v>1.5707963267948966</v>
      </c>
      <c r="AJ386" s="31" t="str">
        <f t="shared" si="229"/>
        <v>1+0.258984995840729i</v>
      </c>
      <c r="AK386" s="31">
        <f t="shared" si="244"/>
        <v>1.0329923659304663</v>
      </c>
      <c r="AL386" s="31">
        <f t="shared" si="245"/>
        <v>0.25341708926221612</v>
      </c>
      <c r="AM386" s="31" t="str">
        <f t="shared" si="230"/>
        <v>1+79.3932892805081i</v>
      </c>
      <c r="AN386" s="31">
        <f t="shared" si="246"/>
        <v>79.399586792239944</v>
      </c>
      <c r="AO386" s="31">
        <f t="shared" si="247"/>
        <v>1.5582014698278235</v>
      </c>
      <c r="AP386" s="58" t="str">
        <f t="shared" si="248"/>
        <v>-0.554001907069975+0.150948527217386i</v>
      </c>
      <c r="AQ386" s="49">
        <f t="shared" si="249"/>
        <v>-4.8187634913683199</v>
      </c>
      <c r="AR386" s="61">
        <f t="shared" si="250"/>
        <v>164.75863818100066</v>
      </c>
      <c r="AS386" s="58" t="str">
        <f t="shared" si="251"/>
        <v>0.00148010840581904-0.0011237855441117i</v>
      </c>
      <c r="AT386" s="64">
        <f t="shared" si="252"/>
        <v>-54.617260979394729</v>
      </c>
      <c r="AU386" s="61">
        <f t="shared" si="253"/>
        <v>-37.207910437008032</v>
      </c>
    </row>
    <row r="387" spans="14:47" x14ac:dyDescent="0.25">
      <c r="N387" s="10">
        <v>69</v>
      </c>
      <c r="O387" s="50">
        <f t="shared" si="254"/>
        <v>48977.881936844598</v>
      </c>
      <c r="P387" s="48" t="str">
        <f t="shared" si="222"/>
        <v>304.285714285714</v>
      </c>
      <c r="Q387" s="17" t="str">
        <f t="shared" si="223"/>
        <v>1+16024.3108464542i</v>
      </c>
      <c r="R387" s="17">
        <f t="shared" si="231"/>
        <v>16024.310877656791</v>
      </c>
      <c r="S387" s="17">
        <f t="shared" si="232"/>
        <v>1.5707339216151492</v>
      </c>
      <c r="T387" s="17" t="str">
        <f t="shared" si="224"/>
        <v>1+0.332356076815347i</v>
      </c>
      <c r="U387" s="17">
        <f t="shared" si="233"/>
        <v>1.0537839255730221</v>
      </c>
      <c r="V387" s="17">
        <f t="shared" si="234"/>
        <v>0.32087076582364643</v>
      </c>
      <c r="W387" s="31" t="str">
        <f t="shared" si="225"/>
        <v>1-1.03861274004796i</v>
      </c>
      <c r="X387" s="17">
        <f t="shared" si="235"/>
        <v>1.4417754415268458</v>
      </c>
      <c r="Y387" s="17">
        <f t="shared" si="236"/>
        <v>-0.80433659287178449</v>
      </c>
      <c r="Z387" s="31" t="str">
        <f t="shared" si="226"/>
        <v>0.849380469268746+9.16206945582647i</v>
      </c>
      <c r="AA387" s="17">
        <f t="shared" si="237"/>
        <v>9.2013566333972481</v>
      </c>
      <c r="AB387" s="17">
        <f t="shared" si="238"/>
        <v>1.4783543703942634</v>
      </c>
      <c r="AC387" s="66" t="str">
        <f t="shared" si="239"/>
        <v>-0.00289885631886621+0.00119484851162243i</v>
      </c>
      <c r="AD387" s="64">
        <f t="shared" si="240"/>
        <v>-50.074009378380211</v>
      </c>
      <c r="AE387" s="61">
        <f t="shared" si="241"/>
        <v>157.59955807644775</v>
      </c>
      <c r="AF387" s="31" t="str">
        <f t="shared" si="227"/>
        <v>-0.000495863624968664</v>
      </c>
      <c r="AG387" s="31" t="str">
        <f t="shared" si="228"/>
        <v>0.0679237345135958i</v>
      </c>
      <c r="AH387" s="31">
        <f t="shared" si="242"/>
        <v>6.7923734513595804E-2</v>
      </c>
      <c r="AI387" s="31">
        <f t="shared" si="243"/>
        <v>1.5707963267948966</v>
      </c>
      <c r="AJ387" s="31" t="str">
        <f t="shared" si="229"/>
        <v>1+0.265017531349677i</v>
      </c>
      <c r="AK387" s="31">
        <f t="shared" si="244"/>
        <v>1.0345212863555187</v>
      </c>
      <c r="AL387" s="31">
        <f t="shared" si="245"/>
        <v>0.25906211141237817</v>
      </c>
      <c r="AM387" s="31" t="str">
        <f t="shared" si="230"/>
        <v>1+81.2425965548625i</v>
      </c>
      <c r="AN387" s="31">
        <f t="shared" si="246"/>
        <v>81.248750728710618</v>
      </c>
      <c r="AO387" s="31">
        <f t="shared" si="247"/>
        <v>1.5584881344833004</v>
      </c>
      <c r="AP387" s="58" t="str">
        <f t="shared" si="248"/>
        <v>-0.55236559676332+0.153686866649106i</v>
      </c>
      <c r="AQ387" s="49">
        <f t="shared" si="249"/>
        <v>-4.8316408798580133</v>
      </c>
      <c r="AR387" s="61">
        <f t="shared" si="250"/>
        <v>164.45162691143304</v>
      </c>
      <c r="AS387" s="58" t="str">
        <f t="shared" si="251"/>
        <v>0.00141759597663006-0.0011055093556766i</v>
      </c>
      <c r="AT387" s="64">
        <f t="shared" si="252"/>
        <v>-54.905650258238197</v>
      </c>
      <c r="AU387" s="61">
        <f t="shared" si="253"/>
        <v>-37.948815012119191</v>
      </c>
    </row>
    <row r="388" spans="14:47" x14ac:dyDescent="0.25">
      <c r="N388" s="10">
        <v>70</v>
      </c>
      <c r="O388" s="50">
        <f t="shared" si="254"/>
        <v>50118.723362727294</v>
      </c>
      <c r="P388" s="48" t="str">
        <f t="shared" si="222"/>
        <v>304.285714285714</v>
      </c>
      <c r="Q388" s="17" t="str">
        <f t="shared" si="223"/>
        <v>1+16397.5649953051i</v>
      </c>
      <c r="R388" s="17">
        <f t="shared" si="231"/>
        <v>16397.56502579743</v>
      </c>
      <c r="S388" s="17">
        <f t="shared" si="232"/>
        <v>1.5707353421304635</v>
      </c>
      <c r="T388" s="17" t="str">
        <f t="shared" si="224"/>
        <v>1+0.340097644347069i</v>
      </c>
      <c r="U388" s="17">
        <f t="shared" si="233"/>
        <v>1.0562511101487304</v>
      </c>
      <c r="V388" s="17">
        <f t="shared" si="234"/>
        <v>0.32782603048180453</v>
      </c>
      <c r="W388" s="31" t="str">
        <f t="shared" si="225"/>
        <v>1-1.06280513858459i</v>
      </c>
      <c r="X388" s="17">
        <f t="shared" si="235"/>
        <v>1.4592994081413895</v>
      </c>
      <c r="Y388" s="17">
        <f t="shared" si="236"/>
        <v>-0.81583523264241886</v>
      </c>
      <c r="Z388" s="31" t="str">
        <f t="shared" si="226"/>
        <v>0.842281989477273+9.37548146893679i</v>
      </c>
      <c r="AA388" s="17">
        <f t="shared" si="237"/>
        <v>9.4132402351249365</v>
      </c>
      <c r="AB388" s="17">
        <f t="shared" si="238"/>
        <v>1.4811980612754228</v>
      </c>
      <c r="AC388" s="66" t="str">
        <f t="shared" si="239"/>
        <v>-0.00280069176599349+0.00117866993112447i</v>
      </c>
      <c r="AD388" s="64">
        <f t="shared" si="240"/>
        <v>-50.346507121760865</v>
      </c>
      <c r="AE388" s="61">
        <f t="shared" si="241"/>
        <v>157.17622898249564</v>
      </c>
      <c r="AF388" s="31" t="str">
        <f t="shared" si="227"/>
        <v>-0.000495863624968664</v>
      </c>
      <c r="AG388" s="31" t="str">
        <f t="shared" si="228"/>
        <v>0.0695058815373011i</v>
      </c>
      <c r="AH388" s="31">
        <f t="shared" si="242"/>
        <v>6.9505881537301098E-2</v>
      </c>
      <c r="AI388" s="31">
        <f t="shared" si="243"/>
        <v>1.5707963267948966</v>
      </c>
      <c r="AJ388" s="31" t="str">
        <f t="shared" si="229"/>
        <v>1+0.271190582661671i</v>
      </c>
      <c r="AK388" s="31">
        <f t="shared" si="244"/>
        <v>1.0361198444795738</v>
      </c>
      <c r="AL388" s="31">
        <f t="shared" si="245"/>
        <v>0.2648211881423933</v>
      </c>
      <c r="AM388" s="31" t="str">
        <f t="shared" si="230"/>
        <v>1+83.1349797292835i</v>
      </c>
      <c r="AN388" s="31">
        <f t="shared" si="246"/>
        <v>83.14099382728341</v>
      </c>
      <c r="AO388" s="31">
        <f t="shared" si="247"/>
        <v>1.5587682758093682</v>
      </c>
      <c r="AP388" s="58" t="str">
        <f t="shared" si="248"/>
        <v>-0.550662497714112+0.156468608286291i</v>
      </c>
      <c r="AQ388" s="49">
        <f t="shared" si="249"/>
        <v>-4.8450817003863733</v>
      </c>
      <c r="AR388" s="61">
        <f t="shared" si="250"/>
        <v>164.13770703656195</v>
      </c>
      <c r="AS388" s="58" t="str">
        <f t="shared" si="251"/>
        <v>0.00135781107943738-0.0010872696711174i</v>
      </c>
      <c r="AT388" s="64">
        <f t="shared" si="252"/>
        <v>-55.191588822147224</v>
      </c>
      <c r="AU388" s="61">
        <f t="shared" si="253"/>
        <v>-38.686063980942428</v>
      </c>
    </row>
    <row r="389" spans="14:47" x14ac:dyDescent="0.25">
      <c r="N389" s="10">
        <v>71</v>
      </c>
      <c r="O389" s="50">
        <f t="shared" si="254"/>
        <v>51286.138399136544</v>
      </c>
      <c r="P389" s="48" t="str">
        <f t="shared" si="222"/>
        <v>304.285714285714</v>
      </c>
      <c r="Q389" s="17" t="str">
        <f t="shared" si="223"/>
        <v>1+16779.513350164i</v>
      </c>
      <c r="R389" s="17">
        <f t="shared" si="231"/>
        <v>16779.513379962242</v>
      </c>
      <c r="S389" s="17">
        <f t="shared" si="232"/>
        <v>1.5707367303109017</v>
      </c>
      <c r="T389" s="17" t="str">
        <f t="shared" si="224"/>
        <v>1+0.348019536151549i</v>
      </c>
      <c r="U389" s="17">
        <f t="shared" si="233"/>
        <v>1.0588284079789034</v>
      </c>
      <c r="V389" s="17">
        <f t="shared" si="234"/>
        <v>0.33490939799289643</v>
      </c>
      <c r="W389" s="31" t="str">
        <f t="shared" si="225"/>
        <v>1-1.08756105047359i</v>
      </c>
      <c r="X389" s="17">
        <f t="shared" si="235"/>
        <v>1.4774264917440794</v>
      </c>
      <c r="Y389" s="17">
        <f t="shared" si="236"/>
        <v>-0.82731777836567721</v>
      </c>
      <c r="Z389" s="31" t="str">
        <f t="shared" si="226"/>
        <v>0.83484896863986+9.59386448642111i</v>
      </c>
      <c r="AA389" s="17">
        <f t="shared" si="237"/>
        <v>9.6301198634415357</v>
      </c>
      <c r="AB389" s="17">
        <f t="shared" si="238"/>
        <v>1.4839959299445327</v>
      </c>
      <c r="AC389" s="66" t="str">
        <f t="shared" si="239"/>
        <v>-0.00270684693075758+0.00116218161235622i</v>
      </c>
      <c r="AD389" s="64">
        <f t="shared" si="240"/>
        <v>-50.61596048413076</v>
      </c>
      <c r="AE389" s="61">
        <f t="shared" si="241"/>
        <v>156.76378903436043</v>
      </c>
      <c r="AF389" s="31" t="str">
        <f t="shared" si="227"/>
        <v>-0.000495863624968664</v>
      </c>
      <c r="AG389" s="31" t="str">
        <f t="shared" si="228"/>
        <v>0.0711248814994164i</v>
      </c>
      <c r="AH389" s="31">
        <f t="shared" si="242"/>
        <v>7.1124881499416398E-2</v>
      </c>
      <c r="AI389" s="31">
        <f t="shared" si="243"/>
        <v>1.5707963267948966</v>
      </c>
      <c r="AJ389" s="31" t="str">
        <f t="shared" si="229"/>
        <v>1+0.277507422810223i</v>
      </c>
      <c r="AK389" s="31">
        <f t="shared" si="244"/>
        <v>1.0377911011927072</v>
      </c>
      <c r="AL389" s="31">
        <f t="shared" si="245"/>
        <v>0.27069584427792109</v>
      </c>
      <c r="AM389" s="31" t="str">
        <f t="shared" si="230"/>
        <v>1+85.0714421703785i</v>
      </c>
      <c r="AN389" s="31">
        <f t="shared" si="246"/>
        <v>85.077319380361615</v>
      </c>
      <c r="AO389" s="31">
        <f t="shared" si="247"/>
        <v>1.5590420421646829</v>
      </c>
      <c r="AP389" s="58" t="str">
        <f t="shared" si="248"/>
        <v>-0.548890354222865+0.159292879783254i</v>
      </c>
      <c r="AQ389" s="49">
        <f t="shared" si="249"/>
        <v>-4.8591089920950994</v>
      </c>
      <c r="AR389" s="61">
        <f t="shared" si="250"/>
        <v>163.81679969063782</v>
      </c>
      <c r="AS389" s="58" t="str">
        <f t="shared" si="251"/>
        <v>0.00130063491478724-0.00106909171961034i</v>
      </c>
      <c r="AT389" s="64">
        <f t="shared" si="252"/>
        <v>-55.475069476225855</v>
      </c>
      <c r="AU389" s="61">
        <f t="shared" si="253"/>
        <v>-39.419411275001565</v>
      </c>
    </row>
    <row r="390" spans="14:47" x14ac:dyDescent="0.25">
      <c r="N390" s="10">
        <v>72</v>
      </c>
      <c r="O390" s="50">
        <f t="shared" si="254"/>
        <v>52480.746024977314</v>
      </c>
      <c r="P390" s="48" t="str">
        <f t="shared" si="222"/>
        <v>304.285714285714</v>
      </c>
      <c r="Q390" s="17" t="str">
        <f t="shared" si="223"/>
        <v>1+17170.3584251042i</v>
      </c>
      <c r="R390" s="17">
        <f t="shared" si="231"/>
        <v>17170.358454224152</v>
      </c>
      <c r="S390" s="17">
        <f t="shared" si="232"/>
        <v>1.5707380868924956</v>
      </c>
      <c r="T390" s="17" t="str">
        <f t="shared" si="224"/>
        <v>1+0.356125952520678i</v>
      </c>
      <c r="U390" s="17">
        <f t="shared" si="233"/>
        <v>1.0615204633254887</v>
      </c>
      <c r="V390" s="17">
        <f t="shared" si="234"/>
        <v>0.3421217799199946</v>
      </c>
      <c r="W390" s="31" t="str">
        <f t="shared" si="225"/>
        <v>1-1.11289360162712i</v>
      </c>
      <c r="X390" s="17">
        <f t="shared" si="235"/>
        <v>1.4961725062781306</v>
      </c>
      <c r="Y390" s="17">
        <f t="shared" si="236"/>
        <v>-0.83877820758285393</v>
      </c>
      <c r="Z390" s="31" t="str">
        <f t="shared" si="226"/>
        <v>0.827065640322749+9.8173342978459i</v>
      </c>
      <c r="AA390" s="17">
        <f t="shared" si="237"/>
        <v>9.8521109559862321</v>
      </c>
      <c r="AB390" s="17">
        <f t="shared" si="238"/>
        <v>1.4867493479792737</v>
      </c>
      <c r="AC390" s="66" t="str">
        <f t="shared" si="239"/>
        <v>-0.0026171358071979+0.00114543586540366i</v>
      </c>
      <c r="AD390" s="64">
        <f t="shared" si="240"/>
        <v>-50.882341041747232</v>
      </c>
      <c r="AE390" s="61">
        <f t="shared" si="241"/>
        <v>156.36255689444127</v>
      </c>
      <c r="AF390" s="31" t="str">
        <f t="shared" si="227"/>
        <v>-0.000495863624968664</v>
      </c>
      <c r="AG390" s="31" t="str">
        <f t="shared" si="228"/>
        <v>0.0727815928151519i</v>
      </c>
      <c r="AH390" s="31">
        <f t="shared" si="242"/>
        <v>7.2781592815151896E-2</v>
      </c>
      <c r="AI390" s="31">
        <f t="shared" si="243"/>
        <v>1.5707963267948966</v>
      </c>
      <c r="AJ390" s="31" t="str">
        <f t="shared" si="229"/>
        <v>1+0.283971401067593i</v>
      </c>
      <c r="AK390" s="31">
        <f t="shared" si="244"/>
        <v>1.0395382420210868</v>
      </c>
      <c r="AL390" s="31">
        <f t="shared" si="245"/>
        <v>0.27668757203813721</v>
      </c>
      <c r="AM390" s="31" t="str">
        <f t="shared" si="230"/>
        <v>1+87.0530106161657i</v>
      </c>
      <c r="AN390" s="31">
        <f t="shared" si="246"/>
        <v>87.05875405344517</v>
      </c>
      <c r="AO390" s="31">
        <f t="shared" si="247"/>
        <v>1.5593095785395494</v>
      </c>
      <c r="AP390" s="58" t="str">
        <f t="shared" si="248"/>
        <v>-0.547046876362489+0.162158704108671i</v>
      </c>
      <c r="AQ390" s="49">
        <f t="shared" si="249"/>
        <v>-4.8737465603286294</v>
      </c>
      <c r="AR390" s="61">
        <f t="shared" si="250"/>
        <v>163.48882768313217</v>
      </c>
      <c r="AS390" s="58" t="str">
        <f t="shared" si="251"/>
        <v>0.00124595357277058-0.00105099846321425i</v>
      </c>
      <c r="AT390" s="64">
        <f t="shared" si="252"/>
        <v>-55.756087602075866</v>
      </c>
      <c r="AU390" s="61">
        <f t="shared" si="253"/>
        <v>-40.148615422426595</v>
      </c>
    </row>
    <row r="391" spans="14:47" x14ac:dyDescent="0.25">
      <c r="N391" s="10">
        <v>73</v>
      </c>
      <c r="O391" s="50">
        <f t="shared" si="254"/>
        <v>53703.179637025423</v>
      </c>
      <c r="P391" s="48" t="str">
        <f t="shared" si="222"/>
        <v>304.285714285714</v>
      </c>
      <c r="Q391" s="17" t="str">
        <f t="shared" si="223"/>
        <v>1+17570.3074513579i</v>
      </c>
      <c r="R391" s="17">
        <f t="shared" si="231"/>
        <v>17570.307479815001</v>
      </c>
      <c r="S391" s="17">
        <f t="shared" si="232"/>
        <v>1.5707394125945227</v>
      </c>
      <c r="T391" s="17" t="str">
        <f t="shared" si="224"/>
        <v>1+0.364421191583719i</v>
      </c>
      <c r="U391" s="17">
        <f t="shared" si="233"/>
        <v>1.0643320933220504</v>
      </c>
      <c r="V391" s="17">
        <f t="shared" si="234"/>
        <v>0.34946399800468791</v>
      </c>
      <c r="W391" s="31" t="str">
        <f t="shared" si="225"/>
        <v>1-1.13881622369912i</v>
      </c>
      <c r="X391" s="17">
        <f t="shared" si="235"/>
        <v>1.515553493401115</v>
      </c>
      <c r="Y391" s="17">
        <f t="shared" si="236"/>
        <v>-0.85021055592247674</v>
      </c>
      <c r="Z391" s="31" t="str">
        <f t="shared" si="226"/>
        <v>0.818915495043047+10.0460093898632i</v>
      </c>
      <c r="AA391" s="17">
        <f t="shared" si="237"/>
        <v>10.079331686636827</v>
      </c>
      <c r="AB391" s="17">
        <f t="shared" si="238"/>
        <v>1.4894596706350567</v>
      </c>
      <c r="AC391" s="66" t="str">
        <f t="shared" si="239"/>
        <v>-0.0025313800328307+0.00112848093120698i</v>
      </c>
      <c r="AD391" s="64">
        <f t="shared" si="240"/>
        <v>-51.145622150187968</v>
      </c>
      <c r="AE391" s="61">
        <f t="shared" si="241"/>
        <v>155.97284368674897</v>
      </c>
      <c r="AF391" s="31" t="str">
        <f t="shared" si="227"/>
        <v>-0.000495863624968664</v>
      </c>
      <c r="AG391" s="31" t="str">
        <f t="shared" si="228"/>
        <v>0.0744768938947763i</v>
      </c>
      <c r="AH391" s="31">
        <f t="shared" si="242"/>
        <v>7.4476893894776297E-2</v>
      </c>
      <c r="AI391" s="31">
        <f t="shared" si="243"/>
        <v>1.5707963267948966</v>
      </c>
      <c r="AJ391" s="31" t="str">
        <f t="shared" si="229"/>
        <v>1+0.290585944720616i</v>
      </c>
      <c r="AK391" s="31">
        <f t="shared" si="244"/>
        <v>1.0413645813398749</v>
      </c>
      <c r="AL391" s="31">
        <f t="shared" si="245"/>
        <v>0.28279782677426807</v>
      </c>
      <c r="AM391" s="31" t="str">
        <f t="shared" si="230"/>
        <v>1+89.0807357204645i</v>
      </c>
      <c r="AN391" s="31">
        <f t="shared" si="246"/>
        <v>89.086348429482953</v>
      </c>
      <c r="AO391" s="31">
        <f t="shared" si="247"/>
        <v>1.5595710266320146</v>
      </c>
      <c r="AP391" s="58" t="str">
        <f t="shared" si="248"/>
        <v>-0.545129743524699+0.165064994058648i</v>
      </c>
      <c r="AQ391" s="49">
        <f t="shared" si="249"/>
        <v>-4.8890189877529533</v>
      </c>
      <c r="AR391" s="61">
        <f t="shared" si="250"/>
        <v>163.15371574726211</v>
      </c>
      <c r="AS391" s="58" t="str">
        <f t="shared" si="251"/>
        <v>0.00119365784985557-0.00103301075068075i</v>
      </c>
      <c r="AT391" s="64">
        <f t="shared" si="252"/>
        <v>-56.034641137940923</v>
      </c>
      <c r="AU391" s="61">
        <f t="shared" si="253"/>
        <v>-40.873440565988737</v>
      </c>
    </row>
    <row r="392" spans="14:47" x14ac:dyDescent="0.25">
      <c r="N392" s="10">
        <v>74</v>
      </c>
      <c r="O392" s="50">
        <f t="shared" si="254"/>
        <v>54954.087385762505</v>
      </c>
      <c r="P392" s="48" t="str">
        <f t="shared" si="222"/>
        <v>304.285714285714</v>
      </c>
      <c r="Q392" s="17" t="str">
        <f t="shared" si="223"/>
        <v>1+17979.5724871928i</v>
      </c>
      <c r="R392" s="17">
        <f t="shared" si="231"/>
        <v>17979.572515002139</v>
      </c>
      <c r="S392" s="17">
        <f t="shared" si="232"/>
        <v>1.5707407081198874</v>
      </c>
      <c r="T392" s="17" t="str">
        <f t="shared" si="224"/>
        <v>1+0.372909651586221i</v>
      </c>
      <c r="U392" s="17">
        <f t="shared" si="233"/>
        <v>1.0672682925329304</v>
      </c>
      <c r="V392" s="17">
        <f t="shared" si="234"/>
        <v>0.35693677777897065</v>
      </c>
      <c r="W392" s="31" t="str">
        <f t="shared" si="225"/>
        <v>1-1.16534266120694i</v>
      </c>
      <c r="X392" s="17">
        <f t="shared" si="235"/>
        <v>1.5355857247411728</v>
      </c>
      <c r="Y392" s="17">
        <f t="shared" si="236"/>
        <v>-0.86160893237823122</v>
      </c>
      <c r="Z392" s="31" t="str">
        <f t="shared" si="226"/>
        <v>0.81038124524991+10.2800110090337i</v>
      </c>
      <c r="AA392" s="17">
        <f t="shared" si="237"/>
        <v>10.311903030406505</v>
      </c>
      <c r="AB392" s="17">
        <f t="shared" si="238"/>
        <v>1.4921282370917848</v>
      </c>
      <c r="AC392" s="66" t="str">
        <f t="shared" si="239"/>
        <v>-0.00244940860627009+0.00111136125446988i</v>
      </c>
      <c r="AD392" s="64">
        <f t="shared" si="240"/>
        <v>-51.405778907068481</v>
      </c>
      <c r="AE392" s="61">
        <f t="shared" si="241"/>
        <v>155.59495174137356</v>
      </c>
      <c r="AF392" s="31" t="str">
        <f t="shared" si="227"/>
        <v>-0.000495863624968664</v>
      </c>
      <c r="AG392" s="31" t="str">
        <f t="shared" si="228"/>
        <v>0.0762116836093617i</v>
      </c>
      <c r="AH392" s="31">
        <f t="shared" si="242"/>
        <v>7.6211683609361702E-2</v>
      </c>
      <c r="AI392" s="31">
        <f t="shared" si="243"/>
        <v>1.5707963267948966</v>
      </c>
      <c r="AJ392" s="31" t="str">
        <f t="shared" si="229"/>
        <v>1+0.297354560887888i</v>
      </c>
      <c r="AK392" s="31">
        <f t="shared" si="244"/>
        <v>1.0432735666548965</v>
      </c>
      <c r="AL392" s="31">
        <f t="shared" si="245"/>
        <v>0.28902802249541509</v>
      </c>
      <c r="AM392" s="31" t="str">
        <f t="shared" si="230"/>
        <v>1+91.1556926099651i</v>
      </c>
      <c r="AN392" s="31">
        <f t="shared" si="246"/>
        <v>91.161177565904921</v>
      </c>
      <c r="AO392" s="31">
        <f t="shared" si="247"/>
        <v>1.5598265249222651</v>
      </c>
      <c r="AP392" s="58" t="str">
        <f t="shared" si="248"/>
        <v>-0.543136608414367+0.168010546735826i</v>
      </c>
      <c r="AQ392" s="49">
        <f t="shared" si="249"/>
        <v>-4.9049516441944281</v>
      </c>
      <c r="AR392" s="61">
        <f t="shared" si="250"/>
        <v>162.81139080060393</v>
      </c>
      <c r="AS392" s="58" t="str">
        <f t="shared" si="251"/>
        <v>0.001143643071046-0.00101514746159478i</v>
      </c>
      <c r="AT392" s="64">
        <f t="shared" si="252"/>
        <v>-56.310730551262921</v>
      </c>
      <c r="AU392" s="61">
        <f t="shared" si="253"/>
        <v>-41.593657458022456</v>
      </c>
    </row>
    <row r="393" spans="14:47" x14ac:dyDescent="0.25">
      <c r="N393" s="10">
        <v>75</v>
      </c>
      <c r="O393" s="50">
        <f t="shared" si="254"/>
        <v>56234.132519034953</v>
      </c>
      <c r="P393" s="48" t="str">
        <f t="shared" si="222"/>
        <v>304.285714285714</v>
      </c>
      <c r="Q393" s="17" t="str">
        <f t="shared" si="223"/>
        <v>1+18398.3705303483i</v>
      </c>
      <c r="R393" s="17">
        <f t="shared" si="231"/>
        <v>18398.37055752462</v>
      </c>
      <c r="S393" s="17">
        <f t="shared" si="232"/>
        <v>1.5707419741554949</v>
      </c>
      <c r="T393" s="17" t="str">
        <f t="shared" si="224"/>
        <v>1+0.381595833222037i</v>
      </c>
      <c r="U393" s="17">
        <f t="shared" si="233"/>
        <v>1.0703342374849178</v>
      </c>
      <c r="V393" s="17">
        <f t="shared" si="234"/>
        <v>0.36454074203847786</v>
      </c>
      <c r="W393" s="31" t="str">
        <f t="shared" si="225"/>
        <v>1-1.19248697881887i</v>
      </c>
      <c r="X393" s="17">
        <f t="shared" si="235"/>
        <v>1.5562857046996723</v>
      </c>
      <c r="Y393" s="17">
        <f t="shared" si="236"/>
        <v>-0.87296753412265327</v>
      </c>
      <c r="Z393" s="31" t="str">
        <f t="shared" si="226"/>
        <v>0.801444788655319+10.5194632261132i</v>
      </c>
      <c r="AA393" s="17">
        <f t="shared" si="237"/>
        <v>10.549948829961723</v>
      </c>
      <c r="AB393" s="17">
        <f t="shared" si="238"/>
        <v>1.4947563707214784</v>
      </c>
      <c r="AC393" s="66" t="str">
        <f t="shared" si="239"/>
        <v>-0.00237105761239994+0.00109411773964333i</v>
      </c>
      <c r="AD393" s="64">
        <f t="shared" si="240"/>
        <v>-51.662788109021598</v>
      </c>
      <c r="AE393" s="61">
        <f t="shared" si="241"/>
        <v>155.22917335641148</v>
      </c>
      <c r="AF393" s="31" t="str">
        <f t="shared" si="227"/>
        <v>-0.000495863624968664</v>
      </c>
      <c r="AG393" s="31" t="str">
        <f t="shared" si="228"/>
        <v>0.0779868817673779i</v>
      </c>
      <c r="AH393" s="31">
        <f t="shared" si="242"/>
        <v>7.7986881767377905E-2</v>
      </c>
      <c r="AI393" s="31">
        <f t="shared" si="243"/>
        <v>1.5707963267948966</v>
      </c>
      <c r="AJ393" s="31" t="str">
        <f t="shared" si="229"/>
        <v>1+0.304280838379297i</v>
      </c>
      <c r="AK393" s="31">
        <f t="shared" si="244"/>
        <v>1.0452687829476244</v>
      </c>
      <c r="AL393" s="31">
        <f t="shared" si="245"/>
        <v>0.2953795271808537</v>
      </c>
      <c r="AM393" s="31" t="str">
        <f t="shared" si="230"/>
        <v>1+93.2789814542757i</v>
      </c>
      <c r="AN393" s="31">
        <f t="shared" si="246"/>
        <v>93.284341564632953</v>
      </c>
      <c r="AO393" s="31">
        <f t="shared" si="247"/>
        <v>1.5600762087453692</v>
      </c>
      <c r="AP393" s="58" t="str">
        <f t="shared" si="248"/>
        <v>-0.541065101516304+0.170994038022106i</v>
      </c>
      <c r="AQ393" s="49">
        <f t="shared" si="249"/>
        <v>-4.9215706950420666</v>
      </c>
      <c r="AR393" s="61">
        <f t="shared" si="250"/>
        <v>162.46178221784729</v>
      </c>
      <c r="AS393" s="58" t="str">
        <f t="shared" si="251"/>
        <v>0.00109580891738095-0.000997425641398227i</v>
      </c>
      <c r="AT393" s="64">
        <f t="shared" si="252"/>
        <v>-56.584358804063648</v>
      </c>
      <c r="AU393" s="61">
        <f t="shared" si="253"/>
        <v>-42.309044425741156</v>
      </c>
    </row>
    <row r="394" spans="14:47" x14ac:dyDescent="0.25">
      <c r="N394" s="10">
        <v>76</v>
      </c>
      <c r="O394" s="50">
        <f t="shared" si="254"/>
        <v>57543.993733715732</v>
      </c>
      <c r="P394" s="48" t="str">
        <f t="shared" si="222"/>
        <v>304.285714285714</v>
      </c>
      <c r="Q394" s="17" t="str">
        <f t="shared" si="223"/>
        <v>1+18826.9236330901i</v>
      </c>
      <c r="R394" s="17">
        <f t="shared" si="231"/>
        <v>18826.923659647811</v>
      </c>
      <c r="S394" s="17">
        <f t="shared" si="232"/>
        <v>1.5707432113726136</v>
      </c>
      <c r="T394" s="17" t="str">
        <f t="shared" si="224"/>
        <v>1+0.390484342019646i</v>
      </c>
      <c r="U394" s="17">
        <f t="shared" si="233"/>
        <v>1.0735352911583838</v>
      </c>
      <c r="V394" s="17">
        <f t="shared" si="234"/>
        <v>0.37227640419620606</v>
      </c>
      <c r="W394" s="31" t="str">
        <f t="shared" si="225"/>
        <v>1-1.2202635688114i</v>
      </c>
      <c r="X394" s="17">
        <f t="shared" si="235"/>
        <v>1.5776701738222518</v>
      </c>
      <c r="Y394" s="17">
        <f t="shared" si="236"/>
        <v>-0.88428066076817569</v>
      </c>
      <c r="Z394" s="31" t="str">
        <f t="shared" si="226"/>
        <v>0.792087169836704+10.7644930018367i</v>
      </c>
      <c r="AA394" s="17">
        <f t="shared" si="237"/>
        <v>10.793595863807909</v>
      </c>
      <c r="AB394" s="17">
        <f t="shared" si="238"/>
        <v>1.4973453793751019</v>
      </c>
      <c r="AC394" s="66" t="str">
        <f t="shared" si="239"/>
        <v>-0.0022961699551759+0.0010767879909489i</v>
      </c>
      <c r="AD394" s="64">
        <f t="shared" si="240"/>
        <v>-51.916628203581794</v>
      </c>
      <c r="AE394" s="61">
        <f t="shared" si="241"/>
        <v>154.87578958360828</v>
      </c>
      <c r="AF394" s="31" t="str">
        <f t="shared" si="227"/>
        <v>-0.000495863624968664</v>
      </c>
      <c r="AG394" s="31" t="str">
        <f t="shared" si="228"/>
        <v>0.0798034296023855i</v>
      </c>
      <c r="AH394" s="31">
        <f t="shared" si="242"/>
        <v>7.9803429602385498E-2</v>
      </c>
      <c r="AI394" s="31">
        <f t="shared" si="243"/>
        <v>1.5707963267948966</v>
      </c>
      <c r="AJ394" s="31" t="str">
        <f t="shared" si="229"/>
        <v>1+0.311368449598847i</v>
      </c>
      <c r="AK394" s="31">
        <f t="shared" si="244"/>
        <v>1.0473539570773531</v>
      </c>
      <c r="AL394" s="31">
        <f t="shared" si="245"/>
        <v>0.30185365787907514</v>
      </c>
      <c r="AM394" s="31" t="str">
        <f t="shared" si="230"/>
        <v>1+95.4517280492468i</v>
      </c>
      <c r="AN394" s="31">
        <f t="shared" si="246"/>
        <v>95.456966155369543</v>
      </c>
      <c r="AO394" s="31">
        <f t="shared" si="247"/>
        <v>1.5603202103623974</v>
      </c>
      <c r="AP394" s="58" t="str">
        <f t="shared" si="248"/>
        <v>-0.538912836058134+0.174014017075931i</v>
      </c>
      <c r="AQ394" s="49">
        <f t="shared" si="249"/>
        <v>-4.9389031080504884</v>
      </c>
      <c r="AR394" s="61">
        <f t="shared" si="250"/>
        <v>162.10482211567333</v>
      </c>
      <c r="AS394" s="58" t="str">
        <f t="shared" si="251"/>
        <v>0.00105005925877118-0.000979860627824831i</v>
      </c>
      <c r="AT394" s="64">
        <f t="shared" si="252"/>
        <v>-56.855531311632305</v>
      </c>
      <c r="AU394" s="61">
        <f t="shared" si="253"/>
        <v>-43.019388300718489</v>
      </c>
    </row>
    <row r="395" spans="14:47" x14ac:dyDescent="0.25">
      <c r="N395" s="10">
        <v>77</v>
      </c>
      <c r="O395" s="50">
        <f t="shared" si="254"/>
        <v>58884.365535558936</v>
      </c>
      <c r="P395" s="48" t="str">
        <f t="shared" si="222"/>
        <v>304.285714285714</v>
      </c>
      <c r="Q395" s="17" t="str">
        <f t="shared" si="223"/>
        <v>1+19265.459019946i</v>
      </c>
      <c r="R395" s="17">
        <f t="shared" si="231"/>
        <v>19265.459045899184</v>
      </c>
      <c r="S395" s="17">
        <f t="shared" si="232"/>
        <v>1.5707444204272327</v>
      </c>
      <c r="T395" s="17" t="str">
        <f t="shared" si="224"/>
        <v>1+0.399579890784065i</v>
      </c>
      <c r="U395" s="17">
        <f t="shared" si="233"/>
        <v>1.0768770074242486</v>
      </c>
      <c r="V395" s="17">
        <f t="shared" si="234"/>
        <v>0.38014416153856961</v>
      </c>
      <c r="W395" s="31" t="str">
        <f t="shared" si="225"/>
        <v>1-1.24868715870021i</v>
      </c>
      <c r="X395" s="17">
        <f t="shared" si="235"/>
        <v>1.5997561127568174</v>
      </c>
      <c r="Y395" s="17">
        <f t="shared" si="236"/>
        <v>-0.89554272799351453</v>
      </c>
      <c r="Z395" s="31" t="str">
        <f t="shared" si="226"/>
        <v>0.782288540029955+11.0152302542347i</v>
      </c>
      <c r="AA395" s="17">
        <f t="shared" si="237"/>
        <v>11.042973916190769</v>
      </c>
      <c r="AB395" s="17">
        <f t="shared" si="238"/>
        <v>1.4998965556870449</v>
      </c>
      <c r="AC395" s="66" t="str">
        <f t="shared" si="239"/>
        <v>-0.00222459509809989+0.00105940653735934i</v>
      </c>
      <c r="AD395" s="64">
        <f t="shared" si="240"/>
        <v>-52.167279236688515</v>
      </c>
      <c r="AE395" s="61">
        <f t="shared" si="241"/>
        <v>154.53506904375917</v>
      </c>
      <c r="AF395" s="31" t="str">
        <f t="shared" si="227"/>
        <v>-0.000495863624968664</v>
      </c>
      <c r="AG395" s="31" t="str">
        <f t="shared" si="228"/>
        <v>0.0816622902720916i</v>
      </c>
      <c r="AH395" s="31">
        <f t="shared" si="242"/>
        <v>8.1662290272091598E-2</v>
      </c>
      <c r="AI395" s="31">
        <f t="shared" si="243"/>
        <v>1.5707963267948966</v>
      </c>
      <c r="AJ395" s="31" t="str">
        <f t="shared" si="229"/>
        <v>1+0.318621152491823i</v>
      </c>
      <c r="AK395" s="31">
        <f t="shared" si="244"/>
        <v>1.0495329622337821</v>
      </c>
      <c r="AL395" s="31">
        <f t="shared" si="245"/>
        <v>0.30845167559518588</v>
      </c>
      <c r="AM395" s="31" t="str">
        <f t="shared" si="230"/>
        <v>1+97.6750844138826i</v>
      </c>
      <c r="AN395" s="31">
        <f t="shared" si="246"/>
        <v>97.680203292474218</v>
      </c>
      <c r="AO395" s="31">
        <f t="shared" si="247"/>
        <v>1.5605586590299532</v>
      </c>
      <c r="AP395" s="58" t="str">
        <f t="shared" si="248"/>
        <v>-0.536677413491933+0.177068900888638i</v>
      </c>
      <c r="AQ395" s="49">
        <f t="shared" si="249"/>
        <v>-4.9569766583717501</v>
      </c>
      <c r="AR395" s="61">
        <f t="shared" si="250"/>
        <v>161.74044564966897</v>
      </c>
      <c r="AS395" s="58" t="str">
        <f t="shared" si="251"/>
        <v>0.00100630199215063-0.000962466169249255i</v>
      </c>
      <c r="AT395" s="64">
        <f t="shared" si="252"/>
        <v>-57.124255895060244</v>
      </c>
      <c r="AU395" s="61">
        <f t="shared" si="253"/>
        <v>-43.724485306571744</v>
      </c>
    </row>
    <row r="396" spans="14:47" x14ac:dyDescent="0.25">
      <c r="N396" s="10">
        <v>78</v>
      </c>
      <c r="O396" s="50">
        <f t="shared" si="254"/>
        <v>60255.95860743591</v>
      </c>
      <c r="P396" s="48" t="str">
        <f t="shared" si="222"/>
        <v>304.285714285714</v>
      </c>
      <c r="Q396" s="17" t="str">
        <f t="shared" si="223"/>
        <v>1+19714.2092081829i</v>
      </c>
      <c r="R396" s="17">
        <f t="shared" si="231"/>
        <v>19714.209233545316</v>
      </c>
      <c r="S396" s="17">
        <f t="shared" si="232"/>
        <v>1.5707456019604089</v>
      </c>
      <c r="T396" s="17" t="str">
        <f t="shared" si="224"/>
        <v>1+0.408887302095644i</v>
      </c>
      <c r="U396" s="17">
        <f t="shared" si="233"/>
        <v>1.0803651354125856</v>
      </c>
      <c r="V396" s="17">
        <f t="shared" si="234"/>
        <v>0.38814428840839049</v>
      </c>
      <c r="W396" s="31" t="str">
        <f t="shared" si="225"/>
        <v>1-1.27777281904889i</v>
      </c>
      <c r="X396" s="17">
        <f t="shared" si="235"/>
        <v>1.6225607468135506</v>
      </c>
      <c r="Y396" s="17">
        <f t="shared" si="236"/>
        <v>-0.906748280460561</v>
      </c>
      <c r="Z396" s="31" t="str">
        <f t="shared" si="226"/>
        <v>0.772028115027525+11.2718079275174i</v>
      </c>
      <c r="AA396" s="17">
        <f t="shared" si="237"/>
        <v>11.298215848762894</v>
      </c>
      <c r="AB396" s="17">
        <f t="shared" si="238"/>
        <v>1.5024111773958131</v>
      </c>
      <c r="AC396" s="66" t="str">
        <f t="shared" si="239"/>
        <v>-0.00215618881237812+0.00104200504340924i</v>
      </c>
      <c r="AD396" s="64">
        <f t="shared" si="240"/>
        <v>-52.414722796577081</v>
      </c>
      <c r="AE396" s="61">
        <f t="shared" si="241"/>
        <v>154.2072667776462</v>
      </c>
      <c r="AF396" s="31" t="str">
        <f t="shared" si="227"/>
        <v>-0.000495863624968664</v>
      </c>
      <c r="AG396" s="31" t="str">
        <f t="shared" si="228"/>
        <v>0.0835644493690282i</v>
      </c>
      <c r="AH396" s="31">
        <f t="shared" si="242"/>
        <v>8.3564449369028196E-2</v>
      </c>
      <c r="AI396" s="31">
        <f t="shared" si="243"/>
        <v>1.5707963267948966</v>
      </c>
      <c r="AJ396" s="31" t="str">
        <f t="shared" si="229"/>
        <v>1+0.326042792537301i</v>
      </c>
      <c r="AK396" s="31">
        <f t="shared" si="244"/>
        <v>1.0518098224325163</v>
      </c>
      <c r="AL396" s="31">
        <f t="shared" si="245"/>
        <v>0.31517477996963333</v>
      </c>
      <c r="AM396" s="31" t="str">
        <f t="shared" si="230"/>
        <v>1+99.9502294011574i</v>
      </c>
      <c r="AN396" s="31">
        <f t="shared" si="246"/>
        <v>99.95523176574595</v>
      </c>
      <c r="AO396" s="31">
        <f t="shared" si="247"/>
        <v>1.560791681068153</v>
      </c>
      <c r="AP396" s="58" t="str">
        <f t="shared" si="248"/>
        <v>-0.534356429515918+0.180156968938042i</v>
      </c>
      <c r="AQ396" s="49">
        <f t="shared" si="249"/>
        <v>-4.9758199316366252</v>
      </c>
      <c r="AR396" s="61">
        <f t="shared" si="250"/>
        <v>161.36859132310954</v>
      </c>
      <c r="AS396" s="58" t="str">
        <f t="shared" si="251"/>
        <v>0.000964448884905778-0.000945254535429899i</v>
      </c>
      <c r="AT396" s="64">
        <f t="shared" si="252"/>
        <v>-57.39054272821371</v>
      </c>
      <c r="AU396" s="61">
        <f t="shared" si="253"/>
        <v>-44.424141899244255</v>
      </c>
    </row>
    <row r="397" spans="14:47" x14ac:dyDescent="0.25">
      <c r="N397" s="10">
        <v>79</v>
      </c>
      <c r="O397" s="50">
        <f t="shared" si="254"/>
        <v>61659.500186148245</v>
      </c>
      <c r="P397" s="48" t="str">
        <f t="shared" si="222"/>
        <v>304.285714285714</v>
      </c>
      <c r="Q397" s="17" t="str">
        <f t="shared" si="223"/>
        <v>1+20173.4121310902i</v>
      </c>
      <c r="R397" s="17">
        <f t="shared" si="231"/>
        <v>20173.4121558753</v>
      </c>
      <c r="S397" s="17">
        <f t="shared" si="232"/>
        <v>1.5707467565986064</v>
      </c>
      <c r="T397" s="17" t="str">
        <f t="shared" si="224"/>
        <v>1+0.418411510867056i</v>
      </c>
      <c r="U397" s="17">
        <f t="shared" si="233"/>
        <v>1.0840056237981666</v>
      </c>
      <c r="V397" s="17">
        <f t="shared" si="234"/>
        <v>0.39627692934225373</v>
      </c>
      <c r="W397" s="31" t="str">
        <f t="shared" si="225"/>
        <v>1-1.30753597145955i</v>
      </c>
      <c r="X397" s="17">
        <f t="shared" si="235"/>
        <v>1.6461015511385284</v>
      </c>
      <c r="Y397" s="17">
        <f t="shared" si="236"/>
        <v>-0.91789200395487769</v>
      </c>
      <c r="Z397" s="31" t="str">
        <f t="shared" si="226"/>
        <v>0.761284131092346+11.5343620625631i</v>
      </c>
      <c r="AA397" s="17">
        <f t="shared" si="237"/>
        <v>11.559457674067062</v>
      </c>
      <c r="AB397" s="17">
        <f t="shared" si="238"/>
        <v>1.504890507679578</v>
      </c>
      <c r="AC397" s="66" t="str">
        <f t="shared" si="239"/>
        <v>-0.00209081293274441+0.00102461250666427i</v>
      </c>
      <c r="AD397" s="64">
        <f t="shared" si="240"/>
        <v>-52.658941954876333</v>
      </c>
      <c r="AE397" s="61">
        <f t="shared" si="241"/>
        <v>153.89262313799262</v>
      </c>
      <c r="AF397" s="31" t="str">
        <f t="shared" si="227"/>
        <v>-0.000495863624968664</v>
      </c>
      <c r="AG397" s="31" t="str">
        <f t="shared" si="228"/>
        <v>0.0855109154431263i</v>
      </c>
      <c r="AH397" s="31">
        <f t="shared" si="242"/>
        <v>8.5510915443126306E-2</v>
      </c>
      <c r="AI397" s="31">
        <f t="shared" si="243"/>
        <v>1.5707963267948966</v>
      </c>
      <c r="AJ397" s="31" t="str">
        <f t="shared" si="229"/>
        <v>1+0.333637304787067i</v>
      </c>
      <c r="AK397" s="31">
        <f t="shared" si="244"/>
        <v>1.0541887170452824</v>
      </c>
      <c r="AL397" s="31">
        <f t="shared" si="245"/>
        <v>0.32202410375282003</v>
      </c>
      <c r="AM397" s="31" t="str">
        <f t="shared" si="230"/>
        <v>1+102.278369323058i</v>
      </c>
      <c r="AN397" s="31">
        <f t="shared" si="246"/>
        <v>102.28325782543226</v>
      </c>
      <c r="AO397" s="31">
        <f t="shared" si="247"/>
        <v>1.5610193999270845</v>
      </c>
      <c r="AP397" s="58" t="str">
        <f t="shared" si="248"/>
        <v>-0.53194748065549+0.183276357981223i</v>
      </c>
      <c r="AQ397" s="49">
        <f t="shared" si="249"/>
        <v>-4.995462324900811</v>
      </c>
      <c r="AR397" s="61">
        <f t="shared" si="250"/>
        <v>160.98920130734683</v>
      </c>
      <c r="AS397" s="58" t="str">
        <f t="shared" si="251"/>
        <v>0.000924415423531867-0.0009282366211016i</v>
      </c>
      <c r="AT397" s="64">
        <f t="shared" si="252"/>
        <v>-57.654404279777147</v>
      </c>
      <c r="AU397" s="61">
        <f t="shared" si="253"/>
        <v>-45.118175554660525</v>
      </c>
    </row>
    <row r="398" spans="14:47" x14ac:dyDescent="0.25">
      <c r="N398" s="10">
        <v>80</v>
      </c>
      <c r="O398" s="50">
        <f t="shared" si="254"/>
        <v>63095.734448019342</v>
      </c>
      <c r="P398" s="48" t="str">
        <f t="shared" si="222"/>
        <v>304.285714285714</v>
      </c>
      <c r="Q398" s="17" t="str">
        <f t="shared" si="223"/>
        <v>1+20643.3112641362i</v>
      </c>
      <c r="R398" s="17">
        <f t="shared" si="231"/>
        <v>20643.311288357116</v>
      </c>
      <c r="S398" s="17">
        <f t="shared" si="232"/>
        <v>1.5707478849540299</v>
      </c>
      <c r="T398" s="17" t="str">
        <f t="shared" si="224"/>
        <v>1+0.42815756695986i</v>
      </c>
      <c r="U398" s="17">
        <f t="shared" si="233"/>
        <v>1.0878046249878639</v>
      </c>
      <c r="V398" s="17">
        <f t="shared" si="234"/>
        <v>0.40454209219259357</v>
      </c>
      <c r="W398" s="31" t="str">
        <f t="shared" si="225"/>
        <v>1-1.33799239674956i</v>
      </c>
      <c r="X398" s="17">
        <f t="shared" si="235"/>
        <v>1.6703962565091051</v>
      </c>
      <c r="Y398" s="17">
        <f t="shared" si="236"/>
        <v>-0.92896873669137869</v>
      </c>
      <c r="Z398" s="31" t="str">
        <f t="shared" si="226"/>
        <v>0.75003379879402+11.8030318690498i</v>
      </c>
      <c r="AA398" s="17">
        <f t="shared" si="237"/>
        <v>11.826838630891123</v>
      </c>
      <c r="AB398" s="17">
        <f t="shared" si="238"/>
        <v>1.5073357955053472</v>
      </c>
      <c r="AC398" s="66" t="str">
        <f t="shared" si="239"/>
        <v>-0.00202833512090531+0.00100725544263474i</v>
      </c>
      <c r="AD398" s="64">
        <f t="shared" si="240"/>
        <v>-52.899921205768706</v>
      </c>
      <c r="AE398" s="61">
        <f t="shared" si="241"/>
        <v>153.5913627275946</v>
      </c>
      <c r="AF398" s="31" t="str">
        <f t="shared" si="227"/>
        <v>-0.000495863624968664</v>
      </c>
      <c r="AG398" s="31" t="str">
        <f t="shared" si="228"/>
        <v>0.0875027205364632i</v>
      </c>
      <c r="AH398" s="31">
        <f t="shared" si="242"/>
        <v>8.7502720536463199E-2</v>
      </c>
      <c r="AI398" s="31">
        <f t="shared" si="243"/>
        <v>1.5707963267948966</v>
      </c>
      <c r="AJ398" s="31" t="str">
        <f t="shared" si="229"/>
        <v>1+0.341408715952044i</v>
      </c>
      <c r="AK398" s="31">
        <f t="shared" si="244"/>
        <v>1.0566739853559486</v>
      </c>
      <c r="AL398" s="31">
        <f t="shared" si="245"/>
        <v>0.32900070708188905</v>
      </c>
      <c r="AM398" s="31" t="str">
        <f t="shared" si="230"/>
        <v>1+104.660738590188i</v>
      </c>
      <c r="AN398" s="31">
        <f t="shared" si="246"/>
        <v>104.66551582180095</v>
      </c>
      <c r="AO398" s="31">
        <f t="shared" si="247"/>
        <v>1.5612419362517778</v>
      </c>
      <c r="AP398" s="58" t="str">
        <f t="shared" si="248"/>
        <v>-0.529448171420844+0.186425057032323i</v>
      </c>
      <c r="AQ398" s="49">
        <f t="shared" si="249"/>
        <v>-5.015934045262572</v>
      </c>
      <c r="AR398" s="61">
        <f t="shared" si="250"/>
        <v>160.60222177344755</v>
      </c>
      <c r="AS398" s="58" t="str">
        <f t="shared" si="251"/>
        <v>0.000886120667452694-0.000911422042852092i</v>
      </c>
      <c r="AT398" s="64">
        <f t="shared" si="252"/>
        <v>-57.915855251031289</v>
      </c>
      <c r="AU398" s="61">
        <f t="shared" si="253"/>
        <v>-45.806415498957811</v>
      </c>
    </row>
    <row r="399" spans="14:47" x14ac:dyDescent="0.25">
      <c r="N399" s="10">
        <v>81</v>
      </c>
      <c r="O399" s="50">
        <f t="shared" si="254"/>
        <v>64565.422903465682</v>
      </c>
      <c r="P399" s="48" t="str">
        <f t="shared" si="222"/>
        <v>304.285714285714</v>
      </c>
      <c r="Q399" s="17" t="str">
        <f t="shared" si="223"/>
        <v>1+21124.1557540609i</v>
      </c>
      <c r="R399" s="17">
        <f t="shared" si="231"/>
        <v>21124.155777730481</v>
      </c>
      <c r="S399" s="17">
        <f t="shared" si="232"/>
        <v>1.5707489876249485</v>
      </c>
      <c r="T399" s="17" t="str">
        <f t="shared" si="224"/>
        <v>1+0.438130637862003i</v>
      </c>
      <c r="U399" s="17">
        <f t="shared" si="233"/>
        <v>1.0917684991944792</v>
      </c>
      <c r="V399" s="17">
        <f t="shared" si="234"/>
        <v>0.41293964126777044</v>
      </c>
      <c r="W399" s="31" t="str">
        <f t="shared" si="225"/>
        <v>1-1.36915824331876i</v>
      </c>
      <c r="X399" s="17">
        <f t="shared" si="235"/>
        <v>1.6954628557558296</v>
      </c>
      <c r="Y399" s="17">
        <f t="shared" si="236"/>
        <v>-0.93997347973566769</v>
      </c>
      <c r="Z399" s="31" t="str">
        <f t="shared" si="226"/>
        <v>0.738253254669382+12.0779597992651i</v>
      </c>
      <c r="AA399" s="17">
        <f t="shared" si="237"/>
        <v>12.10050126154672</v>
      </c>
      <c r="AB399" s="17">
        <f t="shared" si="238"/>
        <v>1.5097482759905669</v>
      </c>
      <c r="AC399" s="66" t="str">
        <f t="shared" si="239"/>
        <v>-0.00196862863654283+0.000989958057878982i</v>
      </c>
      <c r="AD399" s="64">
        <f t="shared" si="240"/>
        <v>-53.137646404086667</v>
      </c>
      <c r="AE399" s="61">
        <f t="shared" si="241"/>
        <v>153.30369338844193</v>
      </c>
      <c r="AF399" s="31" t="str">
        <f t="shared" si="227"/>
        <v>-0.000495863624968664</v>
      </c>
      <c r="AG399" s="31" t="str">
        <f t="shared" si="228"/>
        <v>0.0895409207304642i</v>
      </c>
      <c r="AH399" s="31">
        <f t="shared" si="242"/>
        <v>8.9540920730464199E-2</v>
      </c>
      <c r="AI399" s="31">
        <f t="shared" si="243"/>
        <v>1.5707963267948966</v>
      </c>
      <c r="AJ399" s="31" t="str">
        <f t="shared" si="229"/>
        <v>1+0.349361146537298i</v>
      </c>
      <c r="AK399" s="31">
        <f t="shared" si="244"/>
        <v>1.0592701311326849</v>
      </c>
      <c r="AL399" s="31">
        <f t="shared" si="245"/>
        <v>0.33610557156777326</v>
      </c>
      <c r="AM399" s="31" t="str">
        <f t="shared" si="230"/>
        <v>1+107.098600366267i</v>
      </c>
      <c r="AN399" s="31">
        <f t="shared" si="246"/>
        <v>107.10326885960748</v>
      </c>
      <c r="AO399" s="31">
        <f t="shared" si="247"/>
        <v>1.5614594079457229</v>
      </c>
      <c r="AP399" s="58" t="str">
        <f t="shared" si="248"/>
        <v>-0.526856122055426+0.189600902574984i</v>
      </c>
      <c r="AQ399" s="49">
        <f t="shared" si="249"/>
        <v>-5.0372661059554789</v>
      </c>
      <c r="AR399" s="61">
        <f t="shared" si="250"/>
        <v>160.20760323462048</v>
      </c>
      <c r="AS399" s="58" t="str">
        <f t="shared" si="251"/>
        <v>0.000849487107930983-0.000894819229695122i</v>
      </c>
      <c r="AT399" s="64">
        <f t="shared" si="252"/>
        <v>-58.174912510042141</v>
      </c>
      <c r="AU399" s="61">
        <f t="shared" si="253"/>
        <v>-46.488703376937565</v>
      </c>
    </row>
    <row r="400" spans="14:47" x14ac:dyDescent="0.25">
      <c r="N400" s="10">
        <v>82</v>
      </c>
      <c r="O400" s="50">
        <f t="shared" si="254"/>
        <v>66069.344800759733</v>
      </c>
      <c r="P400" s="48" t="str">
        <f t="shared" si="222"/>
        <v>304.285714285714</v>
      </c>
      <c r="Q400" s="17" t="str">
        <f t="shared" si="223"/>
        <v>1+21616.2005509777i</v>
      </c>
      <c r="R400" s="17">
        <f t="shared" si="231"/>
        <v>21616.200574108501</v>
      </c>
      <c r="S400" s="17">
        <f t="shared" si="232"/>
        <v>1.5707500651960125</v>
      </c>
      <c r="T400" s="17" t="str">
        <f t="shared" si="224"/>
        <v>1+0.448336011427685i</v>
      </c>
      <c r="U400" s="17">
        <f t="shared" si="233"/>
        <v>1.0959038183813785</v>
      </c>
      <c r="V400" s="17">
        <f t="shared" si="234"/>
        <v>0.42146929052634752</v>
      </c>
      <c r="W400" s="31" t="str">
        <f t="shared" si="225"/>
        <v>1-1.40105003571152i</v>
      </c>
      <c r="X400" s="17">
        <f t="shared" si="235"/>
        <v>1.7213196108123709</v>
      </c>
      <c r="Y400" s="17">
        <f t="shared" si="236"/>
        <v>-0.9509014065006659</v>
      </c>
      <c r="Z400" s="31" t="str">
        <f t="shared" si="226"/>
        <v>0.725917510604901+12.3592916236367i</v>
      </c>
      <c r="AA400" s="17">
        <f t="shared" si="237"/>
        <v>12.380591491132366</v>
      </c>
      <c r="AB400" s="17">
        <f t="shared" si="238"/>
        <v>1.5121291707760907</v>
      </c>
      <c r="AC400" s="66" t="str">
        <f t="shared" si="239"/>
        <v>-0.00191157211578912+0.000972742412001699i</v>
      </c>
      <c r="AD400" s="64">
        <f t="shared" si="240"/>
        <v>-53.372104703238875</v>
      </c>
      <c r="AE400" s="61">
        <f t="shared" si="241"/>
        <v>153.02980524627355</v>
      </c>
      <c r="AF400" s="31" t="str">
        <f t="shared" si="227"/>
        <v>-0.000495863624968664</v>
      </c>
      <c r="AG400" s="31" t="str">
        <f t="shared" si="228"/>
        <v>0.0916265967058505i</v>
      </c>
      <c r="AH400" s="31">
        <f t="shared" si="242"/>
        <v>9.1626596705850494E-2</v>
      </c>
      <c r="AI400" s="31">
        <f t="shared" si="243"/>
        <v>1.5707963267948966</v>
      </c>
      <c r="AJ400" s="31" t="str">
        <f t="shared" si="229"/>
        <v>1+0.357498813026787i</v>
      </c>
      <c r="AK400" s="31">
        <f t="shared" si="244"/>
        <v>1.0619818272058903</v>
      </c>
      <c r="AL400" s="31">
        <f t="shared" si="245"/>
        <v>0.34333959420267463</v>
      </c>
      <c r="AM400" s="31" t="str">
        <f t="shared" si="230"/>
        <v>1+109.593247237879i</v>
      </c>
      <c r="AN400" s="31">
        <f t="shared" si="246"/>
        <v>109.59780946781225</v>
      </c>
      <c r="AO400" s="31">
        <f t="shared" si="247"/>
        <v>1.5616719302329631</v>
      </c>
      <c r="AP400" s="58" t="str">
        <f t="shared" si="248"/>
        <v>-0.524168976886318+0.192801574062998i</v>
      </c>
      <c r="AQ400" s="49">
        <f t="shared" si="249"/>
        <v>-5.0594903197135466</v>
      </c>
      <c r="AR400" s="61">
        <f t="shared" si="250"/>
        <v>159.80530089884988</v>
      </c>
      <c r="AS400" s="58" t="str">
        <f t="shared" si="251"/>
        <v>0.000814440531985833-0.000878435507731938i</v>
      </c>
      <c r="AT400" s="64">
        <f t="shared" si="252"/>
        <v>-58.431595022952408</v>
      </c>
      <c r="AU400" s="61">
        <f t="shared" si="253"/>
        <v>-47.164893854876574</v>
      </c>
    </row>
    <row r="401" spans="14:47" x14ac:dyDescent="0.25">
      <c r="N401" s="10">
        <v>83</v>
      </c>
      <c r="O401" s="50">
        <f t="shared" si="254"/>
        <v>67608.297539198305</v>
      </c>
      <c r="P401" s="48" t="str">
        <f t="shared" si="222"/>
        <v>304.285714285714</v>
      </c>
      <c r="Q401" s="17" t="str">
        <f t="shared" si="223"/>
        <v>1+22119.7065435509i</v>
      </c>
      <c r="R401" s="17">
        <f t="shared" si="231"/>
        <v>22119.706566155179</v>
      </c>
      <c r="S401" s="17">
        <f t="shared" si="232"/>
        <v>1.5707511182385647</v>
      </c>
      <c r="T401" s="17" t="str">
        <f t="shared" si="224"/>
        <v>1+0.458779098681054i</v>
      </c>
      <c r="U401" s="17">
        <f t="shared" si="233"/>
        <v>1.1002173700622075</v>
      </c>
      <c r="V401" s="17">
        <f t="shared" si="234"/>
        <v>0.43013059686467403</v>
      </c>
      <c r="W401" s="31" t="str">
        <f t="shared" si="225"/>
        <v>1-1.4336846833783i</v>
      </c>
      <c r="X401" s="17">
        <f t="shared" si="235"/>
        <v>1.7479850603919749</v>
      </c>
      <c r="Y401" s="17">
        <f t="shared" si="236"/>
        <v>-0.96174787128752337</v>
      </c>
      <c r="Z401" s="31" t="str">
        <f t="shared" si="226"/>
        <v>0.713000400833533+12.6471765080216i</v>
      </c>
      <c r="AA401" s="17">
        <f t="shared" si="237"/>
        <v>12.667258708838396</v>
      </c>
      <c r="AB401" s="17">
        <f t="shared" si="238"/>
        <v>1.5144796884095075</v>
      </c>
      <c r="AC401" s="66" t="str">
        <f t="shared" si="239"/>
        <v>-0.00185704935707246+0.000955628569215268i</v>
      </c>
      <c r="AD401" s="64">
        <f t="shared" si="240"/>
        <v>-53.603284493851511</v>
      </c>
      <c r="AE401" s="61">
        <f t="shared" si="241"/>
        <v>152.76986981464557</v>
      </c>
      <c r="AF401" s="31" t="str">
        <f t="shared" si="227"/>
        <v>-0.000495863624968664</v>
      </c>
      <c r="AG401" s="31" t="str">
        <f t="shared" si="228"/>
        <v>0.0937608543156317i</v>
      </c>
      <c r="AH401" s="31">
        <f t="shared" si="242"/>
        <v>9.3760854315631706E-2</v>
      </c>
      <c r="AI401" s="31">
        <f t="shared" si="243"/>
        <v>1.5707963267948966</v>
      </c>
      <c r="AJ401" s="31" t="str">
        <f t="shared" si="229"/>
        <v>1+0.365826030118998i</v>
      </c>
      <c r="AK401" s="31">
        <f t="shared" si="244"/>
        <v>1.0648139200407862</v>
      </c>
      <c r="AL401" s="31">
        <f t="shared" si="245"/>
        <v>0.35070358110025546</v>
      </c>
      <c r="AM401" s="31" t="str">
        <f t="shared" si="230"/>
        <v>1+112.146001899813i</v>
      </c>
      <c r="AN401" s="31">
        <f t="shared" si="246"/>
        <v>112.15046028489077</v>
      </c>
      <c r="AO401" s="31">
        <f t="shared" si="247"/>
        <v>1.5618796157187937</v>
      </c>
      <c r="AP401" s="58" t="str">
        <f t="shared" si="248"/>
        <v>-0.521384413283585+0.1960245897664i</v>
      </c>
      <c r="AQ401" s="49">
        <f t="shared" si="249"/>
        <v>-5.082639289206293</v>
      </c>
      <c r="AR401" s="61">
        <f t="shared" si="250"/>
        <v>159.39527503103309</v>
      </c>
      <c r="AS401" s="58" t="str">
        <f t="shared" si="251"/>
        <v>0.000780909891226409-0.00086227717927342i</v>
      </c>
      <c r="AT401" s="64">
        <f t="shared" si="252"/>
        <v>-58.685923783057802</v>
      </c>
      <c r="AU401" s="61">
        <f t="shared" si="253"/>
        <v>-47.834855154321303</v>
      </c>
    </row>
    <row r="402" spans="14:47" x14ac:dyDescent="0.25">
      <c r="N402" s="10">
        <v>84</v>
      </c>
      <c r="O402" s="50">
        <f t="shared" si="254"/>
        <v>69183.097091893651</v>
      </c>
      <c r="P402" s="48" t="str">
        <f t="shared" si="222"/>
        <v>304.285714285714</v>
      </c>
      <c r="Q402" s="17" t="str">
        <f t="shared" si="223"/>
        <v>1+22634.9406973223i</v>
      </c>
      <c r="R402" s="17">
        <f t="shared" si="231"/>
        <v>22634.940719412043</v>
      </c>
      <c r="S402" s="17">
        <f t="shared" si="232"/>
        <v>1.570752147310942</v>
      </c>
      <c r="T402" s="17" t="str">
        <f t="shared" si="224"/>
        <v>1+0.469465436685202i</v>
      </c>
      <c r="U402" s="17">
        <f t="shared" si="233"/>
        <v>1.1047161609400069</v>
      </c>
      <c r="V402" s="17">
        <f t="shared" si="234"/>
        <v>0.4389229535396641</v>
      </c>
      <c r="W402" s="31" t="str">
        <f t="shared" si="225"/>
        <v>1-1.46707948964126i</v>
      </c>
      <c r="X402" s="17">
        <f t="shared" si="235"/>
        <v>1.7754780282859206</v>
      </c>
      <c r="Y402" s="17">
        <f t="shared" si="236"/>
        <v>-0.97250841684902301</v>
      </c>
      <c r="Z402" s="31" t="str">
        <f t="shared" si="226"/>
        <v>0.699474526433629+12.9417670927963i</v>
      </c>
      <c r="AA402" s="17">
        <f t="shared" si="237"/>
        <v>12.960655851357014</v>
      </c>
      <c r="AB402" s="17">
        <f t="shared" si="238"/>
        <v>1.5168010247378947</v>
      </c>
      <c r="AC402" s="66" t="str">
        <f t="shared" si="239"/>
        <v>-0.00180494911421859+0.000938634740095286i</v>
      </c>
      <c r="AD402" s="64">
        <f t="shared" si="240"/>
        <v>-53.831175343999206</v>
      </c>
      <c r="AE402" s="61">
        <f t="shared" si="241"/>
        <v>152.52403916221303</v>
      </c>
      <c r="AF402" s="31" t="str">
        <f t="shared" si="227"/>
        <v>-0.000495863624968664</v>
      </c>
      <c r="AG402" s="31" t="str">
        <f t="shared" si="228"/>
        <v>0.0959448251714424i</v>
      </c>
      <c r="AH402" s="31">
        <f t="shared" si="242"/>
        <v>9.5944825171442399E-2</v>
      </c>
      <c r="AI402" s="31">
        <f t="shared" si="243"/>
        <v>1.5707963267948966</v>
      </c>
      <c r="AJ402" s="31" t="str">
        <f t="shared" si="229"/>
        <v>1+0.374347213014658i</v>
      </c>
      <c r="AK402" s="31">
        <f t="shared" si="244"/>
        <v>1.0677714342928648</v>
      </c>
      <c r="AL402" s="31">
        <f t="shared" si="245"/>
        <v>0.35819824108314197</v>
      </c>
      <c r="AM402" s="31" t="str">
        <f t="shared" si="230"/>
        <v>1+114.758217856383i</v>
      </c>
      <c r="AN402" s="31">
        <f t="shared" si="246"/>
        <v>114.76257476012405</v>
      </c>
      <c r="AO402" s="31">
        <f t="shared" si="247"/>
        <v>1.5620825744491023</v>
      </c>
      <c r="AP402" s="58" t="str">
        <f t="shared" si="248"/>
        <v>-0.518500151231559+0.199267303023984i</v>
      </c>
      <c r="AQ402" s="49">
        <f t="shared" si="249"/>
        <v>-5.1067463943331717</v>
      </c>
      <c r="AR402" s="61">
        <f t="shared" si="250"/>
        <v>158.97749132379008</v>
      </c>
      <c r="AS402" s="58" t="str">
        <f t="shared" si="251"/>
        <v>0.000748827175504202-0.000846349596776468i</v>
      </c>
      <c r="AT402" s="64">
        <f t="shared" si="252"/>
        <v>-58.937921738332371</v>
      </c>
      <c r="AU402" s="61">
        <f t="shared" si="253"/>
        <v>-48.498469513996902</v>
      </c>
    </row>
    <row r="403" spans="14:47" x14ac:dyDescent="0.25">
      <c r="N403" s="10">
        <v>85</v>
      </c>
      <c r="O403" s="50">
        <f t="shared" si="254"/>
        <v>70794.578438413781</v>
      </c>
      <c r="P403" s="48" t="str">
        <f t="shared" ref="P403:P466" si="255">COMPLEX(Adc,0)</f>
        <v>304.285714285714</v>
      </c>
      <c r="Q403" s="17" t="str">
        <f t="shared" ref="Q403:Q466" si="256">IMSUM(COMPLEX(1,0),IMDIV(COMPLEX(0,2*PI()*O403),COMPLEX(wp_lf,0)))</f>
        <v>1+23162.1761962603i</v>
      </c>
      <c r="R403" s="17">
        <f t="shared" si="231"/>
        <v>23162.17621784722</v>
      </c>
      <c r="S403" s="17">
        <f t="shared" si="232"/>
        <v>1.5707531529587724</v>
      </c>
      <c r="T403" s="17" t="str">
        <f t="shared" ref="T403:T466" si="257">IMSUM(COMPLEX(1,0),IMDIV(COMPLEX(0,2*PI()*O403),COMPLEX(wz_esr,0)))</f>
        <v>1+0.480400691477991i</v>
      </c>
      <c r="U403" s="17">
        <f t="shared" si="233"/>
        <v>1.1094074203702318</v>
      </c>
      <c r="V403" s="17">
        <f t="shared" si="234"/>
        <v>0.44784558377136363</v>
      </c>
      <c r="W403" s="31" t="str">
        <f t="shared" ref="W403:W466" si="258">IMSUB(COMPLEX(1,0),IMDIV(COMPLEX(0,2*PI()*O403),COMPLEX(wz_rhp,0)))</f>
        <v>1-1.50125216086872i</v>
      </c>
      <c r="X403" s="17">
        <f t="shared" si="235"/>
        <v>1.8038176322768886</v>
      </c>
      <c r="Y403" s="17">
        <f t="shared" si="236"/>
        <v>-0.98317878096287636</v>
      </c>
      <c r="Z403" s="31" t="str">
        <f t="shared" ref="Z403:Z466" si="259">IMSUM(COMPLEX(1,0),IMDIV(COMPLEX(0,2*PI()*O403),COMPLEX(Q*(wsl/2),0)),IMDIV(IMPOWER(COMPLEX(0,2*PI()*O403),2),IMPOWER(COMPLEX(wsl/2,0),2)))</f>
        <v>0.685311197212138+13.2432195737881i</v>
      </c>
      <c r="AA403" s="17">
        <f t="shared" si="237"/>
        <v>13.260939488459655</v>
      </c>
      <c r="AB403" s="17">
        <f t="shared" si="238"/>
        <v>1.5190943633091345</v>
      </c>
      <c r="AC403" s="66" t="str">
        <f t="shared" si="239"/>
        <v>-0.00175516489667937+0.00092177741412713i</v>
      </c>
      <c r="AD403" s="64">
        <f t="shared" si="240"/>
        <v>-54.055767941872183</v>
      </c>
      <c r="AE403" s="61">
        <f t="shared" si="241"/>
        <v>152.29244514655056</v>
      </c>
      <c r="AF403" s="31" t="str">
        <f t="shared" ref="AF403:AF466" si="260">COMPLEX(Adc_ea,0)</f>
        <v>-0.000495863624968664</v>
      </c>
      <c r="AG403" s="31" t="str">
        <f t="shared" ref="AG403:AG466" si="261">COMPLEX(0,2*PI()*O403*wp0_ea)</f>
        <v>0.0981796672435391i</v>
      </c>
      <c r="AH403" s="31">
        <f t="shared" si="242"/>
        <v>9.8179667243539104E-2</v>
      </c>
      <c r="AI403" s="31">
        <f t="shared" si="243"/>
        <v>1.5707963267948966</v>
      </c>
      <c r="AJ403" s="31" t="str">
        <f t="shared" ref="AJ403:AJ466" si="262">IMSUM(COMPLEX(1,0),IMDIV(COMPLEX(0,2*PI()*O403),COMPLEX(wp1_ea,0)))</f>
        <v>1+0.38306687975773i</v>
      </c>
      <c r="AK403" s="31">
        <f t="shared" si="244"/>
        <v>1.070859577333706</v>
      </c>
      <c r="AL403" s="31">
        <f t="shared" si="245"/>
        <v>0.365824179134776</v>
      </c>
      <c r="AM403" s="31" t="str">
        <f t="shared" ref="AM403:AM466" si="263">IMSUM(COMPLEX(1,0),IMDIV(COMPLEX(0,2*PI()*O403),COMPLEX(wz_ea,0)))</f>
        <v>1+117.431280139064i</v>
      </c>
      <c r="AN403" s="31">
        <f t="shared" si="246"/>
        <v>117.43553787120544</v>
      </c>
      <c r="AO403" s="31">
        <f t="shared" si="247"/>
        <v>1.5622809139683729</v>
      </c>
      <c r="AP403" s="58" t="str">
        <f t="shared" si="248"/>
        <v>-0.515513963509434+0.202526898966475i</v>
      </c>
      <c r="AQ403" s="49">
        <f t="shared" si="249"/>
        <v>-5.1318457761755436</v>
      </c>
      <c r="AR403" s="61">
        <f t="shared" si="250"/>
        <v>158.55192127596814</v>
      </c>
      <c r="AS403" s="58" t="str">
        <f t="shared" si="251"/>
        <v>0.000718127291279305-0.00083065723192944i</v>
      </c>
      <c r="AT403" s="64">
        <f t="shared" si="252"/>
        <v>-59.187613718047714</v>
      </c>
      <c r="AU403" s="61">
        <f t="shared" si="253"/>
        <v>-49.155633577481261</v>
      </c>
    </row>
    <row r="404" spans="14:47" x14ac:dyDescent="0.25">
      <c r="N404" s="10">
        <v>86</v>
      </c>
      <c r="O404" s="50">
        <f t="shared" si="254"/>
        <v>72443.596007499116</v>
      </c>
      <c r="P404" s="48" t="str">
        <f t="shared" si="255"/>
        <v>304.285714285714</v>
      </c>
      <c r="Q404" s="17" t="str">
        <f t="shared" si="256"/>
        <v>1+23701.6925876053i</v>
      </c>
      <c r="R404" s="17">
        <f t="shared" ref="R404:R467" si="264">IMABS(Q404)</f>
        <v>23701.69260870084</v>
      </c>
      <c r="S404" s="17">
        <f t="shared" ref="S404:S467" si="265">IMARGUMENT(Q404)</f>
        <v>1.5707541357152635</v>
      </c>
      <c r="T404" s="17" t="str">
        <f t="shared" si="257"/>
        <v>1+0.491590661076258i</v>
      </c>
      <c r="U404" s="17">
        <f t="shared" ref="U404:U467" si="266">IMABS(T404)</f>
        <v>1.1142986036325238</v>
      </c>
      <c r="V404" s="17">
        <f t="shared" ref="V404:V467" si="267">IMARGUMENT(T404)</f>
        <v>0.45689753457239241</v>
      </c>
      <c r="W404" s="31" t="str">
        <f t="shared" si="258"/>
        <v>1-1.53622081586331i</v>
      </c>
      <c r="X404" s="17">
        <f t="shared" ref="X404:X467" si="268">IMABS(W404)</f>
        <v>1.8330232936577029</v>
      </c>
      <c r="Y404" s="17">
        <f t="shared" ref="Y404:Y467" si="269">IMARGUMENT(W404)</f>
        <v>-0.99375490201116001</v>
      </c>
      <c r="Z404" s="31" t="str">
        <f t="shared" si="259"/>
        <v>0.670480370848869+13.5516937850927i</v>
      </c>
      <c r="AA404" s="17">
        <f t="shared" ref="AA404:AA467" si="270">IMABS(Z404)</f>
        <v>13.568269910810802</v>
      </c>
      <c r="AB404" s="17">
        <f t="shared" ref="AB404:AB467" si="271">IMARGUMENT(Z404)</f>
        <v>1.5213608757810069</v>
      </c>
      <c r="AC404" s="66" t="str">
        <f t="shared" ref="AC404:AC467" si="272">(IMDIV(IMPRODUCT(P404,T404,W404),IMPRODUCT(Q404,Z404)))</f>
        <v>-0.00170759477675018+0.000905071483606948i</v>
      </c>
      <c r="AD404" s="64">
        <f t="shared" ref="AD404:AD467" si="273">20*LOG(IMABS(AC404))</f>
        <v>-54.277054041688508</v>
      </c>
      <c r="AE404" s="61">
        <f t="shared" ref="AE404:AE467" si="274">(180/PI())*IMARGUMENT(AC404)</f>
        <v>152.07519871747226</v>
      </c>
      <c r="AF404" s="31" t="str">
        <f t="shared" si="260"/>
        <v>-0.000495863624968664</v>
      </c>
      <c r="AG404" s="31" t="str">
        <f t="shared" si="261"/>
        <v>0.10046656547477i</v>
      </c>
      <c r="AH404" s="31">
        <f t="shared" ref="AH404:AH467" si="275">IMABS(AG404)</f>
        <v>0.10046656547476999</v>
      </c>
      <c r="AI404" s="31">
        <f t="shared" ref="AI404:AI467" si="276">IMARGUMENT(AG404)</f>
        <v>1.5707963267948966</v>
      </c>
      <c r="AJ404" s="31" t="str">
        <f t="shared" si="262"/>
        <v>1+0.39198965363094i</v>
      </c>
      <c r="AK404" s="31">
        <f t="shared" ref="AK404:AK467" si="277">IMABS(AJ404)</f>
        <v>1.0740837437340276</v>
      </c>
      <c r="AL404" s="31">
        <f t="shared" ref="AL404:AL467" si="278">IMARGUMENT(AJ404)</f>
        <v>0.37358188973522738</v>
      </c>
      <c r="AM404" s="31" t="str">
        <f t="shared" si="263"/>
        <v>1+120.166606040863i</v>
      </c>
      <c r="AN404" s="31">
        <f t="shared" ref="AN404:AN467" si="279">IMABS(AM404)</f>
        <v>120.17076685858326</v>
      </c>
      <c r="AO404" s="31">
        <f t="shared" ref="AO404:AO467" si="280">IMARGUMENT(AM404)</f>
        <v>1.5624747393763891</v>
      </c>
      <c r="AP404" s="58" t="str">
        <f t="shared" ref="AP404:AP467" si="281">IMPRODUCT(AF404,IMDIV(AM404,IMPRODUCT(AG404,AJ404)))</f>
        <v>-0.512423686473403+0.205800391777899i</v>
      </c>
      <c r="AQ404" s="49">
        <f t="shared" ref="AQ404:AQ467" si="282">20*LOG(IMABS(AP404))</f>
        <v>-5.1579723173971592</v>
      </c>
      <c r="AR404" s="61">
        <f t="shared" ref="AR404:AR467" si="283">(180/PI())*IMARGUMENT(AP404)</f>
        <v>158.11854257772004</v>
      </c>
      <c r="AS404" s="58" t="str">
        <f t="shared" ref="AS404:AS467" si="284">IMPRODUCT(AC404,AP404)</f>
        <v>0.000688747944591741-0.000815203740204905i</v>
      </c>
      <c r="AT404" s="64">
        <f t="shared" ref="AT404:AT467" si="285">20*LOG(IMABS(AS404))</f>
        <v>-59.435026359085668</v>
      </c>
      <c r="AU404" s="61">
        <f t="shared" ref="AU404:AU467" si="286">(180/PI())*IMARGUMENT(AS404)</f>
        <v>-49.80625870480764</v>
      </c>
    </row>
    <row r="405" spans="14:47" x14ac:dyDescent="0.25">
      <c r="N405" s="10">
        <v>87</v>
      </c>
      <c r="O405" s="50">
        <f t="shared" si="254"/>
        <v>74131.024130091857</v>
      </c>
      <c r="P405" s="48" t="str">
        <f t="shared" si="255"/>
        <v>304.285714285714</v>
      </c>
      <c r="Q405" s="17" t="str">
        <f t="shared" si="256"/>
        <v>1+24253.7759300893i</v>
      </c>
      <c r="R405" s="17">
        <f t="shared" si="264"/>
        <v>24253.775950704647</v>
      </c>
      <c r="S405" s="17">
        <f t="shared" si="265"/>
        <v>1.5707550961014856</v>
      </c>
      <c r="T405" s="17" t="str">
        <f t="shared" si="257"/>
        <v>1+0.503041278549998i</v>
      </c>
      <c r="U405" s="17">
        <f t="shared" si="266"/>
        <v>1.1193973949966189</v>
      </c>
      <c r="V405" s="17">
        <f t="shared" si="267"/>
        <v>0.46607767085364471</v>
      </c>
      <c r="W405" s="31" t="str">
        <f t="shared" si="258"/>
        <v>1-1.57200399546875i</v>
      </c>
      <c r="X405" s="17">
        <f t="shared" si="268"/>
        <v>1.8631147473437359</v>
      </c>
      <c r="Y405" s="17">
        <f t="shared" si="269"/>
        <v>-1.0042329235706151</v>
      </c>
      <c r="Z405" s="31" t="str">
        <f t="shared" si="259"/>
        <v>0.654950589172705+13.86735328382i</v>
      </c>
      <c r="AA405" s="17">
        <f t="shared" si="270"/>
        <v>13.882811220085468</v>
      </c>
      <c r="AB405" s="17">
        <f t="shared" si="271"/>
        <v>1.5236017223373115</v>
      </c>
      <c r="AC405" s="66" t="str">
        <f t="shared" si="272"/>
        <v>-0.00166214120362894+0.000888530359428955i</v>
      </c>
      <c r="AD405" s="64">
        <f t="shared" si="273"/>
        <v>-54.495026413609004</v>
      </c>
      <c r="AE405" s="61">
        <f t="shared" si="274"/>
        <v>151.87238929244918</v>
      </c>
      <c r="AF405" s="31" t="str">
        <f t="shared" si="260"/>
        <v>-0.000495863624968664</v>
      </c>
      <c r="AG405" s="31" t="str">
        <f t="shared" si="261"/>
        <v>0.102806732408848i</v>
      </c>
      <c r="AH405" s="31">
        <f t="shared" si="275"/>
        <v>0.102806732408848</v>
      </c>
      <c r="AI405" s="31">
        <f t="shared" si="276"/>
        <v>1.5707963267948966</v>
      </c>
      <c r="AJ405" s="31" t="str">
        <f t="shared" si="262"/>
        <v>1+0.401120265607102i</v>
      </c>
      <c r="AK405" s="31">
        <f t="shared" si="277"/>
        <v>1.0774495196902321</v>
      </c>
      <c r="AL405" s="31">
        <f t="shared" si="278"/>
        <v>0.38147175010325235</v>
      </c>
      <c r="AM405" s="31" t="str">
        <f t="shared" si="263"/>
        <v>1+122.965645867777i</v>
      </c>
      <c r="AN405" s="31">
        <f t="shared" si="279"/>
        <v>122.96971197689103</v>
      </c>
      <c r="AO405" s="31">
        <f t="shared" si="280"/>
        <v>1.5626641533836609</v>
      </c>
      <c r="AP405" s="58" t="str">
        <f t="shared" si="281"/>
        <v>-0.509227231425812+0.20908462256522i</v>
      </c>
      <c r="AQ405" s="49">
        <f t="shared" si="282"/>
        <v>-5.1851616188954672</v>
      </c>
      <c r="AR405" s="61">
        <f t="shared" si="283"/>
        <v>157.67733950088223</v>
      </c>
      <c r="AS405" s="58" t="str">
        <f t="shared" si="284"/>
        <v>0.00066062952852379-0.000799992021180646i</v>
      </c>
      <c r="AT405" s="64">
        <f t="shared" si="285"/>
        <v>-59.680188032504461</v>
      </c>
      <c r="AU405" s="61">
        <f t="shared" si="286"/>
        <v>-50.450271206668596</v>
      </c>
    </row>
    <row r="406" spans="14:47" x14ac:dyDescent="0.25">
      <c r="N406" s="10">
        <v>88</v>
      </c>
      <c r="O406" s="50">
        <f t="shared" si="254"/>
        <v>75857.757502918481</v>
      </c>
      <c r="P406" s="48" t="str">
        <f t="shared" si="255"/>
        <v>304.285714285714</v>
      </c>
      <c r="Q406" s="17" t="str">
        <f t="shared" si="256"/>
        <v>1+24818.7189456079i</v>
      </c>
      <c r="R406" s="17">
        <f t="shared" si="264"/>
        <v>24818.718965753982</v>
      </c>
      <c r="S406" s="17">
        <f t="shared" si="265"/>
        <v>1.5707560346266485</v>
      </c>
      <c r="T406" s="17" t="str">
        <f t="shared" si="257"/>
        <v>1+0.514758615168163i</v>
      </c>
      <c r="U406" s="17">
        <f t="shared" si="266"/>
        <v>1.1247117105684661</v>
      </c>
      <c r="V406" s="17">
        <f t="shared" si="267"/>
        <v>0.47538466985763345</v>
      </c>
      <c r="W406" s="31" t="str">
        <f t="shared" si="258"/>
        <v>1-1.60862067240051i</v>
      </c>
      <c r="X406" s="17">
        <f t="shared" si="268"/>
        <v>1.8941120525655999</v>
      </c>
      <c r="Y406" s="17">
        <f t="shared" si="269"/>
        <v>-1.0146091980265928</v>
      </c>
      <c r="Z406" s="31" t="str">
        <f t="shared" si="259"/>
        <v>0.638688911434597+14.1903654368145i</v>
      </c>
      <c r="AA406" s="17">
        <f t="shared" si="270"/>
        <v>14.204731421464082</v>
      </c>
      <c r="AB406" s="17">
        <f t="shared" si="271"/>
        <v>1.5258180521103579</v>
      </c>
      <c r="AC406" s="66" t="str">
        <f t="shared" si="272"/>
        <v>-0.00161871082416237+0.000872166079260676i</v>
      </c>
      <c r="AD406" s="64">
        <f t="shared" si="273"/>
        <v>-54.709678798351995</v>
      </c>
      <c r="AE406" s="61">
        <f t="shared" si="274"/>
        <v>151.68408420637766</v>
      </c>
      <c r="AF406" s="31" t="str">
        <f t="shared" si="260"/>
        <v>-0.000495863624968664</v>
      </c>
      <c r="AG406" s="31" t="str">
        <f t="shared" si="261"/>
        <v>0.105201408833257i</v>
      </c>
      <c r="AH406" s="31">
        <f t="shared" si="275"/>
        <v>0.105201408833257</v>
      </c>
      <c r="AI406" s="31">
        <f t="shared" si="276"/>
        <v>1.5707963267948966</v>
      </c>
      <c r="AJ406" s="31" t="str">
        <f t="shared" si="262"/>
        <v>1+0.410463556857541i</v>
      </c>
      <c r="AK406" s="31">
        <f t="shared" si="277"/>
        <v>1.080962687380163</v>
      </c>
      <c r="AL406" s="31">
        <f t="shared" si="278"/>
        <v>0.38949401336966705</v>
      </c>
      <c r="AM406" s="31" t="str">
        <f t="shared" si="263"/>
        <v>1+125.829883707773i</v>
      </c>
      <c r="AN406" s="31">
        <f t="shared" si="279"/>
        <v>125.83385726390047</v>
      </c>
      <c r="AO406" s="31">
        <f t="shared" si="280"/>
        <v>1.5628492563656051</v>
      </c>
      <c r="AP406" s="58" t="str">
        <f t="shared" si="281"/>
        <v>-0.505922596550198+0.212376257908781i</v>
      </c>
      <c r="AQ406" s="49">
        <f t="shared" si="282"/>
        <v>-5.2134499725059245</v>
      </c>
      <c r="AR406" s="61">
        <f t="shared" si="283"/>
        <v>157.2283032932144</v>
      </c>
      <c r="AS406" s="58" t="str">
        <f t="shared" si="284"/>
        <v>0.000633715015035782-0.00078502427491461i</v>
      </c>
      <c r="AT406" s="64">
        <f t="shared" si="285"/>
        <v>-59.923128770857915</v>
      </c>
      <c r="AU406" s="61">
        <f t="shared" si="286"/>
        <v>-51.087612500407914</v>
      </c>
    </row>
    <row r="407" spans="14:47" x14ac:dyDescent="0.25">
      <c r="N407" s="10">
        <v>89</v>
      </c>
      <c r="O407" s="50">
        <f t="shared" si="254"/>
        <v>77624.711662869129</v>
      </c>
      <c r="P407" s="48" t="str">
        <f t="shared" si="255"/>
        <v>304.285714285714</v>
      </c>
      <c r="Q407" s="17" t="str">
        <f t="shared" si="256"/>
        <v>1+25396.8211744261i</v>
      </c>
      <c r="R407" s="17">
        <f t="shared" si="264"/>
        <v>25396.8211941136</v>
      </c>
      <c r="S407" s="17">
        <f t="shared" si="265"/>
        <v>1.5707569517883706</v>
      </c>
      <c r="T407" s="17" t="str">
        <f t="shared" si="257"/>
        <v>1+0.526748883617726i</v>
      </c>
      <c r="U407" s="17">
        <f t="shared" si="266"/>
        <v>1.1302497009035306</v>
      </c>
      <c r="V407" s="17">
        <f t="shared" si="267"/>
        <v>0.4848170159725097</v>
      </c>
      <c r="W407" s="31" t="str">
        <f t="shared" si="258"/>
        <v>1-1.6460902613054i</v>
      </c>
      <c r="X407" s="17">
        <f t="shared" si="268"/>
        <v>1.926035604126902</v>
      </c>
      <c r="Y407" s="17">
        <f t="shared" si="269"/>
        <v>-1.0248802892307565</v>
      </c>
      <c r="Z407" s="31" t="str">
        <f t="shared" si="259"/>
        <v>0.621660844435821+14.5209015093953i</v>
      </c>
      <c r="AA407" s="17">
        <f t="shared" si="270"/>
        <v>14.534202518578835</v>
      </c>
      <c r="AB407" s="17">
        <f t="shared" si="271"/>
        <v>1.5280110036091883</v>
      </c>
      <c r="AC407" s="66" t="str">
        <f t="shared" si="272"/>
        <v>-0.00157721431011943+0.000855989408579014i</v>
      </c>
      <c r="AD407" s="64">
        <f t="shared" si="273"/>
        <v>-54.921005867134333</v>
      </c>
      <c r="AE407" s="61">
        <f t="shared" si="274"/>
        <v>151.51032823761844</v>
      </c>
      <c r="AF407" s="31" t="str">
        <f t="shared" si="260"/>
        <v>-0.000495863624968664</v>
      </c>
      <c r="AG407" s="31" t="str">
        <f t="shared" si="261"/>
        <v>0.107651864437134i</v>
      </c>
      <c r="AH407" s="31">
        <f t="shared" si="275"/>
        <v>0.107651864437134</v>
      </c>
      <c r="AI407" s="31">
        <f t="shared" si="276"/>
        <v>1.5707963267948966</v>
      </c>
      <c r="AJ407" s="31" t="str">
        <f t="shared" si="262"/>
        <v>1+0.420024481318954i</v>
      </c>
      <c r="AK407" s="31">
        <f t="shared" si="277"/>
        <v>1.0846292292333157</v>
      </c>
      <c r="AL407" s="31">
        <f t="shared" si="278"/>
        <v>0.39764880170997097</v>
      </c>
      <c r="AM407" s="31" t="str">
        <f t="shared" si="263"/>
        <v>1+128.760838217666i</v>
      </c>
      <c r="AN407" s="31">
        <f t="shared" si="279"/>
        <v>128.76472132737271</v>
      </c>
      <c r="AO407" s="31">
        <f t="shared" si="280"/>
        <v>1.5630301464155059</v>
      </c>
      <c r="AP407" s="58" t="str">
        <f t="shared" si="281"/>
        <v>-0.502507879383288+0.215671789167576i</v>
      </c>
      <c r="AQ407" s="49">
        <f t="shared" si="282"/>
        <v>-5.2428743295743647</v>
      </c>
      <c r="AR407" s="61">
        <f t="shared" si="283"/>
        <v>156.77143257490766</v>
      </c>
      <c r="AS407" s="58" t="str">
        <f t="shared" si="284"/>
        <v>0.000607949851054359-0.000770302054643757i</v>
      </c>
      <c r="AT407" s="64">
        <f t="shared" si="285"/>
        <v>-60.163880196708696</v>
      </c>
      <c r="AU407" s="61">
        <f t="shared" si="286"/>
        <v>-51.718239187473941</v>
      </c>
    </row>
    <row r="408" spans="14:47" x14ac:dyDescent="0.25">
      <c r="N408" s="10">
        <v>90</v>
      </c>
      <c r="O408" s="50">
        <f t="shared" si="254"/>
        <v>79432.823472428237</v>
      </c>
      <c r="P408" s="48" t="str">
        <f t="shared" si="255"/>
        <v>304.285714285714</v>
      </c>
      <c r="Q408" s="17" t="str">
        <f t="shared" si="256"/>
        <v>1+25988.3891339978i</v>
      </c>
      <c r="R408" s="17">
        <f t="shared" si="264"/>
        <v>25988.38915323716</v>
      </c>
      <c r="S408" s="17">
        <f t="shared" si="265"/>
        <v>1.5707578480729432</v>
      </c>
      <c r="T408" s="17" t="str">
        <f t="shared" si="257"/>
        <v>1+0.539018441297731i</v>
      </c>
      <c r="U408" s="17">
        <f t="shared" si="266"/>
        <v>1.1360197533753695</v>
      </c>
      <c r="V408" s="17">
        <f t="shared" si="267"/>
        <v>0.49437299598108297</v>
      </c>
      <c r="W408" s="31" t="str">
        <f t="shared" si="258"/>
        <v>1-1.68443262905541i</v>
      </c>
      <c r="X408" s="17">
        <f t="shared" si="268"/>
        <v>1.9589061442107227</v>
      </c>
      <c r="Y408" s="17">
        <f t="shared" si="269"/>
        <v>-1.0350429742294931</v>
      </c>
      <c r="Z408" s="31" t="str">
        <f t="shared" si="259"/>
        <v>0.603830269363277+14.8591367561633i</v>
      </c>
      <c r="AA408" s="17">
        <f t="shared" si="270"/>
        <v>14.871400610990294</v>
      </c>
      <c r="AB408" s="17">
        <f t="shared" si="271"/>
        <v>1.5301817051529703</v>
      </c>
      <c r="AC408" s="66" t="str">
        <f t="shared" si="272"/>
        <v>-0.00153756619182738+0.000840009935012674i</v>
      </c>
      <c r="AD408" s="64">
        <f t="shared" si="273"/>
        <v>-55.129003187485296</v>
      </c>
      <c r="AE408" s="61">
        <f t="shared" si="274"/>
        <v>151.3511432119081</v>
      </c>
      <c r="AF408" s="31" t="str">
        <f t="shared" si="260"/>
        <v>-0.000495863624968664</v>
      </c>
      <c r="AG408" s="31" t="str">
        <f t="shared" si="261"/>
        <v>0.110159398484477i</v>
      </c>
      <c r="AH408" s="31">
        <f t="shared" si="275"/>
        <v>0.11015939848447701</v>
      </c>
      <c r="AI408" s="31">
        <f t="shared" si="276"/>
        <v>1.5707963267948966</v>
      </c>
      <c r="AJ408" s="31" t="str">
        <f t="shared" si="262"/>
        <v>1+0.429808108320045i</v>
      </c>
      <c r="AK408" s="31">
        <f t="shared" si="277"/>
        <v>1.0884553321003372</v>
      </c>
      <c r="AL408" s="31">
        <f t="shared" si="278"/>
        <v>0.4059360994670323</v>
      </c>
      <c r="AM408" s="31" t="str">
        <f t="shared" si="263"/>
        <v>1+131.760063428334i</v>
      </c>
      <c r="AN408" s="31">
        <f t="shared" si="279"/>
        <v>131.76385815024773</v>
      </c>
      <c r="AO408" s="31">
        <f t="shared" si="280"/>
        <v>1.5632069193962836</v>
      </c>
      <c r="AP408" s="58" t="str">
        <f t="shared" si="281"/>
        <v>-0.498981289786977+0.218967532614522i</v>
      </c>
      <c r="AQ408" s="49">
        <f t="shared" si="282"/>
        <v>-5.2734722652214794</v>
      </c>
      <c r="AR408" s="61">
        <f t="shared" si="283"/>
        <v>156.30673373559029</v>
      </c>
      <c r="AS408" s="58" t="str">
        <f t="shared" si="284"/>
        <v>0.000583281858689466-0.000755826316062447i</v>
      </c>
      <c r="AT408" s="64">
        <f t="shared" si="285"/>
        <v>-60.402475452706781</v>
      </c>
      <c r="AU408" s="61">
        <f t="shared" si="286"/>
        <v>-52.34212305250162</v>
      </c>
    </row>
    <row r="409" spans="14:47" x14ac:dyDescent="0.25">
      <c r="N409" s="10">
        <v>91</v>
      </c>
      <c r="O409" s="50">
        <f t="shared" si="254"/>
        <v>81283.051616410012</v>
      </c>
      <c r="P409" s="48" t="str">
        <f t="shared" si="255"/>
        <v>304.285714285714</v>
      </c>
      <c r="Q409" s="17" t="str">
        <f t="shared" si="256"/>
        <v>1+26593.7364814852i</v>
      </c>
      <c r="R409" s="17">
        <f t="shared" si="264"/>
        <v>26593.736500286617</v>
      </c>
      <c r="S409" s="17">
        <f t="shared" si="265"/>
        <v>1.570758723955588</v>
      </c>
      <c r="T409" s="17" t="str">
        <f t="shared" si="257"/>
        <v>1+0.551573793690063i</v>
      </c>
      <c r="U409" s="17">
        <f t="shared" si="266"/>
        <v>1.1420304942888557</v>
      </c>
      <c r="V409" s="17">
        <f t="shared" si="267"/>
        <v>0.50405069479996512</v>
      </c>
      <c r="W409" s="31" t="str">
        <f t="shared" si="258"/>
        <v>1-1.72366810528145i</v>
      </c>
      <c r="X409" s="17">
        <f t="shared" si="268"/>
        <v>1.9927447747176614</v>
      </c>
      <c r="Y409" s="17">
        <f t="shared" si="269"/>
        <v>-1.0450942440961375</v>
      </c>
      <c r="Z409" s="31" t="str">
        <f t="shared" si="259"/>
        <v>0.585159365176652+15.2052505139232i</v>
      </c>
      <c r="AA409" s="17">
        <f t="shared" si="270"/>
        <v>15.216505994275284</v>
      </c>
      <c r="AB409" s="17">
        <f t="shared" si="271"/>
        <v>1.5323312753090279</v>
      </c>
      <c r="AC409" s="66" t="str">
        <f t="shared" si="272"/>
        <v>-0.00149968469800272+0.000824236156410762i</v>
      </c>
      <c r="AD409" s="64">
        <f t="shared" si="273"/>
        <v>-55.333667195391598</v>
      </c>
      <c r="AE409" s="61">
        <f t="shared" si="274"/>
        <v>151.20652768543491</v>
      </c>
      <c r="AF409" s="31" t="str">
        <f t="shared" si="260"/>
        <v>-0.000495863624968664</v>
      </c>
      <c r="AG409" s="31" t="str">
        <f t="shared" si="261"/>
        <v>0.112725340503028i</v>
      </c>
      <c r="AH409" s="31">
        <f t="shared" si="275"/>
        <v>0.112725340503028</v>
      </c>
      <c r="AI409" s="31">
        <f t="shared" si="276"/>
        <v>1.5707963267948966</v>
      </c>
      <c r="AJ409" s="31" t="str">
        <f t="shared" si="262"/>
        <v>1+0.439819625269349i</v>
      </c>
      <c r="AK409" s="31">
        <f t="shared" si="277"/>
        <v>1.0924473913063597</v>
      </c>
      <c r="AL409" s="31">
        <f t="shared" si="278"/>
        <v>0.41435574629762412</v>
      </c>
      <c r="AM409" s="31" t="str">
        <f t="shared" si="263"/>
        <v>1+134.829149568682i</v>
      </c>
      <c r="AN409" s="31">
        <f t="shared" si="279"/>
        <v>134.83285791458258</v>
      </c>
      <c r="AO409" s="31">
        <f t="shared" si="280"/>
        <v>1.5633796689910955</v>
      </c>
      <c r="AP409" s="58" t="str">
        <f t="shared" si="281"/>
        <v>-0.495341163374622+0.222259630477037i</v>
      </c>
      <c r="AQ409" s="49">
        <f t="shared" si="282"/>
        <v>-5.3052819381376342</v>
      </c>
      <c r="AR409" s="61">
        <f t="shared" si="283"/>
        <v>155.83422132990208</v>
      </c>
      <c r="AS409" s="58" t="str">
        <f t="shared" si="284"/>
        <v>0.000559661139454117-0.000741597463422085i</v>
      </c>
      <c r="AT409" s="64">
        <f t="shared" si="285"/>
        <v>-60.638949133529223</v>
      </c>
      <c r="AU409" s="61">
        <f t="shared" si="286"/>
        <v>-52.95925098466298</v>
      </c>
    </row>
    <row r="410" spans="14:47" x14ac:dyDescent="0.25">
      <c r="N410" s="10">
        <v>92</v>
      </c>
      <c r="O410" s="50">
        <f t="shared" si="254"/>
        <v>83176.377110267174</v>
      </c>
      <c r="P410" s="48" t="str">
        <f t="shared" si="255"/>
        <v>304.285714285714</v>
      </c>
      <c r="Q410" s="17" t="str">
        <f t="shared" si="256"/>
        <v>1+27213.1841800649i</v>
      </c>
      <c r="R410" s="17">
        <f t="shared" si="264"/>
        <v>27213.184198438346</v>
      </c>
      <c r="S410" s="17">
        <f t="shared" si="265"/>
        <v>1.5707595799007099</v>
      </c>
      <c r="T410" s="17" t="str">
        <f t="shared" si="257"/>
        <v>1+0.564421597808752i</v>
      </c>
      <c r="U410" s="17">
        <f t="shared" si="266"/>
        <v>1.1482907907289794</v>
      </c>
      <c r="V410" s="17">
        <f t="shared" si="267"/>
        <v>0.5138479917642973</v>
      </c>
      <c r="W410" s="31" t="str">
        <f t="shared" si="258"/>
        <v>1-1.76381749315235i</v>
      </c>
      <c r="X410" s="17">
        <f t="shared" si="268"/>
        <v>2.027572970117288</v>
      </c>
      <c r="Y410" s="17">
        <f t="shared" si="269"/>
        <v>-1.0550313039053685</v>
      </c>
      <c r="Z410" s="31" t="str">
        <f t="shared" si="259"/>
        <v>0.565608528384914+15.559426296771i</v>
      </c>
      <c r="AA410" s="17">
        <f t="shared" si="270"/>
        <v>15.569703262812386</v>
      </c>
      <c r="AB410" s="17">
        <f t="shared" si="271"/>
        <v>1.534460823335043</v>
      </c>
      <c r="AC410" s="66" t="str">
        <f t="shared" si="272"/>
        <v>-0.00146349160160645+0.000808675563032221i</v>
      </c>
      <c r="AD410" s="64">
        <f t="shared" si="273"/>
        <v>-55.53499517414113</v>
      </c>
      <c r="AE410" s="61">
        <f t="shared" si="274"/>
        <v>151.07645670808526</v>
      </c>
      <c r="AF410" s="31" t="str">
        <f t="shared" si="260"/>
        <v>-0.000495863624968664</v>
      </c>
      <c r="AG410" s="31" t="str">
        <f t="shared" si="261"/>
        <v>0.115351050989211i</v>
      </c>
      <c r="AH410" s="31">
        <f t="shared" si="275"/>
        <v>0.115351050989211</v>
      </c>
      <c r="AI410" s="31">
        <f t="shared" si="276"/>
        <v>1.5707963267948966</v>
      </c>
      <c r="AJ410" s="31" t="str">
        <f t="shared" si="262"/>
        <v>1+0.450064340405672i</v>
      </c>
      <c r="AK410" s="31">
        <f t="shared" si="277"/>
        <v>1.0966120145725162</v>
      </c>
      <c r="AL410" s="31">
        <f t="shared" si="278"/>
        <v>0.42290743037950401</v>
      </c>
      <c r="AM410" s="31" t="str">
        <f t="shared" si="263"/>
        <v>1+137.969723908806i</v>
      </c>
      <c r="AN410" s="31">
        <f t="shared" si="279"/>
        <v>137.9733478446912</v>
      </c>
      <c r="AO410" s="31">
        <f t="shared" si="280"/>
        <v>1.5635484867527976</v>
      </c>
      <c r="AP410" s="58" t="str">
        <f t="shared" si="281"/>
        <v>-0.491585975336764+0.225544052957568i</v>
      </c>
      <c r="AQ410" s="49">
        <f t="shared" si="282"/>
        <v>-5.3383420457636364</v>
      </c>
      <c r="AR410" s="61">
        <f t="shared" si="283"/>
        <v>155.35391846953357</v>
      </c>
      <c r="AS410" s="58" t="str">
        <f t="shared" si="284"/>
        <v>0.000537039982358839-0.000727615392679882i</v>
      </c>
      <c r="AT410" s="64">
        <f t="shared" si="285"/>
        <v>-60.873337219904769</v>
      </c>
      <c r="AU410" s="61">
        <f t="shared" si="286"/>
        <v>-53.569624822381158</v>
      </c>
    </row>
    <row r="411" spans="14:47" x14ac:dyDescent="0.25">
      <c r="N411" s="10">
        <v>93</v>
      </c>
      <c r="O411" s="50">
        <f t="shared" si="254"/>
        <v>85113.803820237721</v>
      </c>
      <c r="P411" s="48" t="str">
        <f t="shared" si="255"/>
        <v>304.285714285714</v>
      </c>
      <c r="Q411" s="17" t="str">
        <f t="shared" si="256"/>
        <v>1+27847.0606691059i</v>
      </c>
      <c r="R411" s="17">
        <f t="shared" si="264"/>
        <v>27847.060687061115</v>
      </c>
      <c r="S411" s="17">
        <f t="shared" si="265"/>
        <v>1.570760416362142</v>
      </c>
      <c r="T411" s="17" t="str">
        <f t="shared" si="257"/>
        <v>1+0.577568665729602i</v>
      </c>
      <c r="U411" s="17">
        <f t="shared" si="266"/>
        <v>1.1548097521378458</v>
      </c>
      <c r="V411" s="17">
        <f t="shared" si="267"/>
        <v>0.52376255751321033</v>
      </c>
      <c r="W411" s="31" t="str">
        <f t="shared" si="258"/>
        <v>1-1.80490208040501i</v>
      </c>
      <c r="X411" s="17">
        <f t="shared" si="268"/>
        <v>2.0634125907947576</v>
      </c>
      <c r="Y411" s="17">
        <f t="shared" si="269"/>
        <v>-1.0648515718928688</v>
      </c>
      <c r="Z411" s="31" t="str">
        <f t="shared" si="259"/>
        <v>0.545136289042002+15.9218518933946i</v>
      </c>
      <c r="AA411" s="17">
        <f t="shared" si="270"/>
        <v>15.931181415350956</v>
      </c>
      <c r="AB411" s="17">
        <f t="shared" si="271"/>
        <v>1.5365714496249705</v>
      </c>
      <c r="AC411" s="66" t="str">
        <f t="shared" si="272"/>
        <v>-0.00142891207155267+0.000793334714228173i</v>
      </c>
      <c r="AD411" s="64">
        <f t="shared" si="273"/>
        <v>-55.732985240128237</v>
      </c>
      <c r="AE411" s="61">
        <f t="shared" si="274"/>
        <v>150.96088166757988</v>
      </c>
      <c r="AF411" s="31" t="str">
        <f t="shared" si="260"/>
        <v>-0.000495863624968664</v>
      </c>
      <c r="AG411" s="31" t="str">
        <f t="shared" si="261"/>
        <v>0.118037922129479i</v>
      </c>
      <c r="AH411" s="31">
        <f t="shared" si="275"/>
        <v>0.118037922129479</v>
      </c>
      <c r="AI411" s="31">
        <f t="shared" si="276"/>
        <v>1.5707963267948966</v>
      </c>
      <c r="AJ411" s="31" t="str">
        <f t="shared" si="262"/>
        <v>1+0.460547685612584i</v>
      </c>
      <c r="AK411" s="31">
        <f t="shared" si="277"/>
        <v>1.1009560257899076</v>
      </c>
      <c r="AL411" s="31">
        <f t="shared" si="278"/>
        <v>0.43159068171859011</v>
      </c>
      <c r="AM411" s="31" t="str">
        <f t="shared" si="263"/>
        <v>1+141.183451622791i</v>
      </c>
      <c r="AN411" s="31">
        <f t="shared" si="279"/>
        <v>141.18699306991766</v>
      </c>
      <c r="AO411" s="31">
        <f t="shared" si="280"/>
        <v>1.5637134621522901</v>
      </c>
      <c r="AP411" s="58" t="str">
        <f t="shared" si="281"/>
        <v>-0.487714354601857+0.228816601307002i</v>
      </c>
      <c r="AQ411" s="49">
        <f t="shared" si="282"/>
        <v>-5.3726917747326457</v>
      </c>
      <c r="AR411" s="61">
        <f t="shared" si="283"/>
        <v>154.86585720946695</v>
      </c>
      <c r="AS411" s="58" t="str">
        <f t="shared" si="284"/>
        <v>0.000515372775751561-0.000713879531912272i</v>
      </c>
      <c r="AT411" s="64">
        <f t="shared" si="285"/>
        <v>-61.105677014860888</v>
      </c>
      <c r="AU411" s="61">
        <f t="shared" si="286"/>
        <v>-54.173261122953186</v>
      </c>
    </row>
    <row r="412" spans="14:47" x14ac:dyDescent="0.25">
      <c r="N412" s="10">
        <v>94</v>
      </c>
      <c r="O412" s="50">
        <f t="shared" si="254"/>
        <v>87096.358995608127</v>
      </c>
      <c r="P412" s="48" t="str">
        <f t="shared" si="255"/>
        <v>304.285714285714</v>
      </c>
      <c r="Q412" s="17" t="str">
        <f t="shared" si="256"/>
        <v>1+28495.7020383131i</v>
      </c>
      <c r="R412" s="17">
        <f t="shared" si="264"/>
        <v>28495.702055859601</v>
      </c>
      <c r="S412" s="17">
        <f t="shared" si="265"/>
        <v>1.5707612337833876</v>
      </c>
      <c r="T412" s="17" t="str">
        <f t="shared" si="257"/>
        <v>1+0.591021968202047i</v>
      </c>
      <c r="U412" s="17">
        <f t="shared" si="266"/>
        <v>1.1615967316144711</v>
      </c>
      <c r="V412" s="17">
        <f t="shared" si="267"/>
        <v>0.53379185153034714</v>
      </c>
      <c r="W412" s="31" t="str">
        <f t="shared" si="258"/>
        <v>1-1.8469436506314i</v>
      </c>
      <c r="X412" s="17">
        <f t="shared" si="268"/>
        <v>2.1002858968739573</v>
      </c>
      <c r="Y412" s="17">
        <f t="shared" si="269"/>
        <v>-1.0745526778471137</v>
      </c>
      <c r="Z412" s="31" t="str">
        <f t="shared" si="259"/>
        <v>0.523699222783506+16.2927194666428i</v>
      </c>
      <c r="AA412" s="17">
        <f t="shared" si="270"/>
        <v>16.301133963459883</v>
      </c>
      <c r="AB412" s="17">
        <f t="shared" si="271"/>
        <v>1.538664246158286</v>
      </c>
      <c r="AC412" s="66" t="str">
        <f t="shared" si="272"/>
        <v>-0.00139587453009736+0.000778219309966277i</v>
      </c>
      <c r="AD412" s="64">
        <f t="shared" si="273"/>
        <v>-55.927636335788911</v>
      </c>
      <c r="AE412" s="61">
        <f t="shared" si="274"/>
        <v>150.85973021494408</v>
      </c>
      <c r="AF412" s="31" t="str">
        <f t="shared" si="260"/>
        <v>-0.000495863624968664</v>
      </c>
      <c r="AG412" s="31" t="str">
        <f t="shared" si="261"/>
        <v>0.120787378538478i</v>
      </c>
      <c r="AH412" s="31">
        <f t="shared" si="275"/>
        <v>0.120787378538478</v>
      </c>
      <c r="AI412" s="31">
        <f t="shared" si="276"/>
        <v>1.5707963267948966</v>
      </c>
      <c r="AJ412" s="31" t="str">
        <f t="shared" si="262"/>
        <v>1+0.471275219298478i</v>
      </c>
      <c r="AK412" s="31">
        <f t="shared" si="277"/>
        <v>1.105486468630362</v>
      </c>
      <c r="AL412" s="31">
        <f t="shared" si="278"/>
        <v>0.44040486559861136</v>
      </c>
      <c r="AM412" s="31" t="str">
        <f t="shared" si="263"/>
        <v>1+144.472036671612i</v>
      </c>
      <c r="AN412" s="31">
        <f t="shared" si="279"/>
        <v>144.47549750751369</v>
      </c>
      <c r="AO412" s="31">
        <f t="shared" si="280"/>
        <v>1.5638746826257717</v>
      </c>
      <c r="AP412" s="58" t="str">
        <f t="shared" si="281"/>
        <v>-0.483725098257572+0.232072912021061i</v>
      </c>
      <c r="AQ412" s="49">
        <f t="shared" si="282"/>
        <v>-5.4083707464734188</v>
      </c>
      <c r="AR412" s="61">
        <f t="shared" si="283"/>
        <v>154.37007892599107</v>
      </c>
      <c r="AS412" s="58" t="str">
        <f t="shared" si="284"/>
        <v>0.000494615922771693-0.000700388879195102i</v>
      </c>
      <c r="AT412" s="64">
        <f t="shared" si="285"/>
        <v>-61.336007082262334</v>
      </c>
      <c r="AU412" s="61">
        <f t="shared" si="286"/>
        <v>-54.770190859064869</v>
      </c>
    </row>
    <row r="413" spans="14:47" x14ac:dyDescent="0.25">
      <c r="N413" s="10">
        <v>95</v>
      </c>
      <c r="O413" s="50">
        <f t="shared" si="254"/>
        <v>89125.093813374609</v>
      </c>
      <c r="P413" s="48" t="str">
        <f t="shared" si="255"/>
        <v>304.285714285714</v>
      </c>
      <c r="Q413" s="17" t="str">
        <f t="shared" si="256"/>
        <v>1+29159.4522059262i</v>
      </c>
      <c r="R413" s="17">
        <f t="shared" si="264"/>
        <v>29159.452223073295</v>
      </c>
      <c r="S413" s="17">
        <f t="shared" si="265"/>
        <v>1.570762032597854</v>
      </c>
      <c r="T413" s="17" t="str">
        <f t="shared" si="257"/>
        <v>1+0.604788638345134i</v>
      </c>
      <c r="U413" s="17">
        <f t="shared" si="266"/>
        <v>1.1686613269340957</v>
      </c>
      <c r="V413" s="17">
        <f t="shared" si="267"/>
        <v>0.54393312039220476</v>
      </c>
      <c r="W413" s="31" t="str">
        <f t="shared" si="258"/>
        <v>1-1.88996449482855i</v>
      </c>
      <c r="X413" s="17">
        <f t="shared" si="268"/>
        <v>2.1382155624989112</v>
      </c>
      <c r="Y413" s="17">
        <f t="shared" si="269"/>
        <v>-1.0841324607833394</v>
      </c>
      <c r="Z413" s="31" t="str">
        <f t="shared" si="259"/>
        <v>0.501251858717779+16.6722256554118i</v>
      </c>
      <c r="AA413" s="17">
        <f t="shared" si="270"/>
        <v>16.679759042949016</v>
      </c>
      <c r="AB413" s="17">
        <f t="shared" si="271"/>
        <v>1.540740296952186</v>
      </c>
      <c r="AC413" s="66" t="str">
        <f t="shared" si="272"/>
        <v>-0.00136431051573608+0.000763334257526069i</v>
      </c>
      <c r="AD413" s="64">
        <f t="shared" si="273"/>
        <v>-56.118948229719798</v>
      </c>
      <c r="AE413" s="61">
        <f t="shared" si="274"/>
        <v>150.772906271496</v>
      </c>
      <c r="AF413" s="31" t="str">
        <f t="shared" si="260"/>
        <v>-0.000495863624968664</v>
      </c>
      <c r="AG413" s="31" t="str">
        <f t="shared" si="261"/>
        <v>0.123600878014387i</v>
      </c>
      <c r="AH413" s="31">
        <f t="shared" si="275"/>
        <v>0.123600878014387</v>
      </c>
      <c r="AI413" s="31">
        <f t="shared" si="276"/>
        <v>1.5707963267948966</v>
      </c>
      <c r="AJ413" s="31" t="str">
        <f t="shared" si="262"/>
        <v>1+0.482252629343708i</v>
      </c>
      <c r="AK413" s="31">
        <f t="shared" si="277"/>
        <v>1.1102106099785389</v>
      </c>
      <c r="AL413" s="31">
        <f t="shared" si="278"/>
        <v>0.44934917621823889</v>
      </c>
      <c r="AM413" s="31" t="str">
        <f t="shared" si="263"/>
        <v>1+147.837222706588i</v>
      </c>
      <c r="AN413" s="31">
        <f t="shared" si="279"/>
        <v>147.84060476606993</v>
      </c>
      <c r="AO413" s="31">
        <f t="shared" si="280"/>
        <v>1.5640322336209287</v>
      </c>
      <c r="AP413" s="58" t="str">
        <f t="shared" si="281"/>
        <v>-0.479617186148319+0.235308462225795i</v>
      </c>
      <c r="AQ413" s="49">
        <f t="shared" si="282"/>
        <v>-5.4454189578994194</v>
      </c>
      <c r="AR413" s="61">
        <f t="shared" si="283"/>
        <v>153.86663468391308</v>
      </c>
      <c r="AS413" s="58" t="str">
        <f t="shared" si="284"/>
        <v>0.000474727760287172-0.000687142038141608i</v>
      </c>
      <c r="AT413" s="64">
        <f t="shared" si="285"/>
        <v>-61.564367187619226</v>
      </c>
      <c r="AU413" s="61">
        <f t="shared" si="286"/>
        <v>-55.360459044590954</v>
      </c>
    </row>
    <row r="414" spans="14:47" x14ac:dyDescent="0.25">
      <c r="N414" s="10">
        <v>96</v>
      </c>
      <c r="O414" s="50">
        <f t="shared" si="254"/>
        <v>91201.083935591028</v>
      </c>
      <c r="P414" s="48" t="str">
        <f t="shared" si="255"/>
        <v>304.285714285714</v>
      </c>
      <c r="Q414" s="17" t="str">
        <f t="shared" si="256"/>
        <v>1+29838.6631010698i</v>
      </c>
      <c r="R414" s="17">
        <f t="shared" si="264"/>
        <v>29838.663117826582</v>
      </c>
      <c r="S414" s="17">
        <f t="shared" si="265"/>
        <v>1.5707628132290832</v>
      </c>
      <c r="T414" s="17" t="str">
        <f t="shared" si="257"/>
        <v>1+0.618875975429595i</v>
      </c>
      <c r="U414" s="17">
        <f t="shared" si="266"/>
        <v>1.1760133812860858</v>
      </c>
      <c r="V414" s="17">
        <f t="shared" si="267"/>
        <v>0.55418339677483197</v>
      </c>
      <c r="W414" s="31" t="str">
        <f t="shared" si="258"/>
        <v>1-1.93398742321749i</v>
      </c>
      <c r="X414" s="17">
        <f t="shared" si="268"/>
        <v>2.177224690555255</v>
      </c>
      <c r="Y414" s="17">
        <f t="shared" si="269"/>
        <v>-1.0935889659520492</v>
      </c>
      <c r="Z414" s="31" t="str">
        <f t="shared" si="259"/>
        <v>0.477746582976062+17.0605716789063i</v>
      </c>
      <c r="AA414" s="17">
        <f t="shared" si="270"/>
        <v>17.06725952836732</v>
      </c>
      <c r="AB414" s="17">
        <f t="shared" si="271"/>
        <v>1.5428006785164188</v>
      </c>
      <c r="AC414" s="66" t="str">
        <f t="shared" si="272"/>
        <v>-0.0013341545514383+0.000748683733673757i</v>
      </c>
      <c r="AD414" s="64">
        <f t="shared" si="273"/>
        <v>-56.306921523938122</v>
      </c>
      <c r="AE414" s="61">
        <f t="shared" si="274"/>
        <v>150.70029011726047</v>
      </c>
      <c r="AF414" s="31" t="str">
        <f t="shared" si="260"/>
        <v>-0.000495863624968664</v>
      </c>
      <c r="AG414" s="31" t="str">
        <f t="shared" si="261"/>
        <v>0.12647991231187i</v>
      </c>
      <c r="AH414" s="31">
        <f t="shared" si="275"/>
        <v>0.12647991231187</v>
      </c>
      <c r="AI414" s="31">
        <f t="shared" si="276"/>
        <v>1.5707963267948966</v>
      </c>
      <c r="AJ414" s="31" t="str">
        <f t="shared" si="262"/>
        <v>1+0.493485736116384i</v>
      </c>
      <c r="AK414" s="31">
        <f t="shared" si="277"/>
        <v>1.1151359431703067</v>
      </c>
      <c r="AL414" s="31">
        <f t="shared" si="278"/>
        <v>0.45842263056320348</v>
      </c>
      <c r="AM414" s="31" t="str">
        <f t="shared" si="263"/>
        <v>1+151.280793993901i</v>
      </c>
      <c r="AN414" s="31">
        <f t="shared" si="279"/>
        <v>151.28409907001171</v>
      </c>
      <c r="AO414" s="31">
        <f t="shared" si="280"/>
        <v>1.5641861986420802</v>
      </c>
      <c r="AP414" s="58" t="str">
        <f t="shared" si="281"/>
        <v>-0.475389795554333+0.238518576312901i</v>
      </c>
      <c r="AQ414" s="49">
        <f t="shared" si="282"/>
        <v>-5.483876717140852</v>
      </c>
      <c r="AR414" s="61">
        <f t="shared" si="283"/>
        <v>153.35558559024656</v>
      </c>
      <c r="AS414" s="58" t="str">
        <f t="shared" si="284"/>
        <v>0.000455668481181645-0.000674137251276462i</v>
      </c>
      <c r="AT414" s="64">
        <f t="shared" si="285"/>
        <v>-61.790798241078974</v>
      </c>
      <c r="AU414" s="61">
        <f t="shared" si="286"/>
        <v>-55.944124292492944</v>
      </c>
    </row>
    <row r="415" spans="14:47" x14ac:dyDescent="0.25">
      <c r="N415" s="10">
        <v>97</v>
      </c>
      <c r="O415" s="50">
        <f t="shared" si="254"/>
        <v>93325.430079699145</v>
      </c>
      <c r="P415" s="48" t="str">
        <f t="shared" si="255"/>
        <v>304.285714285714</v>
      </c>
      <c r="Q415" s="17" t="str">
        <f t="shared" si="256"/>
        <v>1+30533.6948503511i</v>
      </c>
      <c r="R415" s="17">
        <f t="shared" si="264"/>
        <v>30533.694866726455</v>
      </c>
      <c r="S415" s="17">
        <f t="shared" si="265"/>
        <v>1.5707635760909762</v>
      </c>
      <c r="T415" s="17" t="str">
        <f t="shared" si="257"/>
        <v>1+0.633291448748021i</v>
      </c>
      <c r="U415" s="17">
        <f t="shared" si="266"/>
        <v>1.1836629837320112</v>
      </c>
      <c r="V415" s="17">
        <f t="shared" si="267"/>
        <v>0.5645394992664543</v>
      </c>
      <c r="W415" s="31" t="str">
        <f t="shared" si="258"/>
        <v>1-1.97903577733757i</v>
      </c>
      <c r="X415" s="17">
        <f t="shared" si="268"/>
        <v>2.217336827814421</v>
      </c>
      <c r="Y415" s="17">
        <f t="shared" si="269"/>
        <v>-1.1029204412361477</v>
      </c>
      <c r="Z415" s="31" t="str">
        <f t="shared" si="259"/>
        <v>0.453133537717103+17.4579634433283i</v>
      </c>
      <c r="AA415" s="17">
        <f t="shared" si="270"/>
        <v>17.463843150681104</v>
      </c>
      <c r="AB415" s="17">
        <f t="shared" si="271"/>
        <v>1.5448464603104399</v>
      </c>
      <c r="AC415" s="66" t="str">
        <f t="shared" si="272"/>
        <v>-0.00130534401804864+0.000734271242606778i</v>
      </c>
      <c r="AD415" s="64">
        <f t="shared" si="273"/>
        <v>-56.491557668127058</v>
      </c>
      <c r="AE415" s="61">
        <f t="shared" si="274"/>
        <v>150.64173856045707</v>
      </c>
      <c r="AF415" s="31" t="str">
        <f t="shared" si="260"/>
        <v>-0.000495863624968664</v>
      </c>
      <c r="AG415" s="31" t="str">
        <f t="shared" si="261"/>
        <v>0.129426007933021i</v>
      </c>
      <c r="AH415" s="31">
        <f t="shared" si="275"/>
        <v>0.129426007933021</v>
      </c>
      <c r="AI415" s="31">
        <f t="shared" si="276"/>
        <v>1.5707963267948966</v>
      </c>
      <c r="AJ415" s="31" t="str">
        <f t="shared" si="262"/>
        <v>1+0.504980495558405i</v>
      </c>
      <c r="AK415" s="31">
        <f t="shared" si="277"/>
        <v>1.1202701910228676</v>
      </c>
      <c r="AL415" s="31">
        <f t="shared" si="278"/>
        <v>0.46762406256311734</v>
      </c>
      <c r="AM415" s="31" t="str">
        <f t="shared" si="263"/>
        <v>1+154.804576360627i</v>
      </c>
      <c r="AN415" s="31">
        <f t="shared" si="279"/>
        <v>154.80780620560839</v>
      </c>
      <c r="AO415" s="31">
        <f t="shared" si="280"/>
        <v>1.5643366592943031</v>
      </c>
      <c r="AP415" s="58" t="str">
        <f t="shared" si="281"/>
        <v>-0.471042315847698+0.241698433878861i</v>
      </c>
      <c r="AQ415" s="49">
        <f t="shared" si="282"/>
        <v>-5.5237845743096301</v>
      </c>
      <c r="AR415" s="61">
        <f t="shared" si="283"/>
        <v>152.83700313152997</v>
      </c>
      <c r="AS415" s="58" t="str">
        <f t="shared" si="284"/>
        <v>0.000437400059859227-0.00066137243141336i</v>
      </c>
      <c r="AT415" s="64">
        <f t="shared" si="285"/>
        <v>-62.015342242436695</v>
      </c>
      <c r="AU415" s="61">
        <f t="shared" si="286"/>
        <v>-56.521258308013017</v>
      </c>
    </row>
    <row r="416" spans="14:47" x14ac:dyDescent="0.25">
      <c r="N416" s="10">
        <v>98</v>
      </c>
      <c r="O416" s="50">
        <f t="shared" si="254"/>
        <v>95499.258602143804</v>
      </c>
      <c r="P416" s="48" t="str">
        <f t="shared" si="255"/>
        <v>304.285714285714</v>
      </c>
      <c r="Q416" s="17" t="str">
        <f t="shared" si="256"/>
        <v>1+31244.9159688032i</v>
      </c>
      <c r="R416" s="17">
        <f t="shared" si="264"/>
        <v>31244.915984805801</v>
      </c>
      <c r="S416" s="17">
        <f t="shared" si="265"/>
        <v>1.5707643215880125</v>
      </c>
      <c r="T416" s="17" t="str">
        <f t="shared" si="257"/>
        <v>1+0.648042701575177i</v>
      </c>
      <c r="U416" s="17">
        <f t="shared" si="266"/>
        <v>1.191620469388158</v>
      </c>
      <c r="V416" s="17">
        <f t="shared" si="267"/>
        <v>0.57499803302987051</v>
      </c>
      <c r="W416" s="31" t="str">
        <f t="shared" si="258"/>
        <v>1-2.02513344242243i</v>
      </c>
      <c r="X416" s="17">
        <f t="shared" si="268"/>
        <v>2.2585759804836592</v>
      </c>
      <c r="Y416" s="17">
        <f t="shared" si="269"/>
        <v>-1.1121253329917367</v>
      </c>
      <c r="Z416" s="31" t="str">
        <f t="shared" si="259"/>
        <v>0.427360515371977+17.8646116510515i</v>
      </c>
      <c r="AA416" s="17">
        <f t="shared" si="270"/>
        <v>17.869722618244079</v>
      </c>
      <c r="AB416" s="17">
        <f t="shared" si="271"/>
        <v>1.5468787052026218</v>
      </c>
      <c r="AC416" s="66" t="str">
        <f t="shared" si="272"/>
        <v>-0.00127781903268613+0.000720099669940385i</v>
      </c>
      <c r="AD416" s="64">
        <f t="shared" si="273"/>
        <v>-56.672858980612808</v>
      </c>
      <c r="AE416" s="61">
        <f t="shared" si="274"/>
        <v>150.59708518743292</v>
      </c>
      <c r="AF416" s="31" t="str">
        <f t="shared" si="260"/>
        <v>-0.000495863624968664</v>
      </c>
      <c r="AG416" s="31" t="str">
        <f t="shared" si="261"/>
        <v>0.132440726936734i</v>
      </c>
      <c r="AH416" s="31">
        <f t="shared" si="275"/>
        <v>0.132440726936734</v>
      </c>
      <c r="AI416" s="31">
        <f t="shared" si="276"/>
        <v>1.5707963267948966</v>
      </c>
      <c r="AJ416" s="31" t="str">
        <f t="shared" si="262"/>
        <v>1+0.516743002343379i</v>
      </c>
      <c r="AK416" s="31">
        <f t="shared" si="277"/>
        <v>1.1256213086428533</v>
      </c>
      <c r="AL416" s="31">
        <f t="shared" si="278"/>
        <v>0.47695211758469452</v>
      </c>
      <c r="AM416" s="31" t="str">
        <f t="shared" si="263"/>
        <v>1+158.410438162821i</v>
      </c>
      <c r="AN416" s="31">
        <f t="shared" si="279"/>
        <v>158.41359448903663</v>
      </c>
      <c r="AO416" s="31">
        <f t="shared" si="280"/>
        <v>1.5644836953265615</v>
      </c>
      <c r="AP416" s="58" t="str">
        <f t="shared" si="281"/>
        <v>-0.466574363010944+0.244843079013807i</v>
      </c>
      <c r="AQ416" s="49">
        <f t="shared" si="282"/>
        <v>-5.5651832473232457</v>
      </c>
      <c r="AR416" s="61">
        <f t="shared" si="283"/>
        <v>152.31096949181256</v>
      </c>
      <c r="AS416" s="58" t="str">
        <f t="shared" si="284"/>
        <v>0.000419886180833762-0.000648845191192143i</v>
      </c>
      <c r="AT416" s="64">
        <f t="shared" si="285"/>
        <v>-62.238042227936049</v>
      </c>
      <c r="AU416" s="61">
        <f t="shared" si="286"/>
        <v>-57.091945320754469</v>
      </c>
    </row>
    <row r="417" spans="14:47" x14ac:dyDescent="0.25">
      <c r="N417" s="10">
        <v>99</v>
      </c>
      <c r="O417" s="50">
        <f t="shared" si="254"/>
        <v>97723.722095581266</v>
      </c>
      <c r="P417" s="48" t="str">
        <f t="shared" si="255"/>
        <v>304.285714285714</v>
      </c>
      <c r="Q417" s="17" t="str">
        <f t="shared" si="256"/>
        <v>1+31972.7035552773i</v>
      </c>
      <c r="R417" s="17">
        <f t="shared" si="264"/>
        <v>31972.703570915637</v>
      </c>
      <c r="S417" s="17">
        <f t="shared" si="265"/>
        <v>1.5707650501154646</v>
      </c>
      <c r="T417" s="17" t="str">
        <f t="shared" si="257"/>
        <v>1+0.663137555220565i</v>
      </c>
      <c r="U417" s="17">
        <f t="shared" si="266"/>
        <v>1.1998964193395645</v>
      </c>
      <c r="V417" s="17">
        <f t="shared" si="267"/>
        <v>0.58555539135400303</v>
      </c>
      <c r="W417" s="31" t="str">
        <f t="shared" si="258"/>
        <v>1-2.07230486006427i</v>
      </c>
      <c r="X417" s="17">
        <f t="shared" si="268"/>
        <v>2.3009666301461205</v>
      </c>
      <c r="Y417" s="17">
        <f t="shared" si="269"/>
        <v>-1.1212022813880205</v>
      </c>
      <c r="Z417" s="31" t="str">
        <f t="shared" si="259"/>
        <v>0.400372847904844+18.280731912338i</v>
      </c>
      <c r="AA417" s="17">
        <f t="shared" si="270"/>
        <v>18.285115741173538</v>
      </c>
      <c r="AB417" s="17">
        <f t="shared" si="271"/>
        <v>1.5488984699312678</v>
      </c>
      <c r="AC417" s="66" t="str">
        <f t="shared" si="272"/>
        <v>-0.0012515223319753+0.000706171332991992i</v>
      </c>
      <c r="AD417" s="64">
        <f t="shared" si="273"/>
        <v>-56.850828675716585</v>
      </c>
      <c r="AE417" s="61">
        <f t="shared" si="274"/>
        <v>150.56614069213879</v>
      </c>
      <c r="AF417" s="31" t="str">
        <f t="shared" si="260"/>
        <v>-0.000495863624968664</v>
      </c>
      <c r="AG417" s="31" t="str">
        <f t="shared" si="261"/>
        <v>0.135525667766929i</v>
      </c>
      <c r="AH417" s="31">
        <f t="shared" si="275"/>
        <v>0.13552566776692901</v>
      </c>
      <c r="AI417" s="31">
        <f t="shared" si="276"/>
        <v>1.5707963267948966</v>
      </c>
      <c r="AJ417" s="31" t="str">
        <f t="shared" si="262"/>
        <v>1+0.528779493108097i</v>
      </c>
      <c r="AK417" s="31">
        <f t="shared" si="277"/>
        <v>1.1311974859995295</v>
      </c>
      <c r="AL417" s="31">
        <f t="shared" si="278"/>
        <v>0.48640524731464985</v>
      </c>
      <c r="AM417" s="31" t="str">
        <f t="shared" si="263"/>
        <v>1+162.100291276138i</v>
      </c>
      <c r="AN417" s="31">
        <f t="shared" si="279"/>
        <v>162.1033757569804</v>
      </c>
      <c r="AO417" s="31">
        <f t="shared" si="280"/>
        <v>1.564627384673861</v>
      </c>
      <c r="AP417" s="58" t="str">
        <f t="shared" si="281"/>
        <v>-0.461985793894455+0.247947430976254i</v>
      </c>
      <c r="AQ417" s="49">
        <f t="shared" si="282"/>
        <v>-5.6081135428562856</v>
      </c>
      <c r="AR417" s="61">
        <f t="shared" si="283"/>
        <v>151.77757784825778</v>
      </c>
      <c r="AS417" s="58" t="str">
        <f t="shared" si="284"/>
        <v>0.000403092170269807-0.000636552870920497i</v>
      </c>
      <c r="AT417" s="64">
        <f t="shared" si="285"/>
        <v>-62.458942218572872</v>
      </c>
      <c r="AU417" s="61">
        <f t="shared" si="286"/>
        <v>-57.656281459603484</v>
      </c>
    </row>
    <row r="418" spans="14:47" x14ac:dyDescent="0.25">
      <c r="N418" s="10">
        <v>100</v>
      </c>
      <c r="O418" s="50">
        <f t="shared" si="254"/>
        <v>100000</v>
      </c>
      <c r="P418" s="48" t="str">
        <f t="shared" si="255"/>
        <v>304.285714285714</v>
      </c>
      <c r="Q418" s="17" t="str">
        <f t="shared" si="256"/>
        <v>1+32717.4434923852i</v>
      </c>
      <c r="R418" s="17">
        <f t="shared" si="264"/>
        <v>32717.443507667565</v>
      </c>
      <c r="S418" s="17">
        <f t="shared" si="265"/>
        <v>1.5707657620596074</v>
      </c>
      <c r="T418" s="17" t="str">
        <f t="shared" si="257"/>
        <v>1+0.678584013175396i</v>
      </c>
      <c r="U418" s="17">
        <f t="shared" si="266"/>
        <v>1.2085016602956018</v>
      </c>
      <c r="V418" s="17">
        <f t="shared" si="267"/>
        <v>0.59620775812876436</v>
      </c>
      <c r="W418" s="31" t="str">
        <f t="shared" si="258"/>
        <v>1-2.12057504117311i</v>
      </c>
      <c r="X418" s="17">
        <f t="shared" si="268"/>
        <v>2.3445337500761934</v>
      </c>
      <c r="Y418" s="17">
        <f t="shared" si="269"/>
        <v>-1.1301501153015558</v>
      </c>
      <c r="Z418" s="31" t="str">
        <f t="shared" si="259"/>
        <v>0.372113290854704+18.7065448596587i</v>
      </c>
      <c r="AA418" s="17">
        <f t="shared" si="270"/>
        <v>18.710245559255867</v>
      </c>
      <c r="AB418" s="17">
        <f t="shared" si="271"/>
        <v>1.5509068055672142</v>
      </c>
      <c r="AC418" s="66" t="str">
        <f t="shared" si="272"/>
        <v>-0.0012263991599449+0.00069248802760321i</v>
      </c>
      <c r="AD418" s="64">
        <f t="shared" si="273"/>
        <v>-57.025470897032626</v>
      </c>
      <c r="AE418" s="61">
        <f t="shared" si="274"/>
        <v>150.54869328394841</v>
      </c>
      <c r="AF418" s="31" t="str">
        <f t="shared" si="260"/>
        <v>-0.000495863624968664</v>
      </c>
      <c r="AG418" s="31" t="str">
        <f t="shared" si="261"/>
        <v>0.138682466100068i</v>
      </c>
      <c r="AH418" s="31">
        <f t="shared" si="275"/>
        <v>0.13868246610006801</v>
      </c>
      <c r="AI418" s="31">
        <f t="shared" si="276"/>
        <v>1.5707963267948966</v>
      </c>
      <c r="AJ418" s="31" t="str">
        <f t="shared" si="262"/>
        <v>1+0.541096349759284i</v>
      </c>
      <c r="AK418" s="31">
        <f t="shared" si="277"/>
        <v>1.1370071502514052</v>
      </c>
      <c r="AL418" s="31">
        <f t="shared" si="278"/>
        <v>0.49598170508676981</v>
      </c>
      <c r="AM418" s="31" t="str">
        <f t="shared" si="263"/>
        <v>1+165.876092109541i</v>
      </c>
      <c r="AN418" s="31">
        <f t="shared" si="279"/>
        <v>165.87910638031821</v>
      </c>
      <c r="AO418" s="31">
        <f t="shared" si="280"/>
        <v>1.5647678034984478</v>
      </c>
      <c r="AP418" s="58" t="str">
        <f t="shared" si="281"/>
        <v>-0.457276720080477+0.251006296278801i</v>
      </c>
      <c r="AQ418" s="49">
        <f t="shared" si="282"/>
        <v>-5.6526162725287818</v>
      </c>
      <c r="AR418" s="61">
        <f t="shared" si="283"/>
        <v>151.23693264124307</v>
      </c>
      <c r="AS418" s="58" t="str">
        <f t="shared" si="284"/>
        <v>0.000386984930342962-0.000624492564854597i</v>
      </c>
      <c r="AT418" s="64">
        <f t="shared" si="285"/>
        <v>-62.678087169561408</v>
      </c>
      <c r="AU418" s="61">
        <f t="shared" si="286"/>
        <v>-58.214374074808553</v>
      </c>
    </row>
    <row r="419" spans="14:47" x14ac:dyDescent="0.25">
      <c r="N419" s="10">
        <v>1</v>
      </c>
      <c r="O419" s="50">
        <f>10^(5+(N419/100))</f>
        <v>102329.29922807543</v>
      </c>
      <c r="P419" s="48" t="str">
        <f t="shared" si="255"/>
        <v>304.285714285714</v>
      </c>
      <c r="Q419" s="17" t="str">
        <f t="shared" si="256"/>
        <v>1+33479.5306510994i</v>
      </c>
      <c r="R419" s="17">
        <f t="shared" si="264"/>
        <v>33479.530666033897</v>
      </c>
      <c r="S419" s="17">
        <f t="shared" si="265"/>
        <v>1.5707664577979228</v>
      </c>
      <c r="T419" s="17" t="str">
        <f t="shared" si="257"/>
        <v>1+0.694390265356133i</v>
      </c>
      <c r="U419" s="17">
        <f t="shared" si="266"/>
        <v>1.217447264000113</v>
      </c>
      <c r="V419" s="17">
        <f t="shared" si="267"/>
        <v>0.606951111271407</v>
      </c>
      <c r="W419" s="31" t="str">
        <f t="shared" si="258"/>
        <v>1-2.16996957923792i</v>
      </c>
      <c r="X419" s="17">
        <f t="shared" si="268"/>
        <v>2.3893028219164671</v>
      </c>
      <c r="Y419" s="17">
        <f t="shared" si="269"/>
        <v>-1.1389678468193511</v>
      </c>
      <c r="Z419" s="31" t="str">
        <f t="shared" si="259"/>
        <v>0.342521901912229+19.1422762646743i</v>
      </c>
      <c r="AA419" s="17">
        <f t="shared" si="270"/>
        <v>19.145340473504323</v>
      </c>
      <c r="AB419" s="17">
        <f t="shared" si="271"/>
        <v>1.552904757977809</v>
      </c>
      <c r="AC419" s="66" t="str">
        <f t="shared" si="272"/>
        <v>-0.0012023971604333+0.000679051071724801i</v>
      </c>
      <c r="AD419" s="64">
        <f t="shared" si="273"/>
        <v>-57.196790756091701</v>
      </c>
      <c r="AE419" s="61">
        <f t="shared" si="274"/>
        <v>150.54450917232703</v>
      </c>
      <c r="AF419" s="31" t="str">
        <f t="shared" si="260"/>
        <v>-0.000495863624968664</v>
      </c>
      <c r="AG419" s="31" t="str">
        <f t="shared" si="261"/>
        <v>0.141912795712413i</v>
      </c>
      <c r="AH419" s="31">
        <f t="shared" si="275"/>
        <v>0.141912795712413</v>
      </c>
      <c r="AI419" s="31">
        <f t="shared" si="276"/>
        <v>1.5707963267948966</v>
      </c>
      <c r="AJ419" s="31" t="str">
        <f t="shared" si="262"/>
        <v>1+0.553700102857371i</v>
      </c>
      <c r="AK419" s="31">
        <f t="shared" si="277"/>
        <v>1.1430589678158618</v>
      </c>
      <c r="AL419" s="31">
        <f t="shared" si="278"/>
        <v>0.5056795417083676</v>
      </c>
      <c r="AM419" s="31" t="str">
        <f t="shared" si="263"/>
        <v>1+169.73984264261i</v>
      </c>
      <c r="AN419" s="31">
        <f t="shared" si="279"/>
        <v>169.74278830141208</v>
      </c>
      <c r="AO419" s="31">
        <f t="shared" si="280"/>
        <v>1.564905026230079</v>
      </c>
      <c r="AP419" s="58" t="str">
        <f t="shared" si="281"/>
        <v>-0.45244752121369+0.254014382197202i</v>
      </c>
      <c r="AQ419" s="49">
        <f t="shared" si="282"/>
        <v>-5.69873216448919</v>
      </c>
      <c r="AR419" s="61">
        <f t="shared" si="283"/>
        <v>150.6891498157938</v>
      </c>
      <c r="AS419" s="58" t="str">
        <f t="shared" si="284"/>
        <v>0.000371532876287903-0.00061266114604252i</v>
      </c>
      <c r="AT419" s="64">
        <f t="shared" si="285"/>
        <v>-62.895522920580895</v>
      </c>
      <c r="AU419" s="61">
        <f t="shared" si="286"/>
        <v>-58.766341011879163</v>
      </c>
    </row>
    <row r="420" spans="14:47" x14ac:dyDescent="0.25">
      <c r="N420" s="10">
        <v>2</v>
      </c>
      <c r="O420" s="50">
        <f t="shared" ref="O420:O483" si="287">10^(5+(N420/100))</f>
        <v>104712.85480508996</v>
      </c>
      <c r="P420" s="48" t="str">
        <f t="shared" si="255"/>
        <v>304.285714285714</v>
      </c>
      <c r="Q420" s="17" t="str">
        <f t="shared" si="256"/>
        <v>1+34259.3691001187i</v>
      </c>
      <c r="R420" s="17">
        <f t="shared" si="264"/>
        <v>34259.369114713256</v>
      </c>
      <c r="S420" s="17">
        <f t="shared" si="265"/>
        <v>1.5707671376993009</v>
      </c>
      <c r="T420" s="17" t="str">
        <f t="shared" si="257"/>
        <v>1+0.710564692446905i</v>
      </c>
      <c r="U420" s="17">
        <f t="shared" si="266"/>
        <v>1.2267445464122368</v>
      </c>
      <c r="V420" s="17">
        <f t="shared" si="267"/>
        <v>0.61778122712592376</v>
      </c>
      <c r="W420" s="31" t="str">
        <f t="shared" si="258"/>
        <v>1-2.22051466389658i</v>
      </c>
      <c r="X420" s="17">
        <f t="shared" si="268"/>
        <v>2.4352998527039218</v>
      </c>
      <c r="Y420" s="17">
        <f t="shared" si="269"/>
        <v>-1.147654665404134</v>
      </c>
      <c r="Z420" s="31" t="str">
        <f t="shared" si="259"/>
        <v>0.311535913774085+19.5881571579434i</v>
      </c>
      <c r="AA420" s="17">
        <f t="shared" si="270"/>
        <v>19.590634381506391</v>
      </c>
      <c r="AB420" s="17">
        <f t="shared" si="271"/>
        <v>1.5548933682920962</v>
      </c>
      <c r="AC420" s="66" t="str">
        <f t="shared" si="272"/>
        <v>-0.0011794662738423+0.000665861345975451i</v>
      </c>
      <c r="AD420" s="64">
        <f t="shared" si="273"/>
        <v>-57.364794375791</v>
      </c>
      <c r="AE420" s="61">
        <f t="shared" si="274"/>
        <v>150.55333312654051</v>
      </c>
      <c r="AF420" s="31" t="str">
        <f t="shared" si="260"/>
        <v>-0.000495863624968664</v>
      </c>
      <c r="AG420" s="31" t="str">
        <f t="shared" si="261"/>
        <v>0.145218369367482i</v>
      </c>
      <c r="AH420" s="31">
        <f t="shared" si="275"/>
        <v>0.145218369367482</v>
      </c>
      <c r="AI420" s="31">
        <f t="shared" si="276"/>
        <v>1.5707963267948966</v>
      </c>
      <c r="AJ420" s="31" t="str">
        <f t="shared" si="262"/>
        <v>1+0.566597435079081i</v>
      </c>
      <c r="AK420" s="31">
        <f t="shared" si="277"/>
        <v>1.1493618461729942</v>
      </c>
      <c r="AL420" s="31">
        <f t="shared" si="278"/>
        <v>0.51549660184155821</v>
      </c>
      <c r="AM420" s="31" t="str">
        <f t="shared" si="263"/>
        <v>1+173.693591487021i</v>
      </c>
      <c r="AN420" s="31">
        <f t="shared" si="279"/>
        <v>173.69647009556684</v>
      </c>
      <c r="AO420" s="31">
        <f t="shared" si="280"/>
        <v>1.5650391256053804</v>
      </c>
      <c r="AP420" s="58" t="str">
        <f t="shared" si="281"/>
        <v>-0.447498857651893+0.256966311701218i</v>
      </c>
      <c r="AQ420" s="49">
        <f t="shared" si="282"/>
        <v>-5.7465017705960628</v>
      </c>
      <c r="AR420" s="61">
        <f t="shared" si="283"/>
        <v>150.13435703117597</v>
      </c>
      <c r="AS420" s="58" t="str">
        <f t="shared" si="284"/>
        <v>0.000356705876003644-0.000601055289843801i</v>
      </c>
      <c r="AT420" s="64">
        <f t="shared" si="285"/>
        <v>-63.111296146387062</v>
      </c>
      <c r="AU420" s="61">
        <f t="shared" si="286"/>
        <v>-59.312309842283518</v>
      </c>
    </row>
    <row r="421" spans="14:47" x14ac:dyDescent="0.25">
      <c r="N421" s="10">
        <v>3</v>
      </c>
      <c r="O421" s="50">
        <f t="shared" si="287"/>
        <v>107151.93052376082</v>
      </c>
      <c r="P421" s="48" t="str">
        <f t="shared" si="255"/>
        <v>304.285714285714</v>
      </c>
      <c r="Q421" s="17" t="str">
        <f t="shared" si="256"/>
        <v>1+35057.3723201113i</v>
      </c>
      <c r="R421" s="17">
        <f t="shared" si="264"/>
        <v>35057.372334373635</v>
      </c>
      <c r="S421" s="17">
        <f t="shared" si="265"/>
        <v>1.5707678021242339</v>
      </c>
      <c r="T421" s="17" t="str">
        <f t="shared" si="257"/>
        <v>1+0.727115870343048i</v>
      </c>
      <c r="U421" s="17">
        <f t="shared" si="266"/>
        <v>1.2364050666770694</v>
      </c>
      <c r="V421" s="17">
        <f t="shared" si="267"/>
        <v>0.6286936858496911</v>
      </c>
      <c r="W421" s="31" t="str">
        <f t="shared" si="258"/>
        <v>1-2.27223709482203i</v>
      </c>
      <c r="X421" s="17">
        <f t="shared" si="268"/>
        <v>2.4825513922344604</v>
      </c>
      <c r="Y421" s="17">
        <f t="shared" si="269"/>
        <v>-1.1562099317735441</v>
      </c>
      <c r="Z421" s="31" t="str">
        <f t="shared" si="259"/>
        <v>0.279089601005066+20.0444239514176i</v>
      </c>
      <c r="AA421" s="17">
        <f t="shared" si="270"/>
        <v>20.046366816696555</v>
      </c>
      <c r="AB421" s="17">
        <f t="shared" si="271"/>
        <v>1.5568736733670356</v>
      </c>
      <c r="AC421" s="66" t="str">
        <f t="shared" si="272"/>
        <v>-0.0011575586380844+0.000652919331372522i</v>
      </c>
      <c r="AD421" s="64">
        <f t="shared" si="273"/>
        <v>-57.529488937897412</v>
      </c>
      <c r="AE421" s="61">
        <f t="shared" si="274"/>
        <v>150.57488910825887</v>
      </c>
      <c r="AF421" s="31" t="str">
        <f t="shared" si="260"/>
        <v>-0.000495863624968664</v>
      </c>
      <c r="AG421" s="31" t="str">
        <f t="shared" si="261"/>
        <v>0.148600939724183i</v>
      </c>
      <c r="AH421" s="31">
        <f t="shared" si="275"/>
        <v>0.14860093972418301</v>
      </c>
      <c r="AI421" s="31">
        <f t="shared" si="276"/>
        <v>1.5707963267948966</v>
      </c>
      <c r="AJ421" s="31" t="str">
        <f t="shared" si="262"/>
        <v>1+0.579795184760674i</v>
      </c>
      <c r="AK421" s="31">
        <f t="shared" si="277"/>
        <v>1.155924935396613</v>
      </c>
      <c r="AL421" s="31">
        <f t="shared" si="278"/>
        <v>0.52543052099443854</v>
      </c>
      <c r="AM421" s="31" t="str">
        <f t="shared" si="263"/>
        <v>1+177.739434972745i</v>
      </c>
      <c r="AN421" s="31">
        <f t="shared" si="279"/>
        <v>177.74224805720965</v>
      </c>
      <c r="AO421" s="31">
        <f t="shared" si="280"/>
        <v>1.565170172706313</v>
      </c>
      <c r="AP421" s="58" t="str">
        <f t="shared" si="281"/>
        <v>-0.442431682285081+0.259856639790209i</v>
      </c>
      <c r="AQ421" s="49">
        <f t="shared" si="282"/>
        <v>-5.7959653694552546</v>
      </c>
      <c r="AR421" s="61">
        <f t="shared" si="283"/>
        <v>149.57269383549252</v>
      </c>
      <c r="AS421" s="58" t="str">
        <f t="shared" si="284"/>
        <v>0.000342475192086775-0.000589671496228338i</v>
      </c>
      <c r="AT421" s="64">
        <f t="shared" si="285"/>
        <v>-63.325454307352665</v>
      </c>
      <c r="AU421" s="61">
        <f t="shared" si="286"/>
        <v>-59.852417056248591</v>
      </c>
    </row>
    <row r="422" spans="14:47" x14ac:dyDescent="0.25">
      <c r="N422" s="10">
        <v>4</v>
      </c>
      <c r="O422" s="50">
        <f t="shared" si="287"/>
        <v>109647.81961431868</v>
      </c>
      <c r="P422" s="48" t="str">
        <f t="shared" si="255"/>
        <v>304.285714285714</v>
      </c>
      <c r="Q422" s="17" t="str">
        <f t="shared" si="256"/>
        <v>1+35873.9634229472i</v>
      </c>
      <c r="R422" s="17">
        <f t="shared" si="264"/>
        <v>35873.963436884886</v>
      </c>
      <c r="S422" s="17">
        <f t="shared" si="265"/>
        <v>1.5707684514250093</v>
      </c>
      <c r="T422" s="17" t="str">
        <f t="shared" si="257"/>
        <v>1+0.744052574698162i</v>
      </c>
      <c r="U422" s="17">
        <f t="shared" si="266"/>
        <v>1.246440625908416</v>
      </c>
      <c r="V422" s="17">
        <f t="shared" si="267"/>
        <v>0.63968387779370872</v>
      </c>
      <c r="W422" s="31" t="str">
        <f t="shared" si="258"/>
        <v>1-2.32516429593176i</v>
      </c>
      <c r="X422" s="17">
        <f t="shared" si="268"/>
        <v>2.5310845507560269</v>
      </c>
      <c r="Y422" s="17">
        <f t="shared" si="269"/>
        <v>-1.1646331715430056</v>
      </c>
      <c r="Z422" s="31" t="str">
        <f t="shared" si="259"/>
        <v>0.245114140625641+20.5113185637901i</v>
      </c>
      <c r="AA422" s="17">
        <f t="shared" si="270"/>
        <v>20.512783091701987</v>
      </c>
      <c r="AB422" s="17">
        <f t="shared" si="271"/>
        <v>1.5588467062546116</v>
      </c>
      <c r="AC422" s="66" t="str">
        <f t="shared" si="272"/>
        <v>-0.00113662849357225+0.000640225144420177i</v>
      </c>
      <c r="AD422" s="64">
        <f t="shared" si="273"/>
        <v>-57.69088273386734</v>
      </c>
      <c r="AE422" s="61">
        <f t="shared" si="274"/>
        <v>150.6088809745801</v>
      </c>
      <c r="AF422" s="31" t="str">
        <f t="shared" si="260"/>
        <v>-0.000495863624968664</v>
      </c>
      <c r="AG422" s="31" t="str">
        <f t="shared" si="261"/>
        <v>0.152062300266091i</v>
      </c>
      <c r="AH422" s="31">
        <f t="shared" si="275"/>
        <v>0.15206230026609099</v>
      </c>
      <c r="AI422" s="31">
        <f t="shared" si="276"/>
        <v>1.5707963267948966</v>
      </c>
      <c r="AJ422" s="31" t="str">
        <f t="shared" si="262"/>
        <v>1+0.593300349523723i</v>
      </c>
      <c r="AK422" s="31">
        <f t="shared" si="277"/>
        <v>1.1627576294073378</v>
      </c>
      <c r="AL422" s="31">
        <f t="shared" si="278"/>
        <v>0.53547872317626155</v>
      </c>
      <c r="AM422" s="31" t="str">
        <f t="shared" si="263"/>
        <v>1+181.879518259551i</v>
      </c>
      <c r="AN422" s="31">
        <f t="shared" si="279"/>
        <v>181.88226731137465</v>
      </c>
      <c r="AO422" s="31">
        <f t="shared" si="280"/>
        <v>1.5652982369977695</v>
      </c>
      <c r="AP422" s="58" t="str">
        <f t="shared" si="281"/>
        <v>-0.437247251367813+0.262679871199859i</v>
      </c>
      <c r="AQ422" s="49">
        <f t="shared" si="282"/>
        <v>-5.8471628656187882</v>
      </c>
      <c r="AR422" s="61">
        <f t="shared" si="283"/>
        <v>149.00431180218675</v>
      </c>
      <c r="AS422" s="58" t="str">
        <f t="shared" si="284"/>
        <v>0.000328813426165601-0.000578506110947932i</v>
      </c>
      <c r="AT422" s="64">
        <f t="shared" si="285"/>
        <v>-63.538045599486125</v>
      </c>
      <c r="AU422" s="61">
        <f t="shared" si="286"/>
        <v>-60.386807223233141</v>
      </c>
    </row>
    <row r="423" spans="14:47" x14ac:dyDescent="0.25">
      <c r="N423" s="10">
        <v>5</v>
      </c>
      <c r="O423" s="50">
        <f t="shared" si="287"/>
        <v>112201.84543019651</v>
      </c>
      <c r="P423" s="48" t="str">
        <f t="shared" si="255"/>
        <v>304.285714285714</v>
      </c>
      <c r="Q423" s="17" t="str">
        <f t="shared" si="256"/>
        <v>1+36709.575376038i</v>
      </c>
      <c r="R423" s="17">
        <f t="shared" si="264"/>
        <v>36709.575389658428</v>
      </c>
      <c r="S423" s="17">
        <f t="shared" si="265"/>
        <v>1.5707690859458945</v>
      </c>
      <c r="T423" s="17" t="str">
        <f t="shared" si="257"/>
        <v>1+0.761383785577082i</v>
      </c>
      <c r="U423" s="17">
        <f t="shared" si="266"/>
        <v>1.2568632658088501</v>
      </c>
      <c r="V423" s="17">
        <f t="shared" si="267"/>
        <v>0.65074701087436126</v>
      </c>
      <c r="W423" s="31" t="str">
        <f t="shared" si="258"/>
        <v>1-2.37932432992838i</v>
      </c>
      <c r="X423" s="17">
        <f t="shared" si="268"/>
        <v>2.5809270169822964</v>
      </c>
      <c r="Y423" s="17">
        <f t="shared" si="269"/>
        <v>-1.1729240686798719</v>
      </c>
      <c r="Z423" s="31" t="str">
        <f t="shared" si="259"/>
        <v>0.209537466129172+20.9890885487646i</v>
      </c>
      <c r="AA423" s="17">
        <f t="shared" si="270"/>
        <v>20.990134445915135</v>
      </c>
      <c r="AB423" s="17">
        <f t="shared" si="271"/>
        <v>1.5608134966697007</v>
      </c>
      <c r="AC423" s="66" t="str">
        <f t="shared" si="272"/>
        <v>-0.00111663209210215+0.000627778569728773i</v>
      </c>
      <c r="AD423" s="64">
        <f t="shared" si="273"/>
        <v>-57.848985218176345</v>
      </c>
      <c r="AE423" s="61">
        <f t="shared" si="274"/>
        <v>150.65499324863325</v>
      </c>
      <c r="AF423" s="31" t="str">
        <f t="shared" si="260"/>
        <v>-0.000495863624968664</v>
      </c>
      <c r="AG423" s="31" t="str">
        <f t="shared" si="261"/>
        <v>0.155604286252383i</v>
      </c>
      <c r="AH423" s="31">
        <f t="shared" si="275"/>
        <v>0.15560428625238301</v>
      </c>
      <c r="AI423" s="31">
        <f t="shared" si="276"/>
        <v>1.5707963267948966</v>
      </c>
      <c r="AJ423" s="31" t="str">
        <f t="shared" si="262"/>
        <v>1+0.607120089985348i</v>
      </c>
      <c r="AK423" s="31">
        <f t="shared" si="277"/>
        <v>1.1698695669448869</v>
      </c>
      <c r="AL423" s="31">
        <f t="shared" si="278"/>
        <v>0.54563841926905643</v>
      </c>
      <c r="AM423" s="31" t="str">
        <f t="shared" si="263"/>
        <v>1+186.116036474398i</v>
      </c>
      <c r="AN423" s="31">
        <f t="shared" si="279"/>
        <v>186.11872295107617</v>
      </c>
      <c r="AO423" s="31">
        <f t="shared" si="280"/>
        <v>1.5654233863643205</v>
      </c>
      <c r="AP423" s="58" t="str">
        <f t="shared" si="281"/>
        <v>-0.431947134207922+0.265430479428709i</v>
      </c>
      <c r="AQ423" s="49">
        <f t="shared" si="282"/>
        <v>-5.900133685307571</v>
      </c>
      <c r="AR423" s="61">
        <f t="shared" si="283"/>
        <v>148.42937462544617</v>
      </c>
      <c r="AS423" s="58" t="str">
        <f t="shared" si="284"/>
        <v>0.000315694465409943-0.000567555345663648i</v>
      </c>
      <c r="AT423" s="64">
        <f t="shared" si="285"/>
        <v>-63.749118903483904</v>
      </c>
      <c r="AU423" s="61">
        <f t="shared" si="286"/>
        <v>-60.915632125920574</v>
      </c>
    </row>
    <row r="424" spans="14:47" x14ac:dyDescent="0.25">
      <c r="N424" s="10">
        <v>6</v>
      </c>
      <c r="O424" s="50">
        <f t="shared" si="287"/>
        <v>114815.36214968823</v>
      </c>
      <c r="P424" s="48" t="str">
        <f t="shared" si="255"/>
        <v>304.285714285714</v>
      </c>
      <c r="Q424" s="17" t="str">
        <f t="shared" si="256"/>
        <v>1+37564.6512319017i</v>
      </c>
      <c r="R424" s="17">
        <f t="shared" si="264"/>
        <v>37564.651245212088</v>
      </c>
      <c r="S424" s="17">
        <f t="shared" si="265"/>
        <v>1.570769706023321</v>
      </c>
      <c r="T424" s="17" t="str">
        <f t="shared" si="257"/>
        <v>1+0.779118692217218i</v>
      </c>
      <c r="U424" s="17">
        <f t="shared" si="266"/>
        <v>1.2676852671551673</v>
      </c>
      <c r="V424" s="17">
        <f t="shared" si="267"/>
        <v>0.66187811892582771</v>
      </c>
      <c r="W424" s="31" t="str">
        <f t="shared" si="258"/>
        <v>1-2.43474591317881i</v>
      </c>
      <c r="X424" s="17">
        <f t="shared" si="268"/>
        <v>2.6321070764201284</v>
      </c>
      <c r="Y424" s="17">
        <f t="shared" si="269"/>
        <v>-1.1810824588139002</v>
      </c>
      <c r="Z424" s="31" t="str">
        <f t="shared" si="259"/>
        <v>0.172284114619209+21.477987226311i</v>
      </c>
      <c r="AA424" s="17">
        <f t="shared" si="270"/>
        <v>21.47867819745267</v>
      </c>
      <c r="AB424" s="17">
        <f t="shared" si="271"/>
        <v>1.5627750714585733</v>
      </c>
      <c r="AC424" s="66" t="str">
        <f t="shared" si="272"/>
        <v>-0.00109752760948749+0.000615579090328388i</v>
      </c>
      <c r="AD424" s="64">
        <f t="shared" si="273"/>
        <v>-58.00380706330845</v>
      </c>
      <c r="AE424" s="61">
        <f t="shared" si="274"/>
        <v>150.71289195456438</v>
      </c>
      <c r="AF424" s="31" t="str">
        <f t="shared" si="260"/>
        <v>-0.000495863624968664</v>
      </c>
      <c r="AG424" s="31" t="str">
        <f t="shared" si="261"/>
        <v>0.159228775690911i</v>
      </c>
      <c r="AH424" s="31">
        <f t="shared" si="275"/>
        <v>0.15922877569091101</v>
      </c>
      <c r="AI424" s="31">
        <f t="shared" si="276"/>
        <v>1.5707963267948966</v>
      </c>
      <c r="AJ424" s="31" t="str">
        <f t="shared" si="262"/>
        <v>1+0.621261733554865i</v>
      </c>
      <c r="AK424" s="31">
        <f t="shared" si="277"/>
        <v>1.1772706322590385</v>
      </c>
      <c r="AL424" s="31">
        <f t="shared" si="278"/>
        <v>0.55590660616577214</v>
      </c>
      <c r="AM424" s="31" t="str">
        <f t="shared" si="263"/>
        <v>1+190.45123587532i</v>
      </c>
      <c r="AN424" s="31">
        <f t="shared" si="279"/>
        <v>190.4538612011759</v>
      </c>
      <c r="AO424" s="31">
        <f t="shared" si="280"/>
        <v>1.5655456871461266</v>
      </c>
      <c r="AP424" s="58" t="str">
        <f t="shared" si="281"/>
        <v>-0.426533221555248+0.268102927014704i</v>
      </c>
      <c r="AQ424" s="49">
        <f t="shared" si="282"/>
        <v>-5.9549166690693838</v>
      </c>
      <c r="AR424" s="61">
        <f t="shared" si="283"/>
        <v>147.84805817164147</v>
      </c>
      <c r="AS424" s="58" t="str">
        <f t="shared" si="284"/>
        <v>0.00030309343109444-0.000556815297102863i</v>
      </c>
      <c r="AT424" s="64">
        <f t="shared" si="285"/>
        <v>-63.958723732377834</v>
      </c>
      <c r="AU424" s="61">
        <f t="shared" si="286"/>
        <v>-61.43904987379409</v>
      </c>
    </row>
    <row r="425" spans="14:47" x14ac:dyDescent="0.25">
      <c r="N425" s="10">
        <v>7</v>
      </c>
      <c r="O425" s="50">
        <f t="shared" si="287"/>
        <v>117489.75549395311</v>
      </c>
      <c r="P425" s="48" t="str">
        <f t="shared" si="255"/>
        <v>304.285714285714</v>
      </c>
      <c r="Q425" s="17" t="str">
        <f t="shared" si="256"/>
        <v>1+38439.6443630756i</v>
      </c>
      <c r="R425" s="17">
        <f t="shared" si="264"/>
        <v>38439.644376083001</v>
      </c>
      <c r="S425" s="17">
        <f t="shared" si="265"/>
        <v>1.5707703119860621</v>
      </c>
      <c r="T425" s="17" t="str">
        <f t="shared" si="257"/>
        <v>1+0.797266697900826i</v>
      </c>
      <c r="U425" s="17">
        <f t="shared" si="266"/>
        <v>1.2789191481800901</v>
      </c>
      <c r="V425" s="17">
        <f t="shared" si="267"/>
        <v>0.67307207101319622</v>
      </c>
      <c r="W425" s="31" t="str">
        <f t="shared" si="258"/>
        <v>1-2.49145843094008i</v>
      </c>
      <c r="X425" s="17">
        <f t="shared" si="268"/>
        <v>2.6846536300056294</v>
      </c>
      <c r="Y425" s="17">
        <f t="shared" si="269"/>
        <v>-1.1891083224465111</v>
      </c>
      <c r="Z425" s="31" t="str">
        <f t="shared" si="259"/>
        <v>0.133275066742545+21.9782738169796i</v>
      </c>
      <c r="AA425" s="17">
        <f t="shared" si="270"/>
        <v>21.978677899672359</v>
      </c>
      <c r="AB425" s="17">
        <f t="shared" si="271"/>
        <v>1.5647324550679229</v>
      </c>
      <c r="AC425" s="66" t="str">
        <f t="shared" si="272"/>
        <v>-0.00107927506180147+0.000603625915828979i</v>
      </c>
      <c r="AD425" s="64">
        <f t="shared" si="273"/>
        <v>-58.15536021552834</v>
      </c>
      <c r="AE425" s="61">
        <f t="shared" si="274"/>
        <v>150.78222551333471</v>
      </c>
      <c r="AF425" s="31" t="str">
        <f t="shared" si="260"/>
        <v>-0.000495863624968664</v>
      </c>
      <c r="AG425" s="31" t="str">
        <f t="shared" si="261"/>
        <v>0.162937690333954i</v>
      </c>
      <c r="AH425" s="31">
        <f t="shared" si="275"/>
        <v>0.162937690333954</v>
      </c>
      <c r="AI425" s="31">
        <f t="shared" si="276"/>
        <v>1.5707963267948966</v>
      </c>
      <c r="AJ425" s="31" t="str">
        <f t="shared" si="262"/>
        <v>1+0.635732778318888i</v>
      </c>
      <c r="AK425" s="31">
        <f t="shared" si="277"/>
        <v>1.1849709555212957</v>
      </c>
      <c r="AL425" s="31">
        <f t="shared" si="278"/>
        <v>0.56628006672196529</v>
      </c>
      <c r="AM425" s="31" t="str">
        <f t="shared" si="263"/>
        <v>1+194.887415042424i</v>
      </c>
      <c r="AN425" s="31">
        <f t="shared" si="279"/>
        <v>194.88998060936339</v>
      </c>
      <c r="AO425" s="31">
        <f t="shared" si="280"/>
        <v>1.5656652041740382</v>
      </c>
      <c r="AP425" s="58" t="str">
        <f t="shared" si="281"/>
        <v>-0.421007732536506+0.270691686972774i</v>
      </c>
      <c r="AQ425" s="49">
        <f t="shared" si="282"/>
        <v>-6.0115499618403696</v>
      </c>
      <c r="AR425" s="61">
        <f t="shared" si="283"/>
        <v>147.26055048410549</v>
      </c>
      <c r="AS425" s="58" t="str">
        <f t="shared" si="284"/>
        <v>0.000290986629096002-0.000546281965310115i</v>
      </c>
      <c r="AT425" s="64">
        <f t="shared" si="285"/>
        <v>-64.166910177368706</v>
      </c>
      <c r="AU425" s="61">
        <f t="shared" si="286"/>
        <v>-61.957224002559805</v>
      </c>
    </row>
    <row r="426" spans="14:47" x14ac:dyDescent="0.25">
      <c r="N426" s="10">
        <v>8</v>
      </c>
      <c r="O426" s="50">
        <f t="shared" si="287"/>
        <v>120226.44346174144</v>
      </c>
      <c r="P426" s="48" t="str">
        <f t="shared" si="255"/>
        <v>304.285714285714</v>
      </c>
      <c r="Q426" s="17" t="str">
        <f t="shared" si="256"/>
        <v>1+39335.0187024997i</v>
      </c>
      <c r="R426" s="17">
        <f t="shared" si="264"/>
        <v>39335.018715211016</v>
      </c>
      <c r="S426" s="17">
        <f t="shared" si="265"/>
        <v>1.5707709041554072</v>
      </c>
      <c r="T426" s="17" t="str">
        <f t="shared" si="257"/>
        <v>1+0.815837424940733i</v>
      </c>
      <c r="U426" s="17">
        <f t="shared" si="266"/>
        <v>1.2905776628835346</v>
      </c>
      <c r="V426" s="17">
        <f t="shared" si="267"/>
        <v>0.68432358167701246</v>
      </c>
      <c r="W426" s="31" t="str">
        <f t="shared" si="258"/>
        <v>1-2.54949195293979i</v>
      </c>
      <c r="X426" s="17">
        <f t="shared" si="268"/>
        <v>2.7385962130450601</v>
      </c>
      <c r="Y426" s="17">
        <f t="shared" si="269"/>
        <v>-1.1970017780984723</v>
      </c>
      <c r="Z426" s="31" t="str">
        <f t="shared" si="259"/>
        <v>0.092427579078608+22.4902135793428i</v>
      </c>
      <c r="AA426" s="17">
        <f t="shared" si="270"/>
        <v>22.490403502423643</v>
      </c>
      <c r="AB426" s="17">
        <f t="shared" si="271"/>
        <v>1.5666866700143196</v>
      </c>
      <c r="AC426" s="66" t="str">
        <f t="shared" si="272"/>
        <v>-0.00106183622509274+0.000591918008570075i</v>
      </c>
      <c r="AD426" s="64">
        <f t="shared" si="273"/>
        <v>-58.303657950539609</v>
      </c>
      <c r="AE426" s="61">
        <f t="shared" si="274"/>
        <v>150.86262569539258</v>
      </c>
      <c r="AF426" s="31" t="str">
        <f t="shared" si="260"/>
        <v>-0.000495863624968664</v>
      </c>
      <c r="AG426" s="31" t="str">
        <f t="shared" si="261"/>
        <v>0.166732996697147i</v>
      </c>
      <c r="AH426" s="31">
        <f t="shared" si="275"/>
        <v>0.166732996697147</v>
      </c>
      <c r="AI426" s="31">
        <f t="shared" si="276"/>
        <v>1.5707963267948966</v>
      </c>
      <c r="AJ426" s="31" t="str">
        <f t="shared" si="262"/>
        <v>1+0.650540897016892i</v>
      </c>
      <c r="AK426" s="31">
        <f t="shared" si="277"/>
        <v>1.1929809129619562</v>
      </c>
      <c r="AL426" s="31">
        <f t="shared" si="278"/>
        <v>0.57675537056415038</v>
      </c>
      <c r="AM426" s="31" t="str">
        <f t="shared" si="263"/>
        <v>1+199.426926096623i</v>
      </c>
      <c r="AN426" s="31">
        <f t="shared" si="279"/>
        <v>199.42943326487176</v>
      </c>
      <c r="AO426" s="31">
        <f t="shared" si="280"/>
        <v>1.5657820008038998</v>
      </c>
      <c r="AP426" s="58" t="str">
        <f t="shared" si="281"/>
        <v>-0.415373219987769+0.273191265285121i</v>
      </c>
      <c r="AQ426" s="49">
        <f t="shared" si="282"/>
        <v>-6.0700709009249607</v>
      </c>
      <c r="AR426" s="61">
        <f t="shared" si="283"/>
        <v>146.66705173878333</v>
      </c>
      <c r="AS426" s="58" t="str">
        <f t="shared" si="284"/>
        <v>0.000279351502210121-0.000535951271047162i</v>
      </c>
      <c r="AT426" s="64">
        <f t="shared" si="285"/>
        <v>-64.373728851464563</v>
      </c>
      <c r="AU426" s="61">
        <f t="shared" si="286"/>
        <v>-62.470322565824098</v>
      </c>
    </row>
    <row r="427" spans="14:47" x14ac:dyDescent="0.25">
      <c r="N427" s="10">
        <v>9</v>
      </c>
      <c r="O427" s="50">
        <f t="shared" si="287"/>
        <v>123026.87708123829</v>
      </c>
      <c r="P427" s="48" t="str">
        <f t="shared" si="255"/>
        <v>304.285714285714</v>
      </c>
      <c r="Q427" s="17" t="str">
        <f t="shared" si="256"/>
        <v>1+40251.2489895003i</v>
      </c>
      <c r="R427" s="17">
        <f t="shared" si="264"/>
        <v>40251.249001922275</v>
      </c>
      <c r="S427" s="17">
        <f t="shared" si="265"/>
        <v>1.5707714828453323</v>
      </c>
      <c r="T427" s="17" t="str">
        <f t="shared" si="257"/>
        <v>1+0.834840719782227i</v>
      </c>
      <c r="U427" s="17">
        <f t="shared" si="266"/>
        <v>1.3026737993091391</v>
      </c>
      <c r="V427" s="17">
        <f t="shared" si="267"/>
        <v>0.69562722207075489</v>
      </c>
      <c r="W427" s="31" t="str">
        <f t="shared" si="258"/>
        <v>1-2.60887724931946i</v>
      </c>
      <c r="X427" s="17">
        <f t="shared" si="268"/>
        <v>2.7939650144582471</v>
      </c>
      <c r="Y427" s="17">
        <f t="shared" si="269"/>
        <v>-1.2047630754327781</v>
      </c>
      <c r="Z427" s="31" t="str">
        <f t="shared" si="259"/>
        <v>0.049655008629544+23.0140779506389i</v>
      </c>
      <c r="AA427" s="17">
        <f t="shared" si="270"/>
        <v>23.014131518220832</v>
      </c>
      <c r="AB427" s="17">
        <f t="shared" si="271"/>
        <v>1.5686387373539981</v>
      </c>
      <c r="AC427" s="66" t="str">
        <f t="shared" si="272"/>
        <v>-0.00104517455844076+0.00058045410789359i</v>
      </c>
      <c r="AD427" s="64">
        <f t="shared" si="273"/>
        <v>-58.448714928133505</v>
      </c>
      <c r="AE427" s="61">
        <f t="shared" si="274"/>
        <v>150.95370862590647</v>
      </c>
      <c r="AF427" s="31" t="str">
        <f t="shared" si="260"/>
        <v>-0.000495863624968664</v>
      </c>
      <c r="AG427" s="31" t="str">
        <f t="shared" si="261"/>
        <v>0.17061670710216i</v>
      </c>
      <c r="AH427" s="31">
        <f t="shared" si="275"/>
        <v>0.17061670710216001</v>
      </c>
      <c r="AI427" s="31">
        <f t="shared" si="276"/>
        <v>1.5707963267948966</v>
      </c>
      <c r="AJ427" s="31" t="str">
        <f t="shared" si="262"/>
        <v>1+0.665693941109421i</v>
      </c>
      <c r="AK427" s="31">
        <f t="shared" si="277"/>
        <v>1.2013111267401935</v>
      </c>
      <c r="AL427" s="31">
        <f t="shared" si="278"/>
        <v>0.58732887579342496</v>
      </c>
      <c r="AM427" s="31" t="str">
        <f t="shared" si="263"/>
        <v>1+204.072175946767i</v>
      </c>
      <c r="AN427" s="31">
        <f t="shared" si="279"/>
        <v>204.07462604559203</v>
      </c>
      <c r="AO427" s="31">
        <f t="shared" si="280"/>
        <v>1.5658961389500772</v>
      </c>
      <c r="AP427" s="58" t="str">
        <f t="shared" si="281"/>
        <v>-0.409632574043502+0.275596224316361i</v>
      </c>
      <c r="AQ427" s="49">
        <f t="shared" si="282"/>
        <v>-6.1305159024624079</v>
      </c>
      <c r="AR427" s="61">
        <f t="shared" si="283"/>
        <v>146.06777414854389</v>
      </c>
      <c r="AS427" s="58" t="str">
        <f t="shared" si="284"/>
        <v>0.000268166584174474-0.000525819072388369i</v>
      </c>
      <c r="AT427" s="64">
        <f t="shared" si="285"/>
        <v>-64.579230830595918</v>
      </c>
      <c r="AU427" s="61">
        <f t="shared" si="286"/>
        <v>-62.978517225549624</v>
      </c>
    </row>
    <row r="428" spans="14:47" x14ac:dyDescent="0.25">
      <c r="N428" s="10">
        <v>10</v>
      </c>
      <c r="O428" s="50">
        <f t="shared" si="287"/>
        <v>125892.54117941685</v>
      </c>
      <c r="P428" s="48" t="str">
        <f t="shared" si="255"/>
        <v>304.285714285714</v>
      </c>
      <c r="Q428" s="17" t="str">
        <f t="shared" si="256"/>
        <v>1+41188.8210215035i</v>
      </c>
      <c r="R428" s="17">
        <f t="shared" si="264"/>
        <v>41188.821033642715</v>
      </c>
      <c r="S428" s="17">
        <f t="shared" si="265"/>
        <v>1.5707720483626666</v>
      </c>
      <c r="T428" s="17" t="str">
        <f t="shared" si="257"/>
        <v>1+0.854286658223774i</v>
      </c>
      <c r="U428" s="17">
        <f t="shared" si="266"/>
        <v>1.3152207778236866</v>
      </c>
      <c r="V428" s="17">
        <f t="shared" si="267"/>
        <v>0.70697743194345031</v>
      </c>
      <c r="W428" s="31" t="str">
        <f t="shared" si="258"/>
        <v>1-2.6696458069493i</v>
      </c>
      <c r="X428" s="17">
        <f t="shared" si="268"/>
        <v>2.8507908963236814</v>
      </c>
      <c r="Y428" s="17">
        <f t="shared" si="269"/>
        <v>-1.2123925883865787</v>
      </c>
      <c r="Z428" s="31" t="str">
        <f t="shared" si="259"/>
        <v>0.00486662903880897+23.5501446906918i</v>
      </c>
      <c r="AA428" s="17">
        <f t="shared" si="270"/>
        <v>23.550145193535375</v>
      </c>
      <c r="AB428" s="17">
        <f t="shared" si="271"/>
        <v>1.57058967715289</v>
      </c>
      <c r="AC428" s="66" t="str">
        <f t="shared" si="272"/>
        <v>-0.00102925513022216+0.000569232752664963i</v>
      </c>
      <c r="AD428" s="64">
        <f t="shared" si="273"/>
        <v>-58.5905472449369</v>
      </c>
      <c r="AE428" s="61">
        <f t="shared" si="274"/>
        <v>151.05507583788929</v>
      </c>
      <c r="AF428" s="31" t="str">
        <f t="shared" si="260"/>
        <v>-0.000495863624968664</v>
      </c>
      <c r="AG428" s="31" t="str">
        <f t="shared" si="261"/>
        <v>0.174590880743659i</v>
      </c>
      <c r="AH428" s="31">
        <f t="shared" si="275"/>
        <v>0.174590880743659</v>
      </c>
      <c r="AI428" s="31">
        <f t="shared" si="276"/>
        <v>1.5707963267948966</v>
      </c>
      <c r="AJ428" s="31" t="str">
        <f t="shared" si="262"/>
        <v>1+0.681199944941028i</v>
      </c>
      <c r="AK428" s="31">
        <f t="shared" si="277"/>
        <v>1.2099724645576277</v>
      </c>
      <c r="AL428" s="31">
        <f t="shared" si="278"/>
        <v>0.59799673161752676</v>
      </c>
      <c r="AM428" s="31" t="str">
        <f t="shared" si="263"/>
        <v>1+208.825627565811i</v>
      </c>
      <c r="AN428" s="31">
        <f t="shared" si="279"/>
        <v>208.82802189422475</v>
      </c>
      <c r="AO428" s="31">
        <f t="shared" si="280"/>
        <v>1.5660076791182236</v>
      </c>
      <c r="AP428" s="58" t="str">
        <f t="shared" si="281"/>
        <v>-0.40378902385153+0.277901207006689i</v>
      </c>
      <c r="AQ428" s="49">
        <f t="shared" si="282"/>
        <v>-6.1929203469917251</v>
      </c>
      <c r="AR428" s="61">
        <f t="shared" si="283"/>
        <v>145.46294181424989</v>
      </c>
      <c r="AS428" s="58" t="str">
        <f t="shared" si="284"/>
        <v>0.000257411455293252-0.00051588118054947i</v>
      </c>
      <c r="AT428" s="64">
        <f t="shared" si="285"/>
        <v>-64.783467591928627</v>
      </c>
      <c r="AU428" s="61">
        <f t="shared" si="286"/>
        <v>-63.4819823478608</v>
      </c>
    </row>
    <row r="429" spans="14:47" x14ac:dyDescent="0.25">
      <c r="N429" s="10">
        <v>11</v>
      </c>
      <c r="O429" s="50">
        <f t="shared" si="287"/>
        <v>128824.95516931375</v>
      </c>
      <c r="P429" s="48" t="str">
        <f t="shared" si="255"/>
        <v>304.285714285714</v>
      </c>
      <c r="Q429" s="17" t="str">
        <f t="shared" si="256"/>
        <v>1+42148.2319116108i</v>
      </c>
      <c r="R429" s="17">
        <f t="shared" si="264"/>
        <v>42148.231923473701</v>
      </c>
      <c r="S429" s="17">
        <f t="shared" si="265"/>
        <v>1.5707726010072549</v>
      </c>
      <c r="T429" s="17" t="str">
        <f t="shared" si="257"/>
        <v>1+0.874185550759333i</v>
      </c>
      <c r="U429" s="17">
        <f t="shared" si="266"/>
        <v>1.3282320494388014</v>
      </c>
      <c r="V429" s="17">
        <f t="shared" si="267"/>
        <v>0.71836853241070986</v>
      </c>
      <c r="W429" s="31" t="str">
        <f t="shared" si="258"/>
        <v>1-2.73182984612292i</v>
      </c>
      <c r="X429" s="17">
        <f t="shared" si="268"/>
        <v>2.909105413725666</v>
      </c>
      <c r="Y429" s="17">
        <f t="shared" si="269"/>
        <v>-1.2198908083430606</v>
      </c>
      <c r="Z429" s="31" t="str">
        <f t="shared" si="259"/>
        <v>-0.04203256185159+24.0986980291828i</v>
      </c>
      <c r="AA429" s="17">
        <f t="shared" si="270"/>
        <v>24.098734685414389</v>
      </c>
      <c r="AB429" s="17">
        <f t="shared" si="271"/>
        <v>1.5725405089568234</v>
      </c>
      <c r="AC429" s="66" t="str">
        <f t="shared" si="272"/>
        <v>-0.00101404454746295+0.000558252302159651i</v>
      </c>
      <c r="AD429" s="64">
        <f t="shared" si="273"/>
        <v>-58.729172484392258</v>
      </c>
      <c r="AE429" s="61">
        <f t="shared" si="274"/>
        <v>151.16631536819787</v>
      </c>
      <c r="AF429" s="31" t="str">
        <f t="shared" si="260"/>
        <v>-0.000495863624968664</v>
      </c>
      <c r="AG429" s="31" t="str">
        <f t="shared" si="261"/>
        <v>0.178657624781111i</v>
      </c>
      <c r="AH429" s="31">
        <f t="shared" si="275"/>
        <v>0.178657624781111</v>
      </c>
      <c r="AI429" s="31">
        <f t="shared" si="276"/>
        <v>1.5707963267948966</v>
      </c>
      <c r="AJ429" s="31" t="str">
        <f t="shared" si="262"/>
        <v>1+0.697067130000191i</v>
      </c>
      <c r="AK429" s="31">
        <f t="shared" si="277"/>
        <v>1.2189760390289479</v>
      </c>
      <c r="AL429" s="31">
        <f t="shared" si="278"/>
        <v>0.60875488193847715</v>
      </c>
      <c r="AM429" s="31" t="str">
        <f t="shared" si="263"/>
        <v>1+213.689801296726i</v>
      </c>
      <c r="AN429" s="31">
        <f t="shared" si="279"/>
        <v>213.69214112417481</v>
      </c>
      <c r="AO429" s="31">
        <f t="shared" si="280"/>
        <v>1.5661166804373052</v>
      </c>
      <c r="AP429" s="58" t="str">
        <f t="shared" si="281"/>
        <v>-0.397846137296421+0.28010096167791i</v>
      </c>
      <c r="AQ429" s="49">
        <f t="shared" si="282"/>
        <v>-6.2573184647678399</v>
      </c>
      <c r="AR429" s="61">
        <f t="shared" si="283"/>
        <v>144.85279052103681</v>
      </c>
      <c r="AS429" s="58" t="str">
        <f t="shared" si="284"/>
        <v>0.000247066699560806-0.000506133374979665i</v>
      </c>
      <c r="AT429" s="64">
        <f t="shared" si="285"/>
        <v>-64.9864909491601</v>
      </c>
      <c r="AU429" s="61">
        <f t="shared" si="286"/>
        <v>-63.980894110765377</v>
      </c>
    </row>
    <row r="430" spans="14:47" x14ac:dyDescent="0.25">
      <c r="N430" s="10">
        <v>12</v>
      </c>
      <c r="O430" s="50">
        <f t="shared" si="287"/>
        <v>131825.67385564081</v>
      </c>
      <c r="P430" s="48" t="str">
        <f t="shared" si="255"/>
        <v>304.285714285714</v>
      </c>
      <c r="Q430" s="17" t="str">
        <f t="shared" si="256"/>
        <v>1+43129.9903521753i</v>
      </c>
      <c r="R430" s="17">
        <f t="shared" si="264"/>
        <v>43129.990363768164</v>
      </c>
      <c r="S430" s="17">
        <f t="shared" si="265"/>
        <v>1.5707731410721164</v>
      </c>
      <c r="T430" s="17" t="str">
        <f t="shared" si="257"/>
        <v>1+0.894547948045115i</v>
      </c>
      <c r="U430" s="17">
        <f t="shared" si="266"/>
        <v>1.3417212942156524</v>
      </c>
      <c r="V430" s="17">
        <f t="shared" si="267"/>
        <v>0.72979473944889273</v>
      </c>
      <c r="W430" s="31" t="str">
        <f t="shared" si="258"/>
        <v>1-2.79546233764099i</v>
      </c>
      <c r="X430" s="17">
        <f t="shared" si="268"/>
        <v>2.9689408349054767</v>
      </c>
      <c r="Y430" s="17">
        <f t="shared" si="269"/>
        <v>-1.227258337371298</v>
      </c>
      <c r="Z430" s="31" t="str">
        <f t="shared" si="259"/>
        <v>-0.09114204351341+24.6600288163527i</v>
      </c>
      <c r="AA430" s="17">
        <f t="shared" si="270"/>
        <v>24.660197243644287</v>
      </c>
      <c r="AB430" s="17">
        <f t="shared" si="271"/>
        <v>1.5744922522618039</v>
      </c>
      <c r="AC430" s="66" t="str">
        <f t="shared" si="272"/>
        <v>-0.000999510888155336+0.000547510955424519i</v>
      </c>
      <c r="AD430" s="64">
        <f t="shared" si="273"/>
        <v>-58.864609763135576</v>
      </c>
      <c r="AE430" s="61">
        <f t="shared" si="274"/>
        <v>151.28700289106487</v>
      </c>
      <c r="AF430" s="31" t="str">
        <f t="shared" si="260"/>
        <v>-0.000495863624968664</v>
      </c>
      <c r="AG430" s="31" t="str">
        <f t="shared" si="261"/>
        <v>0.182819095456035i</v>
      </c>
      <c r="AH430" s="31">
        <f t="shared" si="275"/>
        <v>0.182819095456035</v>
      </c>
      <c r="AI430" s="31">
        <f t="shared" si="276"/>
        <v>1.5707963267948966</v>
      </c>
      <c r="AJ430" s="31" t="str">
        <f t="shared" si="262"/>
        <v>1+0.713303909278451i</v>
      </c>
      <c r="AK430" s="31">
        <f t="shared" si="277"/>
        <v>1.2283332068261936</v>
      </c>
      <c r="AL430" s="31">
        <f t="shared" si="278"/>
        <v>0.6195990699161561</v>
      </c>
      <c r="AM430" s="31" t="str">
        <f t="shared" si="263"/>
        <v>1+218.667276188806i</v>
      </c>
      <c r="AN430" s="31">
        <f t="shared" si="279"/>
        <v>218.669562755843</v>
      </c>
      <c r="AO430" s="31">
        <f t="shared" si="280"/>
        <v>1.5662232006908972</v>
      </c>
      <c r="AP430" s="58" t="str">
        <f t="shared" si="281"/>
        <v>-0.391807818629187+0.282190367269909i</v>
      </c>
      <c r="AQ430" s="49">
        <f t="shared" si="282"/>
        <v>-6.3237432215236975</v>
      </c>
      <c r="AR430" s="61">
        <f t="shared" si="283"/>
        <v>144.23756747863274</v>
      </c>
      <c r="AS430" s="58" t="str">
        <f t="shared" si="284"/>
        <v>0.00023711386318872-0.00049657141773929i</v>
      </c>
      <c r="AT430" s="64">
        <f t="shared" si="285"/>
        <v>-65.188352984659275</v>
      </c>
      <c r="AU430" s="61">
        <f t="shared" si="286"/>
        <v>-64.47542963030233</v>
      </c>
    </row>
    <row r="431" spans="14:47" x14ac:dyDescent="0.25">
      <c r="N431" s="10">
        <v>13</v>
      </c>
      <c r="O431" s="50">
        <f t="shared" si="287"/>
        <v>134896.28825916545</v>
      </c>
      <c r="P431" s="48" t="str">
        <f t="shared" si="255"/>
        <v>304.285714285714</v>
      </c>
      <c r="Q431" s="17" t="str">
        <f t="shared" si="256"/>
        <v>1+44134.6168845175i</v>
      </c>
      <c r="R431" s="17">
        <f t="shared" si="264"/>
        <v>44134.61689584647</v>
      </c>
      <c r="S431" s="17">
        <f t="shared" si="265"/>
        <v>1.5707736688436007</v>
      </c>
      <c r="T431" s="17" t="str">
        <f t="shared" si="257"/>
        <v>1+0.915384646493694i</v>
      </c>
      <c r="U431" s="17">
        <f t="shared" si="266"/>
        <v>1.3557024197943977</v>
      </c>
      <c r="V431" s="17">
        <f t="shared" si="267"/>
        <v>0.74125017803907245</v>
      </c>
      <c r="W431" s="31" t="str">
        <f t="shared" si="258"/>
        <v>1-2.8605770202928i</v>
      </c>
      <c r="X431" s="17">
        <f t="shared" si="268"/>
        <v>3.0303301617195504</v>
      </c>
      <c r="Y431" s="17">
        <f t="shared" si="269"/>
        <v>-1.2344958815592111</v>
      </c>
      <c r="Z431" s="31" t="str">
        <f t="shared" si="259"/>
        <v>-0.14256598374149+25.2344346772152i</v>
      </c>
      <c r="AA431" s="17">
        <f t="shared" si="270"/>
        <v>25.234837398690747</v>
      </c>
      <c r="AB431" s="17">
        <f t="shared" si="271"/>
        <v>1.5764459269843076</v>
      </c>
      <c r="AC431" s="66" t="str">
        <f t="shared" si="272"/>
        <v>-0.000985623636421682+0.000537006769216447i</v>
      </c>
      <c r="AD431" s="64">
        <f t="shared" si="273"/>
        <v>-58.996879772984585</v>
      </c>
      <c r="AE431" s="61">
        <f t="shared" si="274"/>
        <v>151.41670288352708</v>
      </c>
      <c r="AF431" s="31" t="str">
        <f t="shared" si="260"/>
        <v>-0.000495863624968664</v>
      </c>
      <c r="AG431" s="31" t="str">
        <f t="shared" si="261"/>
        <v>0.187077499235267i</v>
      </c>
      <c r="AH431" s="31">
        <f t="shared" si="275"/>
        <v>0.18707749923526701</v>
      </c>
      <c r="AI431" s="31">
        <f t="shared" si="276"/>
        <v>1.5707963267948966</v>
      </c>
      <c r="AJ431" s="31" t="str">
        <f t="shared" si="262"/>
        <v>1+0.729918891731105i</v>
      </c>
      <c r="AK431" s="31">
        <f t="shared" si="277"/>
        <v>1.2380555676163993</v>
      </c>
      <c r="AL431" s="31">
        <f t="shared" si="278"/>
        <v>0.6305248435207681</v>
      </c>
      <c r="AM431" s="31" t="str">
        <f t="shared" si="263"/>
        <v>1+223.760691365125i</v>
      </c>
      <c r="AN431" s="31">
        <f t="shared" si="279"/>
        <v>223.76292588406758</v>
      </c>
      <c r="AO431" s="31">
        <f t="shared" si="280"/>
        <v>1.5663272963477735</v>
      </c>
      <c r="AP431" s="58" t="str">
        <f t="shared" si="281"/>
        <v>-0.385678303919774+0.284164458809718i</v>
      </c>
      <c r="AQ431" s="49">
        <f t="shared" si="282"/>
        <v>-6.3922262053980647</v>
      </c>
      <c r="AR431" s="61">
        <f t="shared" si="283"/>
        <v>143.61753100497759</v>
      </c>
      <c r="AS431" s="58" t="str">
        <f t="shared" si="284"/>
        <v>0.000227535414446807-0.00048719106717867i</v>
      </c>
      <c r="AT431" s="64">
        <f t="shared" si="285"/>
        <v>-65.389105978382659</v>
      </c>
      <c r="AU431" s="61">
        <f t="shared" si="286"/>
        <v>-64.965766111495313</v>
      </c>
    </row>
    <row r="432" spans="14:47" x14ac:dyDescent="0.25">
      <c r="N432" s="10">
        <v>14</v>
      </c>
      <c r="O432" s="50">
        <f t="shared" si="287"/>
        <v>138038.42646028858</v>
      </c>
      <c r="P432" s="48" t="str">
        <f t="shared" si="255"/>
        <v>304.285714285714</v>
      </c>
      <c r="Q432" s="17" t="str">
        <f t="shared" si="256"/>
        <v>1+45162.6441749226i</v>
      </c>
      <c r="R432" s="17">
        <f t="shared" si="264"/>
        <v>45162.644185993697</v>
      </c>
      <c r="S432" s="17">
        <f t="shared" si="265"/>
        <v>1.5707741846015395</v>
      </c>
      <c r="T432" s="17" t="str">
        <f t="shared" si="257"/>
        <v>1+0.936706693998393i</v>
      </c>
      <c r="U432" s="17">
        <f t="shared" si="266"/>
        <v>1.3701895600906464</v>
      </c>
      <c r="V432" s="17">
        <f t="shared" si="267"/>
        <v>0.75272889688008937</v>
      </c>
      <c r="W432" s="31" t="str">
        <f t="shared" si="258"/>
        <v>1-2.92720841874498i</v>
      </c>
      <c r="X432" s="17">
        <f t="shared" si="268"/>
        <v>3.0933071504090064</v>
      </c>
      <c r="Y432" s="17">
        <f t="shared" si="269"/>
        <v>-1.2416042444619919</v>
      </c>
      <c r="Z432" s="31" t="str">
        <f t="shared" si="259"/>
        <v>-0.19641345960758+25.8222201693608i</v>
      </c>
      <c r="AA432" s="17">
        <f t="shared" si="270"/>
        <v>25.822967155655423</v>
      </c>
      <c r="AB432" s="17">
        <f t="shared" si="271"/>
        <v>1.5784025539315027</v>
      </c>
      <c r="AC432" s="66" t="str">
        <f t="shared" si="272"/>
        <v>-0.000972353620412223+0.00052673767461406i</v>
      </c>
      <c r="AD432" s="64">
        <f t="shared" si="273"/>
        <v>-59.126004817803249</v>
      </c>
      <c r="AE432" s="61">
        <f t="shared" si="274"/>
        <v>151.55496981684894</v>
      </c>
      <c r="AF432" s="31" t="str">
        <f t="shared" si="260"/>
        <v>-0.000495863624968664</v>
      </c>
      <c r="AG432" s="31" t="str">
        <f t="shared" si="261"/>
        <v>0.191435093980857i</v>
      </c>
      <c r="AH432" s="31">
        <f t="shared" si="275"/>
        <v>0.19143509398085701</v>
      </c>
      <c r="AI432" s="31">
        <f t="shared" si="276"/>
        <v>1.5707963267948966</v>
      </c>
      <c r="AJ432" s="31" t="str">
        <f t="shared" si="262"/>
        <v>1+0.746920886841775i</v>
      </c>
      <c r="AK432" s="31">
        <f t="shared" si="277"/>
        <v>1.2481549628153163</v>
      </c>
      <c r="AL432" s="31">
        <f t="shared" si="278"/>
        <v>0.64152756207912953</v>
      </c>
      <c r="AM432" s="31" t="str">
        <f t="shared" si="263"/>
        <v>1+228.972747421829i</v>
      </c>
      <c r="AN432" s="31">
        <f t="shared" si="279"/>
        <v>228.97493107740135</v>
      </c>
      <c r="AO432" s="31">
        <f t="shared" si="280"/>
        <v>1.5664290225918001</v>
      </c>
      <c r="AP432" s="58" t="str">
        <f t="shared" si="281"/>
        <v>-0.379462154269267+0.286018452901454i</v>
      </c>
      <c r="AQ432" s="49">
        <f t="shared" si="282"/>
        <v>-6.4627975157790534</v>
      </c>
      <c r="AR432" s="61">
        <f t="shared" si="283"/>
        <v>142.99295015286179</v>
      </c>
      <c r="AS432" s="58" t="str">
        <f t="shared" si="284"/>
        <v>0.00021831470473512-0.000477988090927267i</v>
      </c>
      <c r="AT432" s="64">
        <f t="shared" si="285"/>
        <v>-65.588802333582322</v>
      </c>
      <c r="AU432" s="61">
        <f t="shared" si="286"/>
        <v>-65.452080030289309</v>
      </c>
    </row>
    <row r="433" spans="14:47" x14ac:dyDescent="0.25">
      <c r="N433" s="10">
        <v>15</v>
      </c>
      <c r="O433" s="50">
        <f t="shared" si="287"/>
        <v>141253.75446227577</v>
      </c>
      <c r="P433" s="48" t="str">
        <f t="shared" si="255"/>
        <v>304.285714285714</v>
      </c>
      <c r="Q433" s="17" t="str">
        <f t="shared" si="256"/>
        <v>1+46214.6172970676i</v>
      </c>
      <c r="R433" s="17">
        <f t="shared" si="264"/>
        <v>46214.617307886678</v>
      </c>
      <c r="S433" s="17">
        <f t="shared" si="265"/>
        <v>1.5707746886193943</v>
      </c>
      <c r="T433" s="17" t="str">
        <f t="shared" si="257"/>
        <v>1+0.95852539579103i</v>
      </c>
      <c r="U433" s="17">
        <f t="shared" si="266"/>
        <v>1.3851970742014836</v>
      </c>
      <c r="V433" s="17">
        <f t="shared" si="267"/>
        <v>0.76422488358348295</v>
      </c>
      <c r="W433" s="31" t="str">
        <f t="shared" si="258"/>
        <v>1-2.99539186184697i</v>
      </c>
      <c r="X433" s="17">
        <f t="shared" si="268"/>
        <v>3.157906332686113</v>
      </c>
      <c r="Y433" s="17">
        <f t="shared" si="269"/>
        <v>-1.2485843206856868</v>
      </c>
      <c r="Z433" s="31" t="str">
        <f t="shared" si="259"/>
        <v>-0.25279868882744+26.4236969444377i</v>
      </c>
      <c r="AA433" s="17">
        <f t="shared" si="270"/>
        <v>26.424906194508225</v>
      </c>
      <c r="AB433" s="17">
        <f t="shared" si="271"/>
        <v>1.5803631552713238</v>
      </c>
      <c r="AC433" s="66" t="str">
        <f t="shared" si="272"/>
        <v>-0.000959672952826376+0.000516701492391931i</v>
      </c>
      <c r="AD433" s="64">
        <f t="shared" si="273"/>
        <v>-59.252008844579514</v>
      </c>
      <c r="AE433" s="61">
        <f t="shared" si="274"/>
        <v>151.70134936781912</v>
      </c>
      <c r="AF433" s="31" t="str">
        <f t="shared" si="260"/>
        <v>-0.000495863624968664</v>
      </c>
      <c r="AG433" s="31" t="str">
        <f t="shared" si="261"/>
        <v>0.195894190147219i</v>
      </c>
      <c r="AH433" s="31">
        <f t="shared" si="275"/>
        <v>0.19589419014721901</v>
      </c>
      <c r="AI433" s="31">
        <f t="shared" si="276"/>
        <v>1.5707963267948966</v>
      </c>
      <c r="AJ433" s="31" t="str">
        <f t="shared" si="262"/>
        <v>1+0.764318909293316i</v>
      </c>
      <c r="AK433" s="31">
        <f t="shared" si="277"/>
        <v>1.2586434741829491</v>
      </c>
      <c r="AL433" s="31">
        <f t="shared" si="278"/>
        <v>0.6526024038112952</v>
      </c>
      <c r="AM433" s="31" t="str">
        <f t="shared" si="263"/>
        <v>1+234.306207860029i</v>
      </c>
      <c r="AN433" s="31">
        <f t="shared" si="279"/>
        <v>234.30834180999</v>
      </c>
      <c r="AO433" s="31">
        <f t="shared" si="280"/>
        <v>1.566528433351152</v>
      </c>
      <c r="AP433" s="58" t="str">
        <f t="shared" si="281"/>
        <v>-0.373164246741698+0.287747773014253i</v>
      </c>
      <c r="AQ433" s="49">
        <f t="shared" si="282"/>
        <v>-6.5354856548283244</v>
      </c>
      <c r="AR433" s="61">
        <f t="shared" si="283"/>
        <v>142.36410427978234</v>
      </c>
      <c r="AS433" s="58" t="str">
        <f t="shared" si="284"/>
        <v>0.000209435930810917-0.000468958278196548i</v>
      </c>
      <c r="AT433" s="64">
        <f t="shared" si="285"/>
        <v>-65.787494499407842</v>
      </c>
      <c r="AU433" s="61">
        <f t="shared" si="286"/>
        <v>-65.934546352398442</v>
      </c>
    </row>
    <row r="434" spans="14:47" x14ac:dyDescent="0.25">
      <c r="N434" s="10">
        <v>16</v>
      </c>
      <c r="O434" s="50">
        <f t="shared" si="287"/>
        <v>144543.97707459307</v>
      </c>
      <c r="P434" s="48" t="str">
        <f t="shared" si="255"/>
        <v>304.285714285714</v>
      </c>
      <c r="Q434" s="17" t="str">
        <f t="shared" si="256"/>
        <v>1+47291.0940210262i</v>
      </c>
      <c r="R434" s="17">
        <f t="shared" si="264"/>
        <v>47291.094031599008</v>
      </c>
      <c r="S434" s="17">
        <f t="shared" si="265"/>
        <v>1.5707751811644022</v>
      </c>
      <c r="T434" s="17" t="str">
        <f t="shared" si="257"/>
        <v>1+0.980852320436097i</v>
      </c>
      <c r="U434" s="17">
        <f t="shared" si="266"/>
        <v>1.4007395455632985</v>
      </c>
      <c r="V434" s="17">
        <f t="shared" si="267"/>
        <v>0.77573208025743101</v>
      </c>
      <c r="W434" s="31" t="str">
        <f t="shared" si="258"/>
        <v>1-3.06516350136281i</v>
      </c>
      <c r="X434" s="17">
        <f t="shared" si="268"/>
        <v>3.2241630371441703</v>
      </c>
      <c r="Y434" s="17">
        <f t="shared" si="269"/>
        <v>-1.2554370896230314</v>
      </c>
      <c r="Z434" s="31" t="str">
        <f t="shared" si="259"/>
        <v>-0.31184127203195+27.0391839133935i</v>
      </c>
      <c r="AA434" s="17">
        <f t="shared" si="270"/>
        <v>27.040982076863635</v>
      </c>
      <c r="AB434" s="17">
        <f t="shared" si="271"/>
        <v>1.5823287550023193</v>
      </c>
      <c r="AC434" s="66" t="str">
        <f t="shared" si="272"/>
        <v>-0.000947554973951724+0.000506895947240993i</v>
      </c>
      <c r="AD434" s="64">
        <f t="shared" si="273"/>
        <v>-59.374917468123904</v>
      </c>
      <c r="AE434" s="61">
        <f t="shared" si="274"/>
        <v>151.85537964362706</v>
      </c>
      <c r="AF434" s="31" t="str">
        <f t="shared" si="260"/>
        <v>-0.000495863624968664</v>
      </c>
      <c r="AG434" s="31" t="str">
        <f t="shared" si="261"/>
        <v>0.200457152006162i</v>
      </c>
      <c r="AH434" s="31">
        <f t="shared" si="275"/>
        <v>0.20045715200616199</v>
      </c>
      <c r="AI434" s="31">
        <f t="shared" si="276"/>
        <v>1.5707963267948966</v>
      </c>
      <c r="AJ434" s="31" t="str">
        <f t="shared" si="262"/>
        <v>1+0.782122183747519i</v>
      </c>
      <c r="AK434" s="31">
        <f t="shared" si="277"/>
        <v>1.2695334222894599</v>
      </c>
      <c r="AL434" s="31">
        <f t="shared" si="278"/>
        <v>0.66374437434514133</v>
      </c>
      <c r="AM434" s="31" t="str">
        <f t="shared" si="263"/>
        <v>1+239.763900551046i</v>
      </c>
      <c r="AN434" s="31">
        <f t="shared" si="279"/>
        <v>239.76598592680295</v>
      </c>
      <c r="AO434" s="31">
        <f t="shared" si="280"/>
        <v>1.5666255813268657</v>
      </c>
      <c r="AP434" s="58" t="str">
        <f t="shared" si="281"/>
        <v>-0.366789763000199+0.28934807433667i</v>
      </c>
      <c r="AQ434" s="49">
        <f t="shared" si="282"/>
        <v>-6.6103174224601275</v>
      </c>
      <c r="AR434" s="61">
        <f t="shared" si="283"/>
        <v>141.7312825617305</v>
      </c>
      <c r="AS434" s="58" t="str">
        <f t="shared" si="284"/>
        <v>0.000200884098102169-0.00046009745139535i</v>
      </c>
      <c r="AT434" s="64">
        <f t="shared" si="285"/>
        <v>-65.985234890584024</v>
      </c>
      <c r="AU434" s="61">
        <f t="shared" si="286"/>
        <v>-66.41333779464243</v>
      </c>
    </row>
    <row r="435" spans="14:47" x14ac:dyDescent="0.25">
      <c r="N435" s="10">
        <v>17</v>
      </c>
      <c r="O435" s="50">
        <f t="shared" si="287"/>
        <v>147910.83881682079</v>
      </c>
      <c r="P435" s="48" t="str">
        <f t="shared" si="255"/>
        <v>304.285714285714</v>
      </c>
      <c r="Q435" s="17" t="str">
        <f t="shared" si="256"/>
        <v>1+48392.6451090063i</v>
      </c>
      <c r="R435" s="17">
        <f t="shared" si="264"/>
        <v>48392.645119338442</v>
      </c>
      <c r="S435" s="17">
        <f t="shared" si="265"/>
        <v>1.5707756624977167</v>
      </c>
      <c r="T435" s="17" t="str">
        <f t="shared" si="257"/>
        <v>1+1.00369930596457i</v>
      </c>
      <c r="U435" s="17">
        <f t="shared" si="266"/>
        <v>1.4168317814030569</v>
      </c>
      <c r="V435" s="17">
        <f t="shared" si="267"/>
        <v>0.78724439938226964</v>
      </c>
      <c r="W435" s="31" t="str">
        <f t="shared" si="258"/>
        <v>1-3.13656033113929i</v>
      </c>
      <c r="X435" s="17">
        <f t="shared" si="268"/>
        <v>3.2921134109985659</v>
      </c>
      <c r="Y435" s="17">
        <f t="shared" si="269"/>
        <v>-1.2621636093562085</v>
      </c>
      <c r="Z435" s="31" t="str">
        <f t="shared" si="259"/>
        <v>-0.37366644645605+27.669007415566i</v>
      </c>
      <c r="AA435" s="17">
        <f t="shared" si="270"/>
        <v>27.671530459587043</v>
      </c>
      <c r="AB435" s="17">
        <f t="shared" si="271"/>
        <v>1.5843003794231831</v>
      </c>
      <c r="AC435" s="66" t="str">
        <f t="shared" si="272"/>
        <v>-0.000935974197117928+0.000497318680913254i</v>
      </c>
      <c r="AD435" s="64">
        <f t="shared" si="273"/>
        <v>-59.494757988883421</v>
      </c>
      <c r="AE435" s="61">
        <f t="shared" si="274"/>
        <v>152.01659241389757</v>
      </c>
      <c r="AF435" s="31" t="str">
        <f t="shared" si="260"/>
        <v>-0.000495863624968664</v>
      </c>
      <c r="AG435" s="31" t="str">
        <f t="shared" si="261"/>
        <v>0.205126398900463i</v>
      </c>
      <c r="AH435" s="31">
        <f t="shared" si="275"/>
        <v>0.205126398900463</v>
      </c>
      <c r="AI435" s="31">
        <f t="shared" si="276"/>
        <v>1.5707963267948966</v>
      </c>
      <c r="AJ435" s="31" t="str">
        <f t="shared" si="262"/>
        <v>1+0.800340149736155i</v>
      </c>
      <c r="AK435" s="31">
        <f t="shared" si="277"/>
        <v>1.2808373648827125</v>
      </c>
      <c r="AL435" s="31">
        <f t="shared" si="278"/>
        <v>0.67494831618740614</v>
      </c>
      <c r="AM435" s="31" t="str">
        <f t="shared" si="263"/>
        <v>1+245.348719235784i</v>
      </c>
      <c r="AN435" s="31">
        <f t="shared" si="279"/>
        <v>245.35075714299222</v>
      </c>
      <c r="AO435" s="31">
        <f t="shared" si="280"/>
        <v>1.5667205180207446</v>
      </c>
      <c r="AP435" s="58" t="str">
        <f t="shared" si="281"/>
        <v>-0.360344175658484+0.290815267960479i</v>
      </c>
      <c r="AQ435" s="49">
        <f t="shared" si="282"/>
        <v>-6.6873178155519426</v>
      </c>
      <c r="AR435" s="61">
        <f t="shared" si="283"/>
        <v>141.0947834521389</v>
      </c>
      <c r="AS435" s="58" t="str">
        <f t="shared" si="284"/>
        <v>0.000192644985046531-0.000451401477052196i</v>
      </c>
      <c r="AT435" s="64">
        <f t="shared" si="285"/>
        <v>-66.182075804435357</v>
      </c>
      <c r="AU435" s="61">
        <f t="shared" si="286"/>
        <v>-66.888624133963575</v>
      </c>
    </row>
    <row r="436" spans="14:47" x14ac:dyDescent="0.25">
      <c r="N436" s="10">
        <v>18</v>
      </c>
      <c r="O436" s="50">
        <f t="shared" si="287"/>
        <v>151356.12484362084</v>
      </c>
      <c r="P436" s="48" t="str">
        <f t="shared" si="255"/>
        <v>304.285714285714</v>
      </c>
      <c r="Q436" s="17" t="str">
        <f t="shared" si="256"/>
        <v>1+49519.8546179757i</v>
      </c>
      <c r="R436" s="17">
        <f t="shared" si="264"/>
        <v>49519.854628072673</v>
      </c>
      <c r="S436" s="17">
        <f t="shared" si="265"/>
        <v>1.5707761328745473</v>
      </c>
      <c r="T436" s="17" t="str">
        <f t="shared" si="257"/>
        <v>1+1.0270784661506i</v>
      </c>
      <c r="U436" s="17">
        <f t="shared" si="266"/>
        <v>1.4334888125235821</v>
      </c>
      <c r="V436" s="17">
        <f t="shared" si="267"/>
        <v>0.79875573987668869</v>
      </c>
      <c r="W436" s="31" t="str">
        <f t="shared" si="258"/>
        <v>1-3.20962020672064i</v>
      </c>
      <c r="X436" s="17">
        <f t="shared" si="268"/>
        <v>3.3617944421676706</v>
      </c>
      <c r="Y436" s="17">
        <f t="shared" si="269"/>
        <v>-1.2687650107388888</v>
      </c>
      <c r="Z436" s="31" t="str">
        <f t="shared" si="259"/>
        <v>-0.43840535158376+28.3135013917129i</v>
      </c>
      <c r="AA436" s="17">
        <f t="shared" si="270"/>
        <v>28.316895315532488</v>
      </c>
      <c r="AB436" s="17">
        <f t="shared" si="271"/>
        <v>1.5862790576018833</v>
      </c>
      <c r="AC436" s="66" t="str">
        <f t="shared" si="272"/>
        <v>-0.000924906256466876+0.000487967264363865i</v>
      </c>
      <c r="AD436" s="64">
        <f t="shared" si="273"/>
        <v>-59.611559403450023</v>
      </c>
      <c r="AE436" s="61">
        <f t="shared" si="274"/>
        <v>152.184514343405</v>
      </c>
      <c r="AF436" s="31" t="str">
        <f t="shared" si="260"/>
        <v>-0.000495863624968664</v>
      </c>
      <c r="AG436" s="31" t="str">
        <f t="shared" si="261"/>
        <v>0.209904406526631i</v>
      </c>
      <c r="AH436" s="31">
        <f t="shared" si="275"/>
        <v>0.209904406526631</v>
      </c>
      <c r="AI436" s="31">
        <f t="shared" si="276"/>
        <v>1.5707963267948966</v>
      </c>
      <c r="AJ436" s="31" t="str">
        <f t="shared" si="262"/>
        <v>1+0.818982466665938i</v>
      </c>
      <c r="AK436" s="31">
        <f t="shared" si="277"/>
        <v>1.2925680951912066</v>
      </c>
      <c r="AL436" s="31">
        <f t="shared" si="278"/>
        <v>0.68620891912038551</v>
      </c>
      <c r="AM436" s="31" t="str">
        <f t="shared" si="263"/>
        <v>1+251.063625059036i</v>
      </c>
      <c r="AN436" s="31">
        <f t="shared" si="279"/>
        <v>251.065616578185</v>
      </c>
      <c r="AO436" s="31">
        <f t="shared" si="280"/>
        <v>1.5668132937626316</v>
      </c>
      <c r="AP436" s="58" t="str">
        <f t="shared" si="281"/>
        <v>-0.353833232386312+0.292145544154629i</v>
      </c>
      <c r="AQ436" s="49">
        <f t="shared" si="282"/>
        <v>-6.7665099321526618</v>
      </c>
      <c r="AR436" s="61">
        <f t="shared" si="283"/>
        <v>140.45491408775788</v>
      </c>
      <c r="AS436" s="58" t="str">
        <f t="shared" si="284"/>
        <v>0.000184705108402771-0.000442866276036109i</v>
      </c>
      <c r="AT436" s="64">
        <f t="shared" si="285"/>
        <v>-66.378069335602689</v>
      </c>
      <c r="AU436" s="61">
        <f t="shared" si="286"/>
        <v>-67.360571568837102</v>
      </c>
    </row>
    <row r="437" spans="14:47" x14ac:dyDescent="0.25">
      <c r="N437" s="10">
        <v>19</v>
      </c>
      <c r="O437" s="50">
        <f t="shared" si="287"/>
        <v>154881.66189124843</v>
      </c>
      <c r="P437" s="48" t="str">
        <f t="shared" si="255"/>
        <v>304.285714285714</v>
      </c>
      <c r="Q437" s="17" t="str">
        <f t="shared" si="256"/>
        <v>1+50673.3202093363i</v>
      </c>
      <c r="R437" s="17">
        <f t="shared" si="264"/>
        <v>50673.320219203422</v>
      </c>
      <c r="S437" s="17">
        <f t="shared" si="265"/>
        <v>1.5707765925442942</v>
      </c>
      <c r="T437" s="17" t="str">
        <f t="shared" si="257"/>
        <v>1+1.05100219693438i</v>
      </c>
      <c r="U437" s="17">
        <f t="shared" si="266"/>
        <v>1.4507258934619225</v>
      </c>
      <c r="V437" s="17">
        <f t="shared" si="267"/>
        <v>0.81026000325141057</v>
      </c>
      <c r="W437" s="31" t="str">
        <f t="shared" si="258"/>
        <v>1-3.28438186541994i</v>
      </c>
      <c r="X437" s="17">
        <f t="shared" si="268"/>
        <v>3.4332439817029261</v>
      </c>
      <c r="Y437" s="17">
        <f t="shared" si="269"/>
        <v>-1.2752424916677252</v>
      </c>
      <c r="Z437" s="31" t="str">
        <f t="shared" si="259"/>
        <v>-0.50619530731256+28.9730075610712i</v>
      </c>
      <c r="AA437" s="17">
        <f t="shared" si="270"/>
        <v>28.977429161729201</v>
      </c>
      <c r="AB437" s="17">
        <f t="shared" si="271"/>
        <v>1.5882658218442822</v>
      </c>
      <c r="AC437" s="66" t="str">
        <f t="shared" si="272"/>
        <v>-0.000914327856943188+0.0004788392089586i</v>
      </c>
      <c r="AD437" s="64">
        <f t="shared" si="273"/>
        <v>-59.725352407442273</v>
      </c>
      <c r="AE437" s="61">
        <f t="shared" si="274"/>
        <v>152.35866821897139</v>
      </c>
      <c r="AF437" s="31" t="str">
        <f t="shared" si="260"/>
        <v>-0.000495863624968664</v>
      </c>
      <c r="AG437" s="31" t="str">
        <f t="shared" si="261"/>
        <v>0.214793708247552i</v>
      </c>
      <c r="AH437" s="31">
        <f t="shared" si="275"/>
        <v>0.21479370824755201</v>
      </c>
      <c r="AI437" s="31">
        <f t="shared" si="276"/>
        <v>1.5707963267948966</v>
      </c>
      <c r="AJ437" s="31" t="str">
        <f t="shared" si="262"/>
        <v>1+0.838059018940062i</v>
      </c>
      <c r="AK437" s="31">
        <f t="shared" si="277"/>
        <v>1.3047386401984036</v>
      </c>
      <c r="AL437" s="31">
        <f t="shared" si="278"/>
        <v>0.69752073148418758</v>
      </c>
      <c r="AM437" s="31" t="str">
        <f t="shared" si="263"/>
        <v>1+256.911648139515i</v>
      </c>
      <c r="AN437" s="31">
        <f t="shared" si="279"/>
        <v>256.91359432650108</v>
      </c>
      <c r="AO437" s="31">
        <f t="shared" si="280"/>
        <v>1.5669039577370605</v>
      </c>
      <c r="AP437" s="58" t="str">
        <f t="shared" si="281"/>
        <v>-0.347262937835669+0.293335394491408i</v>
      </c>
      <c r="AQ437" s="49">
        <f t="shared" si="282"/>
        <v>-6.847914881438828</v>
      </c>
      <c r="AR437" s="61">
        <f t="shared" si="283"/>
        <v>139.81198964375679</v>
      </c>
      <c r="AS437" s="58" t="str">
        <f t="shared" si="284"/>
        <v>0.000177051689489258-0.000434487833064785i</v>
      </c>
      <c r="AT437" s="64">
        <f t="shared" si="285"/>
        <v>-66.573267288881098</v>
      </c>
      <c r="AU437" s="61">
        <f t="shared" si="286"/>
        <v>-67.829342137271823</v>
      </c>
    </row>
    <row r="438" spans="14:47" x14ac:dyDescent="0.25">
      <c r="N438" s="10">
        <v>20</v>
      </c>
      <c r="O438" s="50">
        <f t="shared" si="287"/>
        <v>158489.31924611164</v>
      </c>
      <c r="P438" s="48" t="str">
        <f t="shared" si="255"/>
        <v>304.285714285714</v>
      </c>
      <c r="Q438" s="17" t="str">
        <f t="shared" si="256"/>
        <v>1+51853.6534658125i</v>
      </c>
      <c r="R438" s="17">
        <f t="shared" si="264"/>
        <v>51853.65347545503</v>
      </c>
      <c r="S438" s="17">
        <f t="shared" si="265"/>
        <v>1.5707770417506801</v>
      </c>
      <c r="T438" s="17" t="str">
        <f t="shared" si="257"/>
        <v>1+1.07548318299463i</v>
      </c>
      <c r="U438" s="17">
        <f t="shared" si="266"/>
        <v>1.4685585030581045</v>
      </c>
      <c r="V438" s="17">
        <f t="shared" si="267"/>
        <v>0.8217511097461403</v>
      </c>
      <c r="W438" s="31" t="str">
        <f t="shared" si="258"/>
        <v>1-3.36088494685822i</v>
      </c>
      <c r="X438" s="17">
        <f t="shared" si="268"/>
        <v>3.5065007665788661</v>
      </c>
      <c r="Y438" s="17">
        <f t="shared" si="269"/>
        <v>-1.2815973115515107</v>
      </c>
      <c r="Z438" s="31" t="str">
        <f t="shared" si="259"/>
        <v>-0.57718010522727+29.6478756025415i</v>
      </c>
      <c r="AA438" s="17">
        <f t="shared" si="270"/>
        <v>29.653493295354689</v>
      </c>
      <c r="AB438" s="17">
        <f t="shared" si="271"/>
        <v>1.590261708162148</v>
      </c>
      <c r="AC438" s="66" t="str">
        <f t="shared" si="272"/>
        <v>-0.000904216726413296+0.000469931976810474i</v>
      </c>
      <c r="AD438" s="64">
        <f t="shared" si="273"/>
        <v>-59.836169390529847</v>
      </c>
      <c r="AE438" s="61">
        <f t="shared" si="274"/>
        <v>152.53857416411634</v>
      </c>
      <c r="AF438" s="31" t="str">
        <f t="shared" si="260"/>
        <v>-0.000495863624968664</v>
      </c>
      <c r="AG438" s="31" t="str">
        <f t="shared" si="261"/>
        <v>0.219796896435717i</v>
      </c>
      <c r="AH438" s="31">
        <f t="shared" si="275"/>
        <v>0.21979689643571701</v>
      </c>
      <c r="AI438" s="31">
        <f t="shared" si="276"/>
        <v>1.5707963267948966</v>
      </c>
      <c r="AJ438" s="31" t="str">
        <f t="shared" si="262"/>
        <v>1+0.857579921199048i</v>
      </c>
      <c r="AK438" s="31">
        <f t="shared" si="277"/>
        <v>1.3173622589264373</v>
      </c>
      <c r="AL438" s="31">
        <f t="shared" si="278"/>
        <v>0.70887817229528205</v>
      </c>
      <c r="AM438" s="31" t="str">
        <f t="shared" si="263"/>
        <v>1+262.895889176464i</v>
      </c>
      <c r="AN438" s="31">
        <f t="shared" si="279"/>
        <v>262.8977910631499</v>
      </c>
      <c r="AO438" s="31">
        <f t="shared" si="280"/>
        <v>1.5669925580093054</v>
      </c>
      <c r="AP438" s="58" t="str">
        <f t="shared" si="281"/>
        <v>-0.340639533482869+0.294381632591963i</v>
      </c>
      <c r="AQ438" s="49">
        <f t="shared" si="282"/>
        <v>-6.931551700140508</v>
      </c>
      <c r="AR438" s="61">
        <f t="shared" si="283"/>
        <v>139.16633264087474</v>
      </c>
      <c r="AS438" s="58" t="str">
        <f t="shared" si="284"/>
        <v>0.000169672621312196-0.000426262205487909i</v>
      </c>
      <c r="AT438" s="64">
        <f t="shared" si="285"/>
        <v>-66.767721090670349</v>
      </c>
      <c r="AU438" s="61">
        <f t="shared" si="286"/>
        <v>-68.295093195008974</v>
      </c>
    </row>
    <row r="439" spans="14:47" x14ac:dyDescent="0.25">
      <c r="N439" s="10">
        <v>21</v>
      </c>
      <c r="O439" s="50">
        <f t="shared" si="287"/>
        <v>162181.00973589328</v>
      </c>
      <c r="P439" s="48" t="str">
        <f t="shared" si="255"/>
        <v>304.285714285714</v>
      </c>
      <c r="Q439" s="17" t="str">
        <f t="shared" si="256"/>
        <v>1+53061.4802157204i</v>
      </c>
      <c r="R439" s="17">
        <f t="shared" si="264"/>
        <v>53061.480225143438</v>
      </c>
      <c r="S439" s="17">
        <f t="shared" si="265"/>
        <v>1.5707774807318804</v>
      </c>
      <c r="T439" s="17" t="str">
        <f t="shared" si="257"/>
        <v>1+1.1005344044742i</v>
      </c>
      <c r="U439" s="17">
        <f t="shared" si="266"/>
        <v>1.4870023454693615</v>
      </c>
      <c r="V439" s="17">
        <f t="shared" si="267"/>
        <v>0.83322301434576596</v>
      </c>
      <c r="W439" s="31" t="str">
        <f t="shared" si="258"/>
        <v>1-3.43917001398187i</v>
      </c>
      <c r="X439" s="17">
        <f t="shared" si="268"/>
        <v>3.5816044428540761</v>
      </c>
      <c r="Y439" s="17">
        <f t="shared" si="269"/>
        <v>-1.2878307859842879</v>
      </c>
      <c r="Z439" s="31" t="str">
        <f t="shared" si="259"/>
        <v>-0.65151031360139+30.3384633400921i</v>
      </c>
      <c r="AA439" s="17">
        <f t="shared" si="270"/>
        <v>30.345458037848786</v>
      </c>
      <c r="AB439" s="17">
        <f t="shared" si="271"/>
        <v>1.5922677567404373</v>
      </c>
      <c r="AC439" s="66" t="str">
        <f t="shared" si="272"/>
        <v>-0.000894551569824297+0.000461242990304806i</v>
      </c>
      <c r="AD439" s="64">
        <f t="shared" si="273"/>
        <v>-59.944044423472455</v>
      </c>
      <c r="AE439" s="61">
        <f t="shared" si="274"/>
        <v>152.72375083514657</v>
      </c>
      <c r="AF439" s="31" t="str">
        <f t="shared" si="260"/>
        <v>-0.000495863624968664</v>
      </c>
      <c r="AG439" s="31" t="str">
        <f t="shared" si="261"/>
        <v>0.224916623847728i</v>
      </c>
      <c r="AH439" s="31">
        <f t="shared" si="275"/>
        <v>0.22491662384772801</v>
      </c>
      <c r="AI439" s="31">
        <f t="shared" si="276"/>
        <v>1.5707963267948966</v>
      </c>
      <c r="AJ439" s="31" t="str">
        <f t="shared" si="262"/>
        <v>1+0.877555523683664i</v>
      </c>
      <c r="AK439" s="31">
        <f t="shared" si="277"/>
        <v>1.3304524407688196</v>
      </c>
      <c r="AL439" s="31">
        <f t="shared" si="278"/>
        <v>0.72027554414314188</v>
      </c>
      <c r="AM439" s="31" t="str">
        <f t="shared" si="263"/>
        <v>1+269.019521093693i</v>
      </c>
      <c r="AN439" s="31">
        <f t="shared" si="279"/>
        <v>269.02137968845517</v>
      </c>
      <c r="AO439" s="31">
        <f t="shared" si="280"/>
        <v>1.5670791415508361</v>
      </c>
      <c r="AP439" s="58" t="str">
        <f t="shared" si="281"/>
        <v>-0.333969475509832+0.295281413267141i</v>
      </c>
      <c r="AQ439" s="49">
        <f t="shared" si="282"/>
        <v>-7.0174372761213952</v>
      </c>
      <c r="AR439" s="61">
        <f t="shared" si="283"/>
        <v>138.51827220795607</v>
      </c>
      <c r="AS439" s="58" t="str">
        <f t="shared" si="284"/>
        <v>0.000162556436553952-0.000418185531332741i</v>
      </c>
      <c r="AT439" s="64">
        <f t="shared" si="285"/>
        <v>-66.961481699593833</v>
      </c>
      <c r="AU439" s="61">
        <f t="shared" si="286"/>
        <v>-68.757976956897366</v>
      </c>
    </row>
    <row r="440" spans="14:47" x14ac:dyDescent="0.25">
      <c r="N440" s="10">
        <v>22</v>
      </c>
      <c r="O440" s="50">
        <f t="shared" si="287"/>
        <v>165958.69074375604</v>
      </c>
      <c r="P440" s="48" t="str">
        <f t="shared" si="255"/>
        <v>304.285714285714</v>
      </c>
      <c r="Q440" s="17" t="str">
        <f t="shared" si="256"/>
        <v>1+54297.4408647908i</v>
      </c>
      <c r="R440" s="17">
        <f t="shared" si="264"/>
        <v>54297.440873999338</v>
      </c>
      <c r="S440" s="17">
        <f t="shared" si="265"/>
        <v>1.5707779097206485</v>
      </c>
      <c r="T440" s="17" t="str">
        <f t="shared" si="257"/>
        <v>1+1.12616914386232i</v>
      </c>
      <c r="U440" s="17">
        <f t="shared" si="266"/>
        <v>1.5060733516623919</v>
      </c>
      <c r="V440" s="17">
        <f t="shared" si="267"/>
        <v>0.84466972257321216</v>
      </c>
      <c r="W440" s="31" t="str">
        <f t="shared" si="258"/>
        <v>1-3.51927857456977i</v>
      </c>
      <c r="X440" s="17">
        <f t="shared" si="268"/>
        <v>3.6585955892153246</v>
      </c>
      <c r="Y440" s="17">
        <f t="shared" si="269"/>
        <v>-1.2939442816270341</v>
      </c>
      <c r="Z440" s="31" t="str">
        <f t="shared" si="259"/>
        <v>-0.72934359677251+31.0451369324829i</v>
      </c>
      <c r="AA440" s="17">
        <f t="shared" si="270"/>
        <v>31.053702987546703</v>
      </c>
      <c r="AB440" s="17">
        <f t="shared" si="271"/>
        <v>1.5942850124037136</v>
      </c>
      <c r="AC440" s="66" t="str">
        <f t="shared" si="272"/>
        <v>-0.000885312025316896+0.000452769640868134i</v>
      </c>
      <c r="AD440" s="64">
        <f t="shared" si="273"/>
        <v>-60.049013237143186</v>
      </c>
      <c r="AE440" s="61">
        <f t="shared" si="274"/>
        <v>152.91371659254537</v>
      </c>
      <c r="AF440" s="31" t="str">
        <f t="shared" si="260"/>
        <v>-0.000495863624968664</v>
      </c>
      <c r="AG440" s="31" t="str">
        <f t="shared" si="261"/>
        <v>0.230155605030826i</v>
      </c>
      <c r="AH440" s="31">
        <f t="shared" si="275"/>
        <v>0.23015560503082599</v>
      </c>
      <c r="AI440" s="31">
        <f t="shared" si="276"/>
        <v>1.5707963267948966</v>
      </c>
      <c r="AJ440" s="31" t="str">
        <f t="shared" si="262"/>
        <v>1+0.897996417722764i</v>
      </c>
      <c r="AK440" s="31">
        <f t="shared" si="277"/>
        <v>1.3440229039130682</v>
      </c>
      <c r="AL440" s="31">
        <f t="shared" si="278"/>
        <v>0.73170704679830278</v>
      </c>
      <c r="AM440" s="31" t="str">
        <f t="shared" si="263"/>
        <v>1+275.285790721901i</v>
      </c>
      <c r="AN440" s="31">
        <f t="shared" si="279"/>
        <v>275.28760701016358</v>
      </c>
      <c r="AO440" s="31">
        <f t="shared" si="280"/>
        <v>1.5671637542641967</v>
      </c>
      <c r="AP440" s="58" t="str">
        <f t="shared" si="281"/>
        <v>-0.327259410874861+0.296032249842163i</v>
      </c>
      <c r="AQ440" s="49">
        <f t="shared" si="282"/>
        <v>-7.1055862797528411</v>
      </c>
      <c r="AR440" s="61">
        <f t="shared" si="283"/>
        <v>137.86814330369162</v>
      </c>
      <c r="AS440" s="58" t="str">
        <f t="shared" si="284"/>
        <v>0.000155692276399216-0.000410254036599411i</v>
      </c>
      <c r="AT440" s="64">
        <f t="shared" si="285"/>
        <v>-67.154599516896013</v>
      </c>
      <c r="AU440" s="61">
        <f t="shared" si="286"/>
        <v>-69.218140103762963</v>
      </c>
    </row>
    <row r="441" spans="14:47" x14ac:dyDescent="0.25">
      <c r="N441" s="10">
        <v>23</v>
      </c>
      <c r="O441" s="50">
        <f t="shared" si="287"/>
        <v>169824.36524617471</v>
      </c>
      <c r="P441" s="48" t="str">
        <f t="shared" si="255"/>
        <v>304.285714285714</v>
      </c>
      <c r="Q441" s="17" t="str">
        <f t="shared" si="256"/>
        <v>1+55562.1907357188i</v>
      </c>
      <c r="R441" s="17">
        <f t="shared" si="264"/>
        <v>55562.190744717729</v>
      </c>
      <c r="S441" s="17">
        <f t="shared" si="265"/>
        <v>1.5707783289444401</v>
      </c>
      <c r="T441" s="17" t="str">
        <f t="shared" si="257"/>
        <v>1+1.15240099303713i</v>
      </c>
      <c r="U441" s="17">
        <f t="shared" si="266"/>
        <v>1.5257876814134277</v>
      </c>
      <c r="V441" s="17">
        <f t="shared" si="267"/>
        <v>0.8560853059590211</v>
      </c>
      <c r="W441" s="31" t="str">
        <f t="shared" si="258"/>
        <v>1-3.60125310324103i</v>
      </c>
      <c r="X441" s="17">
        <f t="shared" si="268"/>
        <v>3.7375157409171065</v>
      </c>
      <c r="Y441" s="17">
        <f t="shared" si="269"/>
        <v>-1.2999392113009158</v>
      </c>
      <c r="Z441" s="31" t="str">
        <f t="shared" si="259"/>
        <v>-0.81084504956951+31.7682710674061i</v>
      </c>
      <c r="AA441" s="17">
        <f t="shared" si="270"/>
        <v>31.778617281225483</v>
      </c>
      <c r="AB441" s="17">
        <f t="shared" si="271"/>
        <v>1.5963145250815627</v>
      </c>
      <c r="AC441" s="66" t="str">
        <f t="shared" si="272"/>
        <v>-0.000876478622210352+0.000444509297032664i</v>
      </c>
      <c r="AD441" s="64">
        <f t="shared" si="273"/>
        <v>-60.151113193600132</v>
      </c>
      <c r="AE441" s="61">
        <f t="shared" si="274"/>
        <v>153.1079906417778</v>
      </c>
      <c r="AF441" s="31" t="str">
        <f t="shared" si="260"/>
        <v>-0.000495863624968664</v>
      </c>
      <c r="AG441" s="31" t="str">
        <f t="shared" si="261"/>
        <v>0.235516617762182i</v>
      </c>
      <c r="AH441" s="31">
        <f t="shared" si="275"/>
        <v>0.235516617762182</v>
      </c>
      <c r="AI441" s="31">
        <f t="shared" si="276"/>
        <v>1.5707963267948966</v>
      </c>
      <c r="AJ441" s="31" t="str">
        <f t="shared" si="262"/>
        <v>1+0.918913441348922i</v>
      </c>
      <c r="AK441" s="31">
        <f t="shared" si="277"/>
        <v>1.3580875938950767</v>
      </c>
      <c r="AL441" s="31">
        <f t="shared" si="278"/>
        <v>0.74316679145720277</v>
      </c>
      <c r="AM441" s="31" t="str">
        <f t="shared" si="263"/>
        <v>1+281.698020520187i</v>
      </c>
      <c r="AN441" s="31">
        <f t="shared" si="279"/>
        <v>281.69979546494477</v>
      </c>
      <c r="AO441" s="31">
        <f t="shared" si="280"/>
        <v>1.5672464410073188</v>
      </c>
      <c r="AP441" s="58" t="str">
        <f t="shared" si="281"/>
        <v>-0.320516151748996+0.296632029469938i</v>
      </c>
      <c r="AQ441" s="49">
        <f t="shared" si="282"/>
        <v>-7.1960111036645511</v>
      </c>
      <c r="AR441" s="61">
        <f t="shared" si="283"/>
        <v>137.21628590184164</v>
      </c>
      <c r="AS441" s="58" t="str">
        <f t="shared" si="284"/>
        <v>0.00014906986018407-0.000402464041794833i</v>
      </c>
      <c r="AT441" s="64">
        <f t="shared" si="285"/>
        <v>-67.347124297264685</v>
      </c>
      <c r="AU441" s="61">
        <f t="shared" si="286"/>
        <v>-69.675723456380538</v>
      </c>
    </row>
    <row r="442" spans="14:47" x14ac:dyDescent="0.25">
      <c r="N442" s="10">
        <v>24</v>
      </c>
      <c r="O442" s="50">
        <f t="shared" si="287"/>
        <v>173780.0828749378</v>
      </c>
      <c r="P442" s="48" t="str">
        <f t="shared" si="255"/>
        <v>304.285714285714</v>
      </c>
      <c r="Q442" s="17" t="str">
        <f t="shared" si="256"/>
        <v>1+56856.400415628i</v>
      </c>
      <c r="R442" s="17">
        <f t="shared" si="264"/>
        <v>56856.400424422085</v>
      </c>
      <c r="S442" s="17">
        <f t="shared" si="265"/>
        <v>1.5707787386255334</v>
      </c>
      <c r="T442" s="17" t="str">
        <f t="shared" si="257"/>
        <v>1+1.17924386047228i</v>
      </c>
      <c r="U442" s="17">
        <f t="shared" si="266"/>
        <v>1.546161725842923</v>
      </c>
      <c r="V442" s="17">
        <f t="shared" si="267"/>
        <v>0.86746391709160242</v>
      </c>
      <c r="W442" s="31" t="str">
        <f t="shared" si="258"/>
        <v>1-3.68513706397588i</v>
      </c>
      <c r="X442" s="17">
        <f t="shared" si="268"/>
        <v>3.8184074141307613</v>
      </c>
      <c r="Y442" s="17">
        <f t="shared" si="269"/>
        <v>-1.3058170292937952</v>
      </c>
      <c r="Z442" s="31" t="str">
        <f t="shared" si="259"/>
        <v>-0.8961875475009+32.5082491601522i</v>
      </c>
      <c r="AA442" s="17">
        <f t="shared" si="270"/>
        <v>32.520599864990679</v>
      </c>
      <c r="AB442" s="17">
        <f t="shared" si="271"/>
        <v>1.5983573502728452</v>
      </c>
      <c r="AC442" s="66" t="str">
        <f t="shared" si="272"/>
        <v>-0.000868032740779837+0.000436459311844373i</v>
      </c>
      <c r="AD442" s="64">
        <f t="shared" si="273"/>
        <v>-60.250383249367985</v>
      </c>
      <c r="AE442" s="61">
        <f t="shared" si="274"/>
        <v>153.30609413791615</v>
      </c>
      <c r="AF442" s="31" t="str">
        <f t="shared" si="260"/>
        <v>-0.000495863624968664</v>
      </c>
      <c r="AG442" s="31" t="str">
        <f t="shared" si="261"/>
        <v>0.241002504521705i</v>
      </c>
      <c r="AH442" s="31">
        <f t="shared" si="275"/>
        <v>0.24100250452170499</v>
      </c>
      <c r="AI442" s="31">
        <f t="shared" si="276"/>
        <v>1.5707963267948966</v>
      </c>
      <c r="AJ442" s="31" t="str">
        <f t="shared" si="262"/>
        <v>1+0.940317685044947i</v>
      </c>
      <c r="AK442" s="31">
        <f t="shared" si="277"/>
        <v>1.3726606823276786</v>
      </c>
      <c r="AL442" s="31">
        <f t="shared" si="278"/>
        <v>0.75464881554202423</v>
      </c>
      <c r="AM442" s="31" t="str">
        <f t="shared" si="263"/>
        <v>1+288.259610337669i</v>
      </c>
      <c r="AN442" s="31">
        <f t="shared" si="279"/>
        <v>288.26134487999741</v>
      </c>
      <c r="AO442" s="31">
        <f t="shared" si="280"/>
        <v>1.5673272456172829</v>
      </c>
      <c r="AP442" s="58" t="str">
        <f t="shared" si="281"/>
        <v>-0.31374664851765+0.297079026257528i</v>
      </c>
      <c r="AQ442" s="49">
        <f t="shared" si="282"/>
        <v>-7.288721811391631</v>
      </c>
      <c r="AR442" s="61">
        <f t="shared" si="283"/>
        <v>136.56304414462997</v>
      </c>
      <c r="AS442" s="58" t="str">
        <f t="shared" si="284"/>
        <v>0.000142679455859507-0.000394811967696019i</v>
      </c>
      <c r="AT442" s="64">
        <f t="shared" si="285"/>
        <v>-67.539105060759624</v>
      </c>
      <c r="AU442" s="61">
        <f t="shared" si="286"/>
        <v>-70.130861717453854</v>
      </c>
    </row>
    <row r="443" spans="14:47" x14ac:dyDescent="0.25">
      <c r="N443" s="10">
        <v>25</v>
      </c>
      <c r="O443" s="50">
        <f t="shared" si="287"/>
        <v>177827.94100389251</v>
      </c>
      <c r="P443" s="48" t="str">
        <f t="shared" si="255"/>
        <v>304.285714285714</v>
      </c>
      <c r="Q443" s="17" t="str">
        <f t="shared" si="256"/>
        <v>1+58180.7561116209i</v>
      </c>
      <c r="R443" s="17">
        <f t="shared" si="264"/>
        <v>58180.756120214814</v>
      </c>
      <c r="S443" s="17">
        <f t="shared" si="265"/>
        <v>1.5707791389811463</v>
      </c>
      <c r="T443" s="17" t="str">
        <f t="shared" si="257"/>
        <v>1+1.20671197861139i</v>
      </c>
      <c r="U443" s="17">
        <f t="shared" si="266"/>
        <v>1.5672121105084071</v>
      </c>
      <c r="V443" s="17">
        <f t="shared" si="267"/>
        <v>0.87879980415697689</v>
      </c>
      <c r="W443" s="31" t="str">
        <f t="shared" si="258"/>
        <v>1-3.77097493316061i</v>
      </c>
      <c r="X443" s="17">
        <f t="shared" si="268"/>
        <v>3.9013141307161701</v>
      </c>
      <c r="Y443" s="17">
        <f t="shared" si="269"/>
        <v>-1.3115792268802471</v>
      </c>
      <c r="Z443" s="31" t="str">
        <f t="shared" si="259"/>
        <v>-0.98555211344683+33.2654635569006i</v>
      </c>
      <c r="AA443" s="17">
        <f t="shared" si="270"/>
        <v>33.280059774943339</v>
      </c>
      <c r="AB443" s="17">
        <f t="shared" si="271"/>
        <v>1.6004145495086017</v>
      </c>
      <c r="AC443" s="66" t="str">
        <f t="shared" si="272"/>
        <v>-0.000859956573750292+0.000428617029659686i</v>
      </c>
      <c r="AD443" s="64">
        <f t="shared" si="273"/>
        <v>-60.34686391117485</v>
      </c>
      <c r="AE443" s="61">
        <f t="shared" si="274"/>
        <v>153.5075512488616</v>
      </c>
      <c r="AF443" s="31" t="str">
        <f t="shared" si="260"/>
        <v>-0.000495863624968664</v>
      </c>
      <c r="AG443" s="31" t="str">
        <f t="shared" si="261"/>
        <v>0.246616173999172i</v>
      </c>
      <c r="AH443" s="31">
        <f t="shared" si="275"/>
        <v>0.24661617399917199</v>
      </c>
      <c r="AI443" s="31">
        <f t="shared" si="276"/>
        <v>1.5707963267948966</v>
      </c>
      <c r="AJ443" s="31" t="str">
        <f t="shared" si="262"/>
        <v>1+0.962220497624159i</v>
      </c>
      <c r="AK443" s="31">
        <f t="shared" si="277"/>
        <v>1.3877565658457842</v>
      </c>
      <c r="AL443" s="31">
        <f t="shared" si="278"/>
        <v>0.76614709796719982</v>
      </c>
      <c r="AM443" s="31" t="str">
        <f t="shared" si="263"/>
        <v>1+294.974039216118i</v>
      </c>
      <c r="AN443" s="31">
        <f t="shared" si="279"/>
        <v>294.97573427567215</v>
      </c>
      <c r="AO443" s="31">
        <f t="shared" si="280"/>
        <v>1.5674062109335392</v>
      </c>
      <c r="AP443" s="58" t="str">
        <f t="shared" si="281"/>
        <v>-0.306957961568345+0.29737191205311i</v>
      </c>
      <c r="AQ443" s="49">
        <f t="shared" si="282"/>
        <v>-7.38372609536769</v>
      </c>
      <c r="AR443" s="61">
        <f t="shared" si="283"/>
        <v>135.90876546936738</v>
      </c>
      <c r="AS443" s="58" t="str">
        <f t="shared" si="284"/>
        <v>0.000136511851267262-0.000387294340336582i</v>
      </c>
      <c r="AT443" s="64">
        <f t="shared" si="285"/>
        <v>-67.730590006542542</v>
      </c>
      <c r="AU443" s="61">
        <f t="shared" si="286"/>
        <v>-70.583683281771073</v>
      </c>
    </row>
    <row r="444" spans="14:47" x14ac:dyDescent="0.25">
      <c r="N444" s="10">
        <v>26</v>
      </c>
      <c r="O444" s="50">
        <f t="shared" si="287"/>
        <v>181970.08586099857</v>
      </c>
      <c r="P444" s="48" t="str">
        <f t="shared" si="255"/>
        <v>304.285714285714</v>
      </c>
      <c r="Q444" s="17" t="str">
        <f t="shared" si="256"/>
        <v>1+59535.9600146168i</v>
      </c>
      <c r="R444" s="17">
        <f t="shared" si="264"/>
        <v>59535.960023015083</v>
      </c>
      <c r="S444" s="17">
        <f t="shared" si="265"/>
        <v>1.5707795302235528</v>
      </c>
      <c r="T444" s="17" t="str">
        <f t="shared" si="257"/>
        <v>1+1.23481991141427i</v>
      </c>
      <c r="U444" s="17">
        <f t="shared" si="266"/>
        <v>1.5889556990756997</v>
      </c>
      <c r="V444" s="17">
        <f t="shared" si="267"/>
        <v>0.89008732488277786</v>
      </c>
      <c r="W444" s="31" t="str">
        <f t="shared" si="258"/>
        <v>1-3.8588122231696i</v>
      </c>
      <c r="X444" s="17">
        <f t="shared" si="268"/>
        <v>3.9862804434313341</v>
      </c>
      <c r="Y444" s="17">
        <f t="shared" si="269"/>
        <v>-1.3172273280543392</v>
      </c>
      <c r="Z444" s="31" t="str">
        <f t="shared" si="259"/>
        <v>-1.07912830163294+34.0403157427469i</v>
      </c>
      <c r="AA444" s="17">
        <f t="shared" si="270"/>
        <v>34.057416428103991</v>
      </c>
      <c r="AB444" s="17">
        <f t="shared" si="271"/>
        <v>1.6024871908134231</v>
      </c>
      <c r="AC444" s="66" t="str">
        <f t="shared" si="272"/>
        <v>-0.000852233089433059+0.000420979792372501i</v>
      </c>
      <c r="AD444" s="64">
        <f t="shared" si="273"/>
        <v>-60.4405971844783</v>
      </c>
      <c r="AE444" s="61">
        <f t="shared" si="274"/>
        <v>153.71189017232871</v>
      </c>
      <c r="AF444" s="31" t="str">
        <f t="shared" si="260"/>
        <v>-0.000495863624968664</v>
      </c>
      <c r="AG444" s="31" t="str">
        <f t="shared" si="261"/>
        <v>0.252360602636444i</v>
      </c>
      <c r="AH444" s="31">
        <f t="shared" si="275"/>
        <v>0.252360602636444</v>
      </c>
      <c r="AI444" s="31">
        <f t="shared" si="276"/>
        <v>1.5707963267948966</v>
      </c>
      <c r="AJ444" s="31" t="str">
        <f t="shared" si="262"/>
        <v>1+0.984633492247695i</v>
      </c>
      <c r="AK444" s="31">
        <f t="shared" si="277"/>
        <v>1.4033898653103818</v>
      </c>
      <c r="AL444" s="31">
        <f t="shared" si="278"/>
        <v>0.77765557477897285</v>
      </c>
      <c r="AM444" s="31" t="str">
        <f t="shared" si="263"/>
        <v>1+301.8448672346i</v>
      </c>
      <c r="AN444" s="31">
        <f t="shared" si="279"/>
        <v>301.84652371010219</v>
      </c>
      <c r="AO444" s="31">
        <f t="shared" si="280"/>
        <v>1.5674833788206026</v>
      </c>
      <c r="AP444" s="58" t="str">
        <f t="shared" si="281"/>
        <v>-0.300157232103599+0.297509764766604i</v>
      </c>
      <c r="AQ444" s="49">
        <f t="shared" si="282"/>
        <v>-7.4810292446331994</v>
      </c>
      <c r="AR444" s="61">
        <f t="shared" si="283"/>
        <v>135.25379971367116</v>
      </c>
      <c r="AS444" s="58" t="str">
        <f t="shared" si="284"/>
        <v>0.000130558326231089-0.000379907795213623i</v>
      </c>
      <c r="AT444" s="64">
        <f t="shared" si="285"/>
        <v>-67.921626429111498</v>
      </c>
      <c r="AU444" s="61">
        <f t="shared" si="286"/>
        <v>-71.034310114000192</v>
      </c>
    </row>
    <row r="445" spans="14:47" x14ac:dyDescent="0.25">
      <c r="N445" s="10">
        <v>27</v>
      </c>
      <c r="O445" s="50">
        <f t="shared" si="287"/>
        <v>186208.71366628664</v>
      </c>
      <c r="P445" s="48" t="str">
        <f t="shared" si="255"/>
        <v>304.285714285714</v>
      </c>
      <c r="Q445" s="17" t="str">
        <f t="shared" si="256"/>
        <v>1+60922.7306716646i</v>
      </c>
      <c r="R445" s="17">
        <f t="shared" si="264"/>
        <v>60922.730679871718</v>
      </c>
      <c r="S445" s="17">
        <f t="shared" si="265"/>
        <v>1.5707799125601949</v>
      </c>
      <c r="T445" s="17" t="str">
        <f t="shared" si="257"/>
        <v>1+1.26358256207897i</v>
      </c>
      <c r="U445" s="17">
        <f t="shared" si="266"/>
        <v>1.6114095975853111</v>
      </c>
      <c r="V445" s="17">
        <f t="shared" si="267"/>
        <v>0.90132095980812488</v>
      </c>
      <c r="W445" s="31" t="str">
        <f t="shared" si="258"/>
        <v>1-3.94869550649677i</v>
      </c>
      <c r="X445" s="17">
        <f t="shared" si="268"/>
        <v>4.0733519615947476</v>
      </c>
      <c r="Y445" s="17">
        <f t="shared" si="269"/>
        <v>-1.32276288547334</v>
      </c>
      <c r="Z445" s="31" t="str">
        <f t="shared" si="259"/>
        <v>-1.17711459970043+34.8332165545771i</v>
      </c>
      <c r="AA445" s="17">
        <f t="shared" si="270"/>
        <v>34.853099924094153</v>
      </c>
      <c r="AB445" s="17">
        <f t="shared" si="271"/>
        <v>1.6045763491650655</v>
      </c>
      <c r="AC445" s="66" t="str">
        <f t="shared" si="272"/>
        <v>-0.000844845996434881+0.000413544945110479i</v>
      </c>
      <c r="AD445" s="64">
        <f t="shared" si="273"/>
        <v>-60.531626515187099</v>
      </c>
      <c r="AE445" s="61">
        <f t="shared" si="274"/>
        <v>153.91864410222121</v>
      </c>
      <c r="AF445" s="31" t="str">
        <f t="shared" si="260"/>
        <v>-0.000495863624968664</v>
      </c>
      <c r="AG445" s="31" t="str">
        <f t="shared" si="261"/>
        <v>0.25823883620562i</v>
      </c>
      <c r="AH445" s="31">
        <f t="shared" si="275"/>
        <v>0.25823883620561999</v>
      </c>
      <c r="AI445" s="31">
        <f t="shared" si="276"/>
        <v>1.5707963267948966</v>
      </c>
      <c r="AJ445" s="31" t="str">
        <f t="shared" si="262"/>
        <v>1+1.00756855258199i</v>
      </c>
      <c r="AK445" s="31">
        <f t="shared" si="277"/>
        <v>1.4195754253128525</v>
      </c>
      <c r="AL445" s="31">
        <f t="shared" si="278"/>
        <v>0.7891681550698888</v>
      </c>
      <c r="AM445" s="31" t="str">
        <f t="shared" si="263"/>
        <v>1+308.87573739708i</v>
      </c>
      <c r="AN445" s="31">
        <f t="shared" si="279"/>
        <v>308.87735616679629</v>
      </c>
      <c r="AO445" s="31">
        <f t="shared" si="280"/>
        <v>1.5675587901902299</v>
      </c>
      <c r="AP445" s="58" t="str">
        <f t="shared" si="281"/>
        <v>-0.293351652232668+0.297492074125124i</v>
      </c>
      <c r="AQ445" s="49">
        <f t="shared" si="282"/>
        <v>-7.5806341225475373</v>
      </c>
      <c r="AR445" s="61">
        <f t="shared" si="283"/>
        <v>134.59849820490317</v>
      </c>
      <c r="AS445" s="58" t="str">
        <f t="shared" si="284"/>
        <v>0.00012481062547145-0.000372649080716347i</v>
      </c>
      <c r="AT445" s="64">
        <f t="shared" si="285"/>
        <v>-68.112260637734636</v>
      </c>
      <c r="AU445" s="61">
        <f t="shared" si="286"/>
        <v>-71.482857692875669</v>
      </c>
    </row>
    <row r="446" spans="14:47" x14ac:dyDescent="0.25">
      <c r="N446" s="10">
        <v>28</v>
      </c>
      <c r="O446" s="50">
        <f t="shared" si="287"/>
        <v>190546.07179632492</v>
      </c>
      <c r="P446" s="48" t="str">
        <f t="shared" si="255"/>
        <v>304.285714285714</v>
      </c>
      <c r="Q446" s="17" t="str">
        <f t="shared" si="256"/>
        <v>1+62341.8033669226i</v>
      </c>
      <c r="R446" s="17">
        <f t="shared" si="264"/>
        <v>62341.803374942901</v>
      </c>
      <c r="S446" s="17">
        <f t="shared" si="265"/>
        <v>1.5707802861937925</v>
      </c>
      <c r="T446" s="17" t="str">
        <f t="shared" si="257"/>
        <v>1+1.29301518094358i</v>
      </c>
      <c r="U446" s="17">
        <f t="shared" si="266"/>
        <v>1.6345911593271754</v>
      </c>
      <c r="V446" s="17">
        <f t="shared" si="267"/>
        <v>0.91249532480847817</v>
      </c>
      <c r="W446" s="31" t="str">
        <f t="shared" si="258"/>
        <v>1-4.04067244044868i</v>
      </c>
      <c r="X446" s="17">
        <f t="shared" si="268"/>
        <v>4.1625753772155871</v>
      </c>
      <c r="Y446" s="17">
        <f t="shared" si="269"/>
        <v>-1.3281874766096031</v>
      </c>
      <c r="Z446" s="31" t="str">
        <f t="shared" si="259"/>
        <v>-1.27971884972477+35.644586398897i</v>
      </c>
      <c r="AA446" s="17">
        <f t="shared" si="270"/>
        <v>35.667551358101015</v>
      </c>
      <c r="AB446" s="17">
        <f t="shared" si="271"/>
        <v>1.6066831069520588</v>
      </c>
      <c r="AC446" s="66" t="str">
        <f t="shared" si="272"/>
        <v>-0.00083777970987144+0.000406309841436873i</v>
      </c>
      <c r="AD446" s="64">
        <f t="shared" si="273"/>
        <v>-60.619996725053859</v>
      </c>
      <c r="AE446" s="61">
        <f t="shared" si="274"/>
        <v>154.12735214050892</v>
      </c>
      <c r="AF446" s="31" t="str">
        <f t="shared" si="260"/>
        <v>-0.000495863624968664</v>
      </c>
      <c r="AG446" s="31" t="str">
        <f t="shared" si="261"/>
        <v>0.264253991423949i</v>
      </c>
      <c r="AH446" s="31">
        <f t="shared" si="275"/>
        <v>0.26425399142394901</v>
      </c>
      <c r="AI446" s="31">
        <f t="shared" si="276"/>
        <v>1.5707963267948966</v>
      </c>
      <c r="AJ446" s="31" t="str">
        <f t="shared" si="262"/>
        <v>1+1.03103783909962i</v>
      </c>
      <c r="AK446" s="31">
        <f t="shared" si="277"/>
        <v>1.4363283140198879</v>
      </c>
      <c r="AL446" s="31">
        <f t="shared" si="278"/>
        <v>0.80067873706681303</v>
      </c>
      <c r="AM446" s="31" t="str">
        <f t="shared" si="263"/>
        <v>1+316.070377563985i</v>
      </c>
      <c r="AN446" s="31">
        <f t="shared" si="279"/>
        <v>316.07195948619051</v>
      </c>
      <c r="AO446" s="31">
        <f t="shared" si="280"/>
        <v>1.5676324850230945</v>
      </c>
      <c r="AP446" s="58" t="str">
        <f t="shared" si="281"/>
        <v>-0.286548434606898+0.297318744794408i</v>
      </c>
      <c r="AQ446" s="49">
        <f t="shared" si="282"/>
        <v>-7.6825411547042712</v>
      </c>
      <c r="AR446" s="61">
        <f t="shared" si="283"/>
        <v>133.94321283963524</v>
      </c>
      <c r="AS446" s="58" t="str">
        <f t="shared" si="284"/>
        <v>0.000119260932355456-0.000365515060782313i</v>
      </c>
      <c r="AT446" s="64">
        <f t="shared" si="285"/>
        <v>-68.30253787975812</v>
      </c>
      <c r="AU446" s="61">
        <f t="shared" si="286"/>
        <v>-71.929435019855902</v>
      </c>
    </row>
    <row r="447" spans="14:47" x14ac:dyDescent="0.25">
      <c r="N447" s="10">
        <v>29</v>
      </c>
      <c r="O447" s="50">
        <f t="shared" si="287"/>
        <v>194984.45997580473</v>
      </c>
      <c r="P447" s="48" t="str">
        <f t="shared" si="255"/>
        <v>304.285714285714</v>
      </c>
      <c r="Q447" s="17" t="str">
        <f t="shared" si="256"/>
        <v>1+63793.9305115162i</v>
      </c>
      <c r="R447" s="17">
        <f t="shared" si="264"/>
        <v>63793.930519353933</v>
      </c>
      <c r="S447" s="17">
        <f t="shared" si="265"/>
        <v>1.5707806513224511</v>
      </c>
      <c r="T447" s="17" t="str">
        <f t="shared" si="257"/>
        <v>1+1.32313337357219i</v>
      </c>
      <c r="U447" s="17">
        <f t="shared" si="266"/>
        <v>1.6585179903336968</v>
      </c>
      <c r="V447" s="17">
        <f t="shared" si="267"/>
        <v>0.92360518281296233</v>
      </c>
      <c r="W447" s="31" t="str">
        <f t="shared" si="258"/>
        <v>1-4.13479179241308i</v>
      </c>
      <c r="X447" s="17">
        <f t="shared" si="268"/>
        <v>4.253998491608403</v>
      </c>
      <c r="Y447" s="17">
        <f t="shared" si="269"/>
        <v>-1.3335027001071871</v>
      </c>
      <c r="Z447" s="31" t="str">
        <f t="shared" si="259"/>
        <v>-1.38715868907652+36.474855474737i</v>
      </c>
      <c r="AA447" s="17">
        <f t="shared" si="270"/>
        <v>36.501223145692421</v>
      </c>
      <c r="AB447" s="17">
        <f t="shared" si="271"/>
        <v>1.6088085544290511</v>
      </c>
      <c r="AC447" s="66" t="str">
        <f t="shared" si="272"/>
        <v>-0.000831019319020147+0.000399271848091499i</v>
      </c>
      <c r="AD447" s="64">
        <f t="shared" si="273"/>
        <v>-60.705753941275319</v>
      </c>
      <c r="AE447" s="61">
        <f t="shared" si="274"/>
        <v>154.33756015123561</v>
      </c>
      <c r="AF447" s="31" t="str">
        <f t="shared" si="260"/>
        <v>-0.000495863624968664</v>
      </c>
      <c r="AG447" s="31" t="str">
        <f t="shared" si="261"/>
        <v>0.270409257606346i</v>
      </c>
      <c r="AH447" s="31">
        <f t="shared" si="275"/>
        <v>0.27040925760634599</v>
      </c>
      <c r="AI447" s="31">
        <f t="shared" si="276"/>
        <v>1.5707963267948966</v>
      </c>
      <c r="AJ447" s="31" t="str">
        <f t="shared" si="262"/>
        <v>1+1.05505379552693i</v>
      </c>
      <c r="AK447" s="31">
        <f t="shared" si="277"/>
        <v>1.4536638233978929</v>
      </c>
      <c r="AL447" s="31">
        <f t="shared" si="278"/>
        <v>0.81218122428907724</v>
      </c>
      <c r="AM447" s="31" t="str">
        <f t="shared" si="263"/>
        <v>1+323.432602428756i</v>
      </c>
      <c r="AN447" s="31">
        <f t="shared" si="279"/>
        <v>323.43414834218993</v>
      </c>
      <c r="AO447" s="31">
        <f t="shared" si="280"/>
        <v>1.5677045023899687</v>
      </c>
      <c r="AP447" s="58" t="str">
        <f t="shared" si="281"/>
        <v>-0.279754781870487+0.296990096828714i</v>
      </c>
      <c r="AQ447" s="49">
        <f t="shared" si="282"/>
        <v>-7.7867483271569373</v>
      </c>
      <c r="AR447" s="61">
        <f t="shared" si="283"/>
        <v>133.28829515906986</v>
      </c>
      <c r="AS447" s="58" t="str">
        <f t="shared" si="284"/>
        <v>0.000113901843496968-0.000358502716792189i</v>
      </c>
      <c r="AT447" s="64">
        <f t="shared" si="285"/>
        <v>-68.492502268432261</v>
      </c>
      <c r="AU447" s="61">
        <f t="shared" si="286"/>
        <v>-72.374144689694532</v>
      </c>
    </row>
    <row r="448" spans="14:47" x14ac:dyDescent="0.25">
      <c r="N448" s="10">
        <v>30</v>
      </c>
      <c r="O448" s="50">
        <f t="shared" si="287"/>
        <v>199526.23149688813</v>
      </c>
      <c r="P448" s="48" t="str">
        <f t="shared" si="255"/>
        <v>304.285714285714</v>
      </c>
      <c r="Q448" s="17" t="str">
        <f t="shared" si="256"/>
        <v>1+65279.8820424801i</v>
      </c>
      <c r="R448" s="17">
        <f t="shared" si="264"/>
        <v>65279.882050139429</v>
      </c>
      <c r="S448" s="17">
        <f t="shared" si="265"/>
        <v>1.5707810081397668</v>
      </c>
      <c r="T448" s="17" t="str">
        <f t="shared" si="257"/>
        <v>1+1.35395310902921i</v>
      </c>
      <c r="U448" s="17">
        <f t="shared" si="266"/>
        <v>1.6832079554974375</v>
      </c>
      <c r="V448" s="17">
        <f t="shared" si="267"/>
        <v>0.9346454546602363</v>
      </c>
      <c r="W448" s="31" t="str">
        <f t="shared" si="258"/>
        <v>1-4.23110346571629i</v>
      </c>
      <c r="X448" s="17">
        <f t="shared" si="268"/>
        <v>4.3476702425087845</v>
      </c>
      <c r="Y448" s="17">
        <f t="shared" si="269"/>
        <v>-1.3387101723390431</v>
      </c>
      <c r="Z448" s="31" t="str">
        <f t="shared" si="259"/>
        <v>-1.4996620120598+37.3244640017517i</v>
      </c>
      <c r="AA448" s="17">
        <f t="shared" si="270"/>
        <v>37.354579360079448</v>
      </c>
      <c r="AB448" s="17">
        <f t="shared" si="271"/>
        <v>1.6109537901696043</v>
      </c>
      <c r="AC448" s="66" t="str">
        <f t="shared" si="272"/>
        <v>-0.000824550556349534+0.000392428349302205i</v>
      </c>
      <c r="AD448" s="64">
        <f t="shared" si="273"/>
        <v>-60.788945520885932</v>
      </c>
      <c r="AE448" s="61">
        <f t="shared" si="274"/>
        <v>154.54882155382407</v>
      </c>
      <c r="AF448" s="31" t="str">
        <f t="shared" si="260"/>
        <v>-0.000495863624968664</v>
      </c>
      <c r="AG448" s="31" t="str">
        <f t="shared" si="261"/>
        <v>0.276707898356415i</v>
      </c>
      <c r="AH448" s="31">
        <f t="shared" si="275"/>
        <v>0.27670789835641502</v>
      </c>
      <c r="AI448" s="31">
        <f t="shared" si="276"/>
        <v>1.5707963267948966</v>
      </c>
      <c r="AJ448" s="31" t="str">
        <f t="shared" si="262"/>
        <v>1+1.07962915544192i</v>
      </c>
      <c r="AK448" s="31">
        <f t="shared" si="277"/>
        <v>1.4715974698538432</v>
      </c>
      <c r="AL448" s="31">
        <f t="shared" si="278"/>
        <v>0.82366954167249695</v>
      </c>
      <c r="AM448" s="31" t="str">
        <f t="shared" si="263"/>
        <v>1+330.966315540474i</v>
      </c>
      <c r="AN448" s="31">
        <f t="shared" si="279"/>
        <v>330.96782626478449</v>
      </c>
      <c r="AO448" s="31">
        <f t="shared" si="280"/>
        <v>1.5677748804724236</v>
      </c>
      <c r="AP448" s="58" t="str">
        <f t="shared" si="281"/>
        <v>-0.272977856201191+0.296506863443596i</v>
      </c>
      <c r="AQ448" s="49">
        <f t="shared" si="282"/>
        <v>-7.8932511949727759</v>
      </c>
      <c r="AR448" s="61">
        <f t="shared" si="283"/>
        <v>132.634095426388</v>
      </c>
      <c r="AS448" s="58" t="str">
        <f t="shared" si="284"/>
        <v>0.00010872634422385-0.00035160914871896i</v>
      </c>
      <c r="AT448" s="64">
        <f t="shared" si="285"/>
        <v>-68.682196715858737</v>
      </c>
      <c r="AU448" s="61">
        <f t="shared" si="286"/>
        <v>-72.817083019787987</v>
      </c>
    </row>
    <row r="449" spans="14:47" x14ac:dyDescent="0.25">
      <c r="N449" s="10">
        <v>31</v>
      </c>
      <c r="O449" s="50">
        <f t="shared" si="287"/>
        <v>204173.79446695308</v>
      </c>
      <c r="P449" s="48" t="str">
        <f t="shared" si="255"/>
        <v>304.285714285714</v>
      </c>
      <c r="Q449" s="17" t="str">
        <f t="shared" si="256"/>
        <v>1+66800.4458309839i</v>
      </c>
      <c r="R449" s="17">
        <f t="shared" si="264"/>
        <v>66800.445838468877</v>
      </c>
      <c r="S449" s="17">
        <f t="shared" si="265"/>
        <v>1.5707813568349287</v>
      </c>
      <c r="T449" s="17" t="str">
        <f t="shared" si="257"/>
        <v>1+1.38549072834633i</v>
      </c>
      <c r="U449" s="17">
        <f t="shared" si="266"/>
        <v>1.7086791853164374</v>
      </c>
      <c r="V449" s="17">
        <f t="shared" si="267"/>
        <v>0.94561122904804662</v>
      </c>
      <c r="W449" s="31" t="str">
        <f t="shared" si="258"/>
        <v>1-4.32965852608228i</v>
      </c>
      <c r="X449" s="17">
        <f t="shared" si="268"/>
        <v>4.4436407317060391</v>
      </c>
      <c r="Y449" s="17">
        <f t="shared" si="269"/>
        <v>-1.3438115241599955</v>
      </c>
      <c r="Z449" s="31" t="str">
        <f t="shared" si="259"/>
        <v>-1.61746745330615+38.1938624536277i</v>
      </c>
      <c r="AA449" s="17">
        <f t="shared" si="270"/>
        <v>38.228096082451401</v>
      </c>
      <c r="AB449" s="17">
        <f t="shared" si="271"/>
        <v>1.613119921516083</v>
      </c>
      <c r="AC449" s="66" t="str">
        <f t="shared" si="272"/>
        <v>-0.000818359767865153+0.000385776750695913i</v>
      </c>
      <c r="AD449" s="64">
        <f t="shared" si="273"/>
        <v>-60.869619970570668</v>
      </c>
      <c r="AE449" s="61">
        <f t="shared" si="274"/>
        <v>154.76069805340094</v>
      </c>
      <c r="AF449" s="31" t="str">
        <f t="shared" si="260"/>
        <v>-0.000495863624968664</v>
      </c>
      <c r="AG449" s="31" t="str">
        <f t="shared" si="261"/>
        <v>0.283153253296854i</v>
      </c>
      <c r="AH449" s="31">
        <f t="shared" si="275"/>
        <v>0.28315325329685398</v>
      </c>
      <c r="AI449" s="31">
        <f t="shared" si="276"/>
        <v>1.5707963267948966</v>
      </c>
      <c r="AJ449" s="31" t="str">
        <f t="shared" si="262"/>
        <v>1+1.1047769490257i</v>
      </c>
      <c r="AK449" s="31">
        <f t="shared" si="277"/>
        <v>1.490144995327144</v>
      </c>
      <c r="AL449" s="31">
        <f t="shared" si="278"/>
        <v>0.83513765155529696</v>
      </c>
      <c r="AM449" s="31" t="str">
        <f t="shared" si="263"/>
        <v>1+338.675511373547i</v>
      </c>
      <c r="AN449" s="31">
        <f t="shared" si="279"/>
        <v>338.67698770972549</v>
      </c>
      <c r="AO449" s="31">
        <f t="shared" si="280"/>
        <v>1.56784365658306</v>
      </c>
      <c r="AP449" s="58" t="str">
        <f t="shared" si="281"/>
        <v>-0.266224749214223+0.295870186138094i</v>
      </c>
      <c r="AQ449" s="49">
        <f t="shared" si="282"/>
        <v>-8.0020429010373562</v>
      </c>
      <c r="AR449" s="61">
        <f t="shared" si="283"/>
        <v>131.98096171198208</v>
      </c>
      <c r="AS449" s="58" t="str">
        <f t="shared" si="284"/>
        <v>0.000103727784930761-0.000344831575552888i</v>
      </c>
      <c r="AT449" s="64">
        <f t="shared" si="285"/>
        <v>-68.871662871608009</v>
      </c>
      <c r="AU449" s="61">
        <f t="shared" si="286"/>
        <v>-73.258340234617037</v>
      </c>
    </row>
    <row r="450" spans="14:47" x14ac:dyDescent="0.25">
      <c r="N450" s="10">
        <v>32</v>
      </c>
      <c r="O450" s="50">
        <f t="shared" si="287"/>
        <v>208929.61308540447</v>
      </c>
      <c r="P450" s="48" t="str">
        <f t="shared" si="255"/>
        <v>304.285714285714</v>
      </c>
      <c r="Q450" s="17" t="str">
        <f t="shared" si="256"/>
        <v>1+68356.4281000763i</v>
      </c>
      <c r="R450" s="17">
        <f t="shared" si="264"/>
        <v>68356.428107390908</v>
      </c>
      <c r="S450" s="17">
        <f t="shared" si="265"/>
        <v>1.5707816975928197</v>
      </c>
      <c r="T450" s="17" t="str">
        <f t="shared" si="257"/>
        <v>1+1.41776295318676i</v>
      </c>
      <c r="U450" s="17">
        <f t="shared" si="266"/>
        <v>1.734950083267194</v>
      </c>
      <c r="V450" s="17">
        <f t="shared" si="267"/>
        <v>0.95649777154095827</v>
      </c>
      <c r="W450" s="31" t="str">
        <f t="shared" si="258"/>
        <v>1-4.43050922870864i</v>
      </c>
      <c r="X450" s="17">
        <f t="shared" si="268"/>
        <v>4.5419612532112632</v>
      </c>
      <c r="Y450" s="17">
        <f t="shared" si="269"/>
        <v>-1.3488083978503735</v>
      </c>
      <c r="Z450" s="31" t="str">
        <f t="shared" si="259"/>
        <v>-1.74082489395099+39.0835117969324i</v>
      </c>
      <c r="AA450" s="17">
        <f t="shared" si="270"/>
        <v>39.122261766062984</v>
      </c>
      <c r="AB450" s="17">
        <f t="shared" si="271"/>
        <v>1.6153080650263192</v>
      </c>
      <c r="AC450" s="66" t="str">
        <f t="shared" si="272"/>
        <v>-0.000812433884714065+0.000379314482836193i</v>
      </c>
      <c r="AD450" s="64">
        <f t="shared" si="273"/>
        <v>-60.94782686255617</v>
      </c>
      <c r="AE450" s="61">
        <f t="shared" si="274"/>
        <v>154.97276030642155</v>
      </c>
      <c r="AF450" s="31" t="str">
        <f t="shared" si="260"/>
        <v>-0.000495863624968664</v>
      </c>
      <c r="AG450" s="31" t="str">
        <f t="shared" si="261"/>
        <v>0.289748739840169i</v>
      </c>
      <c r="AH450" s="31">
        <f t="shared" si="275"/>
        <v>0.28974873984016902</v>
      </c>
      <c r="AI450" s="31">
        <f t="shared" si="276"/>
        <v>1.5707963267948966</v>
      </c>
      <c r="AJ450" s="31" t="str">
        <f t="shared" si="262"/>
        <v>1+1.13051050997132i</v>
      </c>
      <c r="AK450" s="31">
        <f t="shared" si="277"/>
        <v>1.5093223688647874</v>
      </c>
      <c r="AL450" s="31">
        <f t="shared" si="278"/>
        <v>0.84657956942383539</v>
      </c>
      <c r="AM450" s="31" t="str">
        <f t="shared" si="263"/>
        <v>1+346.564277445653i</v>
      </c>
      <c r="AN450" s="31">
        <f t="shared" si="279"/>
        <v>346.5657201764588</v>
      </c>
      <c r="AO450" s="31">
        <f t="shared" si="280"/>
        <v>1.5679108671852779</v>
      </c>
      <c r="AP450" s="58" t="str">
        <f t="shared" si="281"/>
        <v>-0.259502452496966+0.295081607224536i</v>
      </c>
      <c r="AQ450" s="49">
        <f t="shared" si="282"/>
        <v>-8.1131142049411586</v>
      </c>
      <c r="AR450" s="61">
        <f t="shared" si="283"/>
        <v>131.32923899242508</v>
      </c>
      <c r="AS450" s="58" t="str">
        <f t="shared" si="284"/>
        <v>0.0000988998583360897-0.00033816733502871i</v>
      </c>
      <c r="AT450" s="64">
        <f t="shared" si="285"/>
        <v>-69.060941067497325</v>
      </c>
      <c r="AU450" s="61">
        <f t="shared" si="286"/>
        <v>-73.69800070115339</v>
      </c>
    </row>
    <row r="451" spans="14:47" x14ac:dyDescent="0.25">
      <c r="N451" s="10">
        <v>33</v>
      </c>
      <c r="O451" s="50">
        <f t="shared" si="287"/>
        <v>213796.20895022334</v>
      </c>
      <c r="P451" s="48" t="str">
        <f t="shared" si="255"/>
        <v>304.285714285714</v>
      </c>
      <c r="Q451" s="17" t="str">
        <f t="shared" si="256"/>
        <v>1+69948.6538521511i</v>
      </c>
      <c r="R451" s="17">
        <f t="shared" si="264"/>
        <v>69948.6538592992</v>
      </c>
      <c r="S451" s="17">
        <f t="shared" si="265"/>
        <v>1.5707820305941143</v>
      </c>
      <c r="T451" s="17" t="str">
        <f t="shared" si="257"/>
        <v>1+1.45078689471128i</v>
      </c>
      <c r="U451" s="17">
        <f t="shared" si="266"/>
        <v>1.7620393338021709</v>
      </c>
      <c r="V451" s="17">
        <f t="shared" si="267"/>
        <v>0.96730053260998372</v>
      </c>
      <c r="W451" s="31" t="str">
        <f t="shared" si="258"/>
        <v>1-4.53370904597275i</v>
      </c>
      <c r="X451" s="17">
        <f t="shared" si="268"/>
        <v>4.642684321977443</v>
      </c>
      <c r="Y451" s="17">
        <f t="shared" si="269"/>
        <v>-1.3537024442446435</v>
      </c>
      <c r="Z451" s="31" t="str">
        <f t="shared" si="259"/>
        <v>-1.86999599166465+39.9938837355231i</v>
      </c>
      <c r="AA451" s="17">
        <f t="shared" si="270"/>
        <v>40.037577614778108</v>
      </c>
      <c r="AB451" s="17">
        <f t="shared" si="271"/>
        <v>1.6175193469166265</v>
      </c>
      <c r="AC451" s="66" t="str">
        <f t="shared" si="272"/>
        <v>-0.000806760395992573+0.000373039004412405i</v>
      </c>
      <c r="AD451" s="64">
        <f t="shared" si="273"/>
        <v>-61.023616747258025</v>
      </c>
      <c r="AE451" s="61">
        <f t="shared" si="274"/>
        <v>155.18458852043494</v>
      </c>
      <c r="AF451" s="31" t="str">
        <f t="shared" si="260"/>
        <v>-0.000495863624968664</v>
      </c>
      <c r="AG451" s="31" t="str">
        <f t="shared" si="261"/>
        <v>0.296497855000624i</v>
      </c>
      <c r="AH451" s="31">
        <f t="shared" si="275"/>
        <v>0.29649785500062398</v>
      </c>
      <c r="AI451" s="31">
        <f t="shared" si="276"/>
        <v>1.5707963267948966</v>
      </c>
      <c r="AJ451" s="31" t="str">
        <f t="shared" si="262"/>
        <v>1+1.15684348255339i</v>
      </c>
      <c r="AK451" s="31">
        <f t="shared" si="277"/>
        <v>1.5291457887089299</v>
      </c>
      <c r="AL451" s="31">
        <f t="shared" si="278"/>
        <v>0.85798937931865271</v>
      </c>
      <c r="AM451" s="31" t="str">
        <f t="shared" si="263"/>
        <v>1+354.636796484979i</v>
      </c>
      <c r="AN451" s="31">
        <f t="shared" si="279"/>
        <v>354.6382063753544</v>
      </c>
      <c r="AO451" s="31">
        <f t="shared" si="280"/>
        <v>1.5679765479125982</v>
      </c>
      <c r="AP451" s="58" t="str">
        <f t="shared" si="281"/>
        <v>-0.2528178290325+0.294143059854537i</v>
      </c>
      <c r="AQ451" s="49">
        <f t="shared" si="282"/>
        <v>-8.226453521691198</v>
      </c>
      <c r="AR451" s="61">
        <f t="shared" si="283"/>
        <v>130.67926826887629</v>
      </c>
      <c r="AS451" s="58" t="str">
        <f t="shared" si="284"/>
        <v>0.0000942365776612874-0.000331613882686703i</v>
      </c>
      <c r="AT451" s="64">
        <f t="shared" si="285"/>
        <v>-69.250070268949216</v>
      </c>
      <c r="AU451" s="61">
        <f t="shared" si="286"/>
        <v>-74.1361432106888</v>
      </c>
    </row>
    <row r="452" spans="14:47" x14ac:dyDescent="0.25">
      <c r="N452" s="10">
        <v>34</v>
      </c>
      <c r="O452" s="50">
        <f t="shared" si="287"/>
        <v>218776.16239495538</v>
      </c>
      <c r="P452" s="48" t="str">
        <f t="shared" si="255"/>
        <v>304.285714285714</v>
      </c>
      <c r="Q452" s="17" t="str">
        <f t="shared" si="256"/>
        <v>1+71577.9673063785i</v>
      </c>
      <c r="R452" s="17">
        <f t="shared" si="264"/>
        <v>71577.967313363886</v>
      </c>
      <c r="S452" s="17">
        <f t="shared" si="265"/>
        <v>1.5707823560153737</v>
      </c>
      <c r="T452" s="17" t="str">
        <f t="shared" si="257"/>
        <v>1+1.48458006265081i</v>
      </c>
      <c r="U452" s="17">
        <f t="shared" si="266"/>
        <v>1.7899659109659836</v>
      </c>
      <c r="V452" s="17">
        <f t="shared" si="267"/>
        <v>0.97801515468709321</v>
      </c>
      <c r="W452" s="31" t="str">
        <f t="shared" si="258"/>
        <v>1-4.63931269578378i</v>
      </c>
      <c r="X452" s="17">
        <f t="shared" si="268"/>
        <v>4.7458637031904498</v>
      </c>
      <c r="Y452" s="17">
        <f t="shared" si="269"/>
        <v>-1.3584953200391732</v>
      </c>
      <c r="Z452" s="31" t="str">
        <f t="shared" si="259"/>
        <v>-2.00525473566371+40.925460960652i</v>
      </c>
      <c r="AA452" s="17">
        <f t="shared" si="270"/>
        <v>40.974557976831825</v>
      </c>
      <c r="AB452" s="17">
        <f t="shared" si="271"/>
        <v>1.619754903500761</v>
      </c>
      <c r="AC452" s="66" t="str">
        <f t="shared" si="272"/>
        <v>-0.000801327322703788+0.000366947805103562i</v>
      </c>
      <c r="AD452" s="64">
        <f t="shared" si="273"/>
        <v>-61.097041063376338</v>
      </c>
      <c r="AE452" s="61">
        <f t="shared" si="274"/>
        <v>155.39577298737575</v>
      </c>
      <c r="AF452" s="31" t="str">
        <f t="shared" si="260"/>
        <v>-0.000495863624968664</v>
      </c>
      <c r="AG452" s="31" t="str">
        <f t="shared" si="261"/>
        <v>0.303404177248413i</v>
      </c>
      <c r="AH452" s="31">
        <f t="shared" si="275"/>
        <v>0.30340417724841301</v>
      </c>
      <c r="AI452" s="31">
        <f t="shared" si="276"/>
        <v>1.5707963267948966</v>
      </c>
      <c r="AJ452" s="31" t="str">
        <f t="shared" si="262"/>
        <v>1+1.18378982886255i</v>
      </c>
      <c r="AK452" s="31">
        <f t="shared" si="277"/>
        <v>1.5496316849233644</v>
      </c>
      <c r="AL452" s="31">
        <f t="shared" si="278"/>
        <v>0.86936124880565224</v>
      </c>
      <c r="AM452" s="31" t="str">
        <f t="shared" si="263"/>
        <v>1+362.897348647975i</v>
      </c>
      <c r="AN452" s="31">
        <f t="shared" si="279"/>
        <v>362.89872644545051</v>
      </c>
      <c r="AO452" s="31">
        <f t="shared" si="280"/>
        <v>1.5680407335875437</v>
      </c>
      <c r="AP452" s="58" t="str">
        <f t="shared" si="281"/>
        <v>-0.246177585756379+0.293056855658654i</v>
      </c>
      <c r="AQ452" s="49">
        <f t="shared" si="282"/>
        <v>-8.3420469699055566</v>
      </c>
      <c r="AR452" s="61">
        <f t="shared" si="283"/>
        <v>130.03138571037709</v>
      </c>
      <c r="AS452" s="58" t="str">
        <f t="shared" si="284"/>
        <v>0.0000897322557493469-0.000325168790303937i</v>
      </c>
      <c r="AT452" s="64">
        <f t="shared" si="285"/>
        <v>-69.439088033281877</v>
      </c>
      <c r="AU452" s="61">
        <f t="shared" si="286"/>
        <v>-74.572841302247156</v>
      </c>
    </row>
    <row r="453" spans="14:47" x14ac:dyDescent="0.25">
      <c r="N453" s="10">
        <v>35</v>
      </c>
      <c r="O453" s="50">
        <f t="shared" si="287"/>
        <v>223872.11385683404</v>
      </c>
      <c r="P453" s="48" t="str">
        <f t="shared" si="255"/>
        <v>304.285714285714</v>
      </c>
      <c r="Q453" s="17" t="str">
        <f t="shared" si="256"/>
        <v>1+73245.2323463182i</v>
      </c>
      <c r="R453" s="17">
        <f t="shared" si="264"/>
        <v>73245.232353144573</v>
      </c>
      <c r="S453" s="17">
        <f t="shared" si="265"/>
        <v>1.5707826740291411</v>
      </c>
      <c r="T453" s="17" t="str">
        <f t="shared" si="257"/>
        <v>1+1.5191603745903i</v>
      </c>
      <c r="U453" s="17">
        <f t="shared" si="266"/>
        <v>1.8187490876218579</v>
      </c>
      <c r="V453" s="17">
        <f t="shared" si="267"/>
        <v>0.9886374782265962</v>
      </c>
      <c r="W453" s="31" t="str">
        <f t="shared" si="258"/>
        <v>1-4.74737617059469i</v>
      </c>
      <c r="X453" s="17">
        <f t="shared" si="268"/>
        <v>4.8515544421484442</v>
      </c>
      <c r="Y453" s="17">
        <f t="shared" si="269"/>
        <v>-1.3631886852729327</v>
      </c>
      <c r="Z453" s="31" t="str">
        <f t="shared" si="259"/>
        <v>-2.14688802787865+41.8787374068949i</v>
      </c>
      <c r="AA453" s="17">
        <f t="shared" si="270"/>
        <v>41.93373075460741</v>
      </c>
      <c r="AB453" s="17">
        <f t="shared" si="271"/>
        <v>1.6220158816243346</v>
      </c>
      <c r="AC453" s="66" t="str">
        <f t="shared" si="272"/>
        <v>-0.000796123192814081+0.000361038408138368i</v>
      </c>
      <c r="AD453" s="64">
        <f t="shared" si="273"/>
        <v>-61.168152046131581</v>
      </c>
      <c r="AE453" s="61">
        <f t="shared" si="274"/>
        <v>155.60591455030502</v>
      </c>
      <c r="AF453" s="31" t="str">
        <f t="shared" si="260"/>
        <v>-0.000495863624968664</v>
      </c>
      <c r="AG453" s="31" t="str">
        <f t="shared" si="261"/>
        <v>0.310471368407009i</v>
      </c>
      <c r="AH453" s="31">
        <f t="shared" si="275"/>
        <v>0.31047136840700901</v>
      </c>
      <c r="AI453" s="31">
        <f t="shared" si="276"/>
        <v>1.5707963267948966</v>
      </c>
      <c r="AJ453" s="31" t="str">
        <f t="shared" si="262"/>
        <v>1+1.21136383620828i</v>
      </c>
      <c r="AK453" s="31">
        <f t="shared" si="277"/>
        <v>1.5707967225816462</v>
      </c>
      <c r="AL453" s="31">
        <f t="shared" si="278"/>
        <v>0.88068944342201927</v>
      </c>
      <c r="AM453" s="31" t="str">
        <f t="shared" si="263"/>
        <v>1+371.35031378874i</v>
      </c>
      <c r="AN453" s="31">
        <f t="shared" si="279"/>
        <v>371.351660223831</v>
      </c>
      <c r="AO453" s="31">
        <f t="shared" si="280"/>
        <v>1.5681034582400921</v>
      </c>
      <c r="AP453" s="58" t="str">
        <f t="shared" si="281"/>
        <v>-0.239588247474215+0.291825670143697i</v>
      </c>
      <c r="AQ453" s="49">
        <f t="shared" si="282"/>
        <v>-8.4598784290675848</v>
      </c>
      <c r="AR453" s="61">
        <f t="shared" si="283"/>
        <v>129.38592182721908</v>
      </c>
      <c r="AS453" s="58" t="str">
        <f t="shared" si="284"/>
        <v>0.0000853814851373094-0.000318829743736661i</v>
      </c>
      <c r="AT453" s="64">
        <f t="shared" si="285"/>
        <v>-69.628030475199154</v>
      </c>
      <c r="AU453" s="61">
        <f t="shared" si="286"/>
        <v>-75.008163622475905</v>
      </c>
    </row>
    <row r="454" spans="14:47" x14ac:dyDescent="0.25">
      <c r="N454" s="10">
        <v>36</v>
      </c>
      <c r="O454" s="50">
        <f t="shared" si="287"/>
        <v>229086.76527677779</v>
      </c>
      <c r="P454" s="48" t="str">
        <f t="shared" si="255"/>
        <v>304.285714285714</v>
      </c>
      <c r="Q454" s="17" t="str">
        <f t="shared" si="256"/>
        <v>1+74951.332977963i</v>
      </c>
      <c r="R454" s="17">
        <f t="shared" si="264"/>
        <v>74951.332984633991</v>
      </c>
      <c r="S454" s="17">
        <f t="shared" si="265"/>
        <v>1.5707829848040313</v>
      </c>
      <c r="T454" s="17" t="str">
        <f t="shared" si="257"/>
        <v>1+1.55454616546886i</v>
      </c>
      <c r="U454" s="17">
        <f t="shared" si="266"/>
        <v>1.8484084452777032</v>
      </c>
      <c r="V454" s="17">
        <f t="shared" si="267"/>
        <v>0.99916354677407104</v>
      </c>
      <c r="W454" s="31" t="str">
        <f t="shared" si="258"/>
        <v>1-4.85795676709019i</v>
      </c>
      <c r="X454" s="17">
        <f t="shared" si="268"/>
        <v>4.9598128947488904</v>
      </c>
      <c r="Y454" s="17">
        <f t="shared" si="269"/>
        <v>-1.3677842009748293</v>
      </c>
      <c r="Z454" s="31" t="str">
        <f t="shared" si="259"/>
        <v>-2.29519629151132+42.8542185140414i</v>
      </c>
      <c r="AA454" s="17">
        <f t="shared" si="270"/>
        <v>42.915637831282162</v>
      </c>
      <c r="AB454" s="17">
        <f t="shared" si="271"/>
        <v>1.6243034390941806</v>
      </c>
      <c r="AC454" s="66" t="str">
        <f t="shared" si="272"/>
        <v>-0.000791137017359301+0.000355308372571226i</v>
      </c>
      <c r="AD454" s="64">
        <f t="shared" si="273"/>
        <v>-61.237002634328761</v>
      </c>
      <c r="AE454" s="61">
        <f t="shared" si="274"/>
        <v>155.81462500403046</v>
      </c>
      <c r="AF454" s="31" t="str">
        <f t="shared" si="260"/>
        <v>-0.000495863624968664</v>
      </c>
      <c r="AG454" s="31" t="str">
        <f t="shared" si="261"/>
        <v>0.317703175594709i</v>
      </c>
      <c r="AH454" s="31">
        <f t="shared" si="275"/>
        <v>0.31770317559470901</v>
      </c>
      <c r="AI454" s="31">
        <f t="shared" si="276"/>
        <v>1.5707963267948966</v>
      </c>
      <c r="AJ454" s="31" t="str">
        <f t="shared" si="262"/>
        <v>1+1.23958012469426i</v>
      </c>
      <c r="AK454" s="31">
        <f t="shared" si="277"/>
        <v>1.5926578055367189</v>
      </c>
      <c r="AL454" s="31">
        <f t="shared" si="278"/>
        <v>0.89196834051285456</v>
      </c>
      <c r="AM454" s="31" t="str">
        <f t="shared" si="263"/>
        <v>1+380.000173781276i</v>
      </c>
      <c r="AN454" s="31">
        <f t="shared" si="279"/>
        <v>380.0014895678699</v>
      </c>
      <c r="AO454" s="31">
        <f t="shared" si="280"/>
        <v>1.5681647551257092</v>
      </c>
      <c r="AP454" s="58" t="str">
        <f t="shared" si="281"/>
        <v>-0.2330561323473+0.290452526015643i</v>
      </c>
      <c r="AQ454" s="49">
        <f t="shared" si="282"/>
        <v>-8.5799296053445708</v>
      </c>
      <c r="AR454" s="61">
        <f t="shared" si="283"/>
        <v>128.74320067919496</v>
      </c>
      <c r="AS454" s="58" t="str">
        <f t="shared" si="284"/>
        <v>0.0000811791190947176-0.000312594540218554i</v>
      </c>
      <c r="AT454" s="64">
        <f t="shared" si="285"/>
        <v>-69.816932239673321</v>
      </c>
      <c r="AU454" s="61">
        <f t="shared" si="286"/>
        <v>-75.442174316774583</v>
      </c>
    </row>
    <row r="455" spans="14:47" x14ac:dyDescent="0.25">
      <c r="N455" s="10">
        <v>37</v>
      </c>
      <c r="O455" s="50">
        <f t="shared" si="287"/>
        <v>234422.88153199267</v>
      </c>
      <c r="P455" s="48" t="str">
        <f t="shared" si="255"/>
        <v>304.285714285714</v>
      </c>
      <c r="Q455" s="17" t="str">
        <f t="shared" si="256"/>
        <v>1+76697.173798451i</v>
      </c>
      <c r="R455" s="17">
        <f t="shared" si="264"/>
        <v>76697.173804970138</v>
      </c>
      <c r="S455" s="17">
        <f t="shared" si="265"/>
        <v>1.5707832885048212</v>
      </c>
      <c r="T455" s="17" t="str">
        <f t="shared" si="257"/>
        <v>1+1.5907561973012i</v>
      </c>
      <c r="U455" s="17">
        <f t="shared" si="266"/>
        <v>1.8789638844991605</v>
      </c>
      <c r="V455" s="17">
        <f t="shared" si="267"/>
        <v>1.0095896110517724</v>
      </c>
      <c r="W455" s="31" t="str">
        <f t="shared" si="258"/>
        <v>1-4.97111311656626i</v>
      </c>
      <c r="X455" s="17">
        <f t="shared" si="268"/>
        <v>5.0706967586020282</v>
      </c>
      <c r="Y455" s="17">
        <f t="shared" si="269"/>
        <v>-1.372283526971205</v>
      </c>
      <c r="Z455" s="31" t="str">
        <f t="shared" si="259"/>
        <v>-2.45049410827296+43.8524214950867i</v>
      </c>
      <c r="AA455" s="17">
        <f t="shared" si="270"/>
        <v>43.920835515247468</v>
      </c>
      <c r="AB455" s="17">
        <f t="shared" si="271"/>
        <v>1.6266187451021086</v>
      </c>
      <c r="AC455" s="66" t="str">
        <f t="shared" si="272"/>
        <v>-0.000786358267553777+0.000349755295292485i</v>
      </c>
      <c r="AD455" s="64">
        <f t="shared" si="273"/>
        <v>-61.30364637692238</v>
      </c>
      <c r="AE455" s="61">
        <f t="shared" si="274"/>
        <v>156.02152743052017</v>
      </c>
      <c r="AF455" s="31" t="str">
        <f t="shared" si="260"/>
        <v>-0.000495863624968664</v>
      </c>
      <c r="AG455" s="31" t="str">
        <f t="shared" si="261"/>
        <v>0.325103433211408i</v>
      </c>
      <c r="AH455" s="31">
        <f t="shared" si="275"/>
        <v>0.325103433211408</v>
      </c>
      <c r="AI455" s="31">
        <f t="shared" si="276"/>
        <v>1.5707963267948966</v>
      </c>
      <c r="AJ455" s="31" t="str">
        <f t="shared" si="262"/>
        <v>1+1.26845365497015i</v>
      </c>
      <c r="AK455" s="31">
        <f t="shared" si="277"/>
        <v>1.6152320807881237</v>
      </c>
      <c r="AL455" s="31">
        <f t="shared" si="278"/>
        <v>0.90319244238126217</v>
      </c>
      <c r="AM455" s="31" t="str">
        <f t="shared" si="263"/>
        <v>1+388.851514895849i</v>
      </c>
      <c r="AN455" s="31">
        <f t="shared" si="279"/>
        <v>388.85280073158356</v>
      </c>
      <c r="AO455" s="31">
        <f t="shared" si="280"/>
        <v>1.5682246567429714</v>
      </c>
      <c r="AP455" s="58" t="str">
        <f t="shared" si="281"/>
        <v>-0.226587329130798+0.288940774616919i</v>
      </c>
      <c r="AQ455" s="49">
        <f t="shared" si="282"/>
        <v>-8.7021801054077539</v>
      </c>
      <c r="AR455" s="61">
        <f t="shared" si="283"/>
        <v>128.10353912316538</v>
      </c>
      <c r="AS455" s="58" t="str">
        <f t="shared" si="284"/>
        <v>0.0000771202536367519-0.000306461085163085i</v>
      </c>
      <c r="AT455" s="64">
        <f t="shared" si="285"/>
        <v>-70.005826482330122</v>
      </c>
      <c r="AU455" s="61">
        <f t="shared" si="286"/>
        <v>-75.874933446314515</v>
      </c>
    </row>
    <row r="456" spans="14:47" x14ac:dyDescent="0.25">
      <c r="N456" s="10">
        <v>38</v>
      </c>
      <c r="O456" s="50">
        <f t="shared" si="287"/>
        <v>239883.29190194907</v>
      </c>
      <c r="P456" s="48" t="str">
        <f t="shared" si="255"/>
        <v>304.285714285714</v>
      </c>
      <c r="Q456" s="17" t="str">
        <f t="shared" si="256"/>
        <v>1+78483.6804756937i</v>
      </c>
      <c r="R456" s="17">
        <f t="shared" si="264"/>
        <v>78483.680482064447</v>
      </c>
      <c r="S456" s="17">
        <f t="shared" si="265"/>
        <v>1.5707835852925374</v>
      </c>
      <c r="T456" s="17" t="str">
        <f t="shared" si="257"/>
        <v>1+1.6278096691255i</v>
      </c>
      <c r="U456" s="17">
        <f t="shared" si="266"/>
        <v>1.9104356358952452</v>
      </c>
      <c r="V456" s="17">
        <f t="shared" si="267"/>
        <v>1.0199121320771427</v>
      </c>
      <c r="W456" s="31" t="str">
        <f t="shared" si="258"/>
        <v>1-5.08690521601718i</v>
      </c>
      <c r="X456" s="17">
        <f t="shared" si="268"/>
        <v>5.1842651047899544</v>
      </c>
      <c r="Y456" s="17">
        <f t="shared" si="269"/>
        <v>-1.3766883198469677</v>
      </c>
      <c r="Z456" s="31" t="str">
        <f t="shared" si="259"/>
        <v>-2.61311088565403+44.873875610464i</v>
      </c>
      <c r="AA456" s="17">
        <f t="shared" si="270"/>
        <v>44.949895003260231</v>
      </c>
      <c r="AB456" s="17">
        <f t="shared" si="271"/>
        <v>1.6289629806424295</v>
      </c>
      <c r="AC456" s="66" t="str">
        <f t="shared" si="272"/>
        <v>-0.000781776852857012+0.000344376812789771i</v>
      </c>
      <c r="AD456" s="64">
        <f t="shared" si="273"/>
        <v>-61.368137339733657</v>
      </c>
      <c r="AE456" s="61">
        <f t="shared" si="274"/>
        <v>156.22625647046976</v>
      </c>
      <c r="AF456" s="31" t="str">
        <f t="shared" si="260"/>
        <v>-0.000495863624968664</v>
      </c>
      <c r="AG456" s="31" t="str">
        <f t="shared" si="261"/>
        <v>0.332676064971647i</v>
      </c>
      <c r="AH456" s="31">
        <f t="shared" si="275"/>
        <v>0.33267606497164698</v>
      </c>
      <c r="AI456" s="31">
        <f t="shared" si="276"/>
        <v>1.5707963267948966</v>
      </c>
      <c r="AJ456" s="31" t="str">
        <f t="shared" si="262"/>
        <v>1+1.29799973616386i</v>
      </c>
      <c r="AK456" s="31">
        <f t="shared" si="277"/>
        <v>1.6385369434594541</v>
      </c>
      <c r="AL456" s="31">
        <f t="shared" si="278"/>
        <v>0.91435638868238955</v>
      </c>
      <c r="AM456" s="31" t="str">
        <f t="shared" si="263"/>
        <v>1+397.909030230677i</v>
      </c>
      <c r="AN456" s="31">
        <f t="shared" si="279"/>
        <v>397.91028679731039</v>
      </c>
      <c r="AO456" s="31">
        <f t="shared" si="280"/>
        <v>1.5682831948507887</v>
      </c>
      <c r="AP456" s="58" t="str">
        <f t="shared" si="281"/>
        <v>-0.220187676323883+0.287294075684294i</v>
      </c>
      <c r="AQ456" s="49">
        <f t="shared" si="282"/>
        <v>-8.8266075176337768</v>
      </c>
      <c r="AR456" s="61">
        <f t="shared" si="283"/>
        <v>127.46724610391873</v>
      </c>
      <c r="AS456" s="58" t="str">
        <f t="shared" si="284"/>
        <v>0.0000732002105168432-0.000300427388520936i</v>
      </c>
      <c r="AT456" s="64">
        <f t="shared" si="285"/>
        <v>-70.194744857367425</v>
      </c>
      <c r="AU456" s="61">
        <f t="shared" si="286"/>
        <v>-76.306497425611497</v>
      </c>
    </row>
    <row r="457" spans="14:47" x14ac:dyDescent="0.25">
      <c r="N457" s="10">
        <v>39</v>
      </c>
      <c r="O457" s="50">
        <f t="shared" si="287"/>
        <v>245470.89156850305</v>
      </c>
      <c r="P457" s="48" t="str">
        <f t="shared" si="255"/>
        <v>304.285714285714</v>
      </c>
      <c r="Q457" s="17" t="str">
        <f t="shared" si="256"/>
        <v>1+80311.8002391791i</v>
      </c>
      <c r="R457" s="17">
        <f t="shared" si="264"/>
        <v>80311.800245404826</v>
      </c>
      <c r="S457" s="17">
        <f t="shared" si="265"/>
        <v>1.5707838753245402</v>
      </c>
      <c r="T457" s="17" t="str">
        <f t="shared" si="257"/>
        <v>1+1.66572622718297i</v>
      </c>
      <c r="U457" s="17">
        <f t="shared" si="266"/>
        <v>1.9428442716608072</v>
      </c>
      <c r="V457" s="17">
        <f t="shared" si="267"/>
        <v>1.0301277833381663</v>
      </c>
      <c r="W457" s="31" t="str">
        <f t="shared" si="258"/>
        <v>1-5.20539445994678i</v>
      </c>
      <c r="X457" s="17">
        <f t="shared" si="268"/>
        <v>5.3005784102911484</v>
      </c>
      <c r="Y457" s="17">
        <f t="shared" si="269"/>
        <v>-1.3810002310538105</v>
      </c>
      <c r="Z457" s="31" t="str">
        <f t="shared" si="259"/>
        <v>-2.78339155564179+45.919122448666i</v>
      </c>
      <c r="AA457" s="17">
        <f t="shared" si="270"/>
        <v>46.003402863349137</v>
      </c>
      <c r="AB457" s="17">
        <f t="shared" si="271"/>
        <v>1.6313373389225982</v>
      </c>
      <c r="AC457" s="66" t="str">
        <f t="shared" si="272"/>
        <v>-0.000777383099954897+0.000339170602675836i</v>
      </c>
      <c r="AD457" s="64">
        <f t="shared" si="273"/>
        <v>-61.430530012942739</v>
      </c>
      <c r="AE457" s="61">
        <f t="shared" si="274"/>
        <v>156.42845853280136</v>
      </c>
      <c r="AF457" s="31" t="str">
        <f t="shared" si="260"/>
        <v>-0.000495863624968664</v>
      </c>
      <c r="AG457" s="31" t="str">
        <f t="shared" si="261"/>
        <v>0.340425085985023i</v>
      </c>
      <c r="AH457" s="31">
        <f t="shared" si="275"/>
        <v>0.34042508598502302</v>
      </c>
      <c r="AI457" s="31">
        <f t="shared" si="276"/>
        <v>1.5707963267948966</v>
      </c>
      <c r="AJ457" s="31" t="str">
        <f t="shared" si="262"/>
        <v>1+1.32823403399874i</v>
      </c>
      <c r="AK457" s="31">
        <f t="shared" si="277"/>
        <v>1.6625900423954685</v>
      </c>
      <c r="AL457" s="31">
        <f t="shared" si="278"/>
        <v>0.92545496800033322</v>
      </c>
      <c r="AM457" s="31" t="str">
        <f t="shared" si="263"/>
        <v>1+407.177522200281i</v>
      </c>
      <c r="AN457" s="31">
        <f t="shared" si="279"/>
        <v>407.17875016405304</v>
      </c>
      <c r="AO457" s="31">
        <f t="shared" si="280"/>
        <v>1.568340400485235</v>
      </c>
      <c r="AP457" s="58" t="str">
        <f t="shared" si="281"/>
        <v>-0.213862743364548+0.285516375647506i</v>
      </c>
      <c r="AQ457" s="49">
        <f t="shared" si="282"/>
        <v>-8.9531875000172594</v>
      </c>
      <c r="AR457" s="61">
        <f t="shared" si="283"/>
        <v>126.8346219918275</v>
      </c>
      <c r="AS457" s="58" t="str">
        <f t="shared" si="284"/>
        <v>0.0000694145211994059-0.000294491560745606i</v>
      </c>
      <c r="AT457" s="64">
        <f t="shared" si="285"/>
        <v>-70.383717512960004</v>
      </c>
      <c r="AU457" s="61">
        <f t="shared" si="286"/>
        <v>-76.736919475371138</v>
      </c>
    </row>
    <row r="458" spans="14:47" x14ac:dyDescent="0.25">
      <c r="N458" s="10">
        <v>40</v>
      </c>
      <c r="O458" s="50">
        <f t="shared" si="287"/>
        <v>251188.64315095844</v>
      </c>
      <c r="P458" s="48" t="str">
        <f t="shared" si="255"/>
        <v>304.285714285714</v>
      </c>
      <c r="Q458" s="17" t="str">
        <f t="shared" si="256"/>
        <v>1+82182.502382204i</v>
      </c>
      <c r="R458" s="17">
        <f t="shared" si="264"/>
        <v>82182.502388288005</v>
      </c>
      <c r="S458" s="17">
        <f t="shared" si="265"/>
        <v>1.5707841587546088</v>
      </c>
      <c r="T458" s="17" t="str">
        <f t="shared" si="257"/>
        <v>1+1.7045259753346i</v>
      </c>
      <c r="U458" s="17">
        <f t="shared" si="266"/>
        <v>1.9762107176590176</v>
      </c>
      <c r="V458" s="17">
        <f t="shared" si="267"/>
        <v>1.040233452055777</v>
      </c>
      <c r="W458" s="31" t="str">
        <f t="shared" si="258"/>
        <v>1-5.32664367292063i</v>
      </c>
      <c r="X458" s="17">
        <f t="shared" si="268"/>
        <v>5.419698591090226</v>
      </c>
      <c r="Y458" s="17">
        <f t="shared" si="269"/>
        <v>-1.385220905158971</v>
      </c>
      <c r="Z458" s="31" t="str">
        <f t="shared" si="259"/>
        <v>-2.96169730636725+46.988716213402i</v>
      </c>
      <c r="AA458" s="17">
        <f t="shared" si="270"/>
        <v>47.08196153855711</v>
      </c>
      <c r="AB458" s="17">
        <f t="shared" si="271"/>
        <v>1.6337430257662415</v>
      </c>
      <c r="AC458" s="66" t="str">
        <f t="shared" si="272"/>
        <v>-0.000773167732614024+0.000334134384997162i</v>
      </c>
      <c r="AD458" s="64">
        <f t="shared" si="273"/>
        <v>-61.490879219945363</v>
      </c>
      <c r="AE458" s="61">
        <f t="shared" si="274"/>
        <v>156.62779194423445</v>
      </c>
      <c r="AF458" s="31" t="str">
        <f t="shared" si="260"/>
        <v>-0.000495863624968664</v>
      </c>
      <c r="AG458" s="31" t="str">
        <f t="shared" si="261"/>
        <v>0.348354604885048i</v>
      </c>
      <c r="AH458" s="31">
        <f t="shared" si="275"/>
        <v>0.34835460488504799</v>
      </c>
      <c r="AI458" s="31">
        <f t="shared" si="276"/>
        <v>1.5707963267948966</v>
      </c>
      <c r="AJ458" s="31" t="str">
        <f t="shared" si="262"/>
        <v>1+1.35917257909971i</v>
      </c>
      <c r="AK458" s="31">
        <f t="shared" si="277"/>
        <v>1.6874092863844734</v>
      </c>
      <c r="AL458" s="31">
        <f t="shared" si="278"/>
        <v>0.93648312855540805</v>
      </c>
      <c r="AM458" s="31" t="str">
        <f t="shared" si="263"/>
        <v>1+416.661905081791i</v>
      </c>
      <c r="AN458" s="31">
        <f t="shared" si="279"/>
        <v>416.66310509377644</v>
      </c>
      <c r="AO458" s="31">
        <f t="shared" si="280"/>
        <v>1.5683963039759963</v>
      </c>
      <c r="AP458" s="58" t="str">
        <f t="shared" si="281"/>
        <v>-0.207617813974064+0.283611884698855i</v>
      </c>
      <c r="AQ458" s="49">
        <f t="shared" si="282"/>
        <v>-9.0818938740836828</v>
      </c>
      <c r="AR458" s="61">
        <f t="shared" si="283"/>
        <v>126.20595797030974</v>
      </c>
      <c r="AS458" s="58" t="str">
        <f t="shared" si="284"/>
        <v>0.0000657589118088694-0.000288651808421683i</v>
      </c>
      <c r="AT458" s="64">
        <f t="shared" si="285"/>
        <v>-70.572773094029046</v>
      </c>
      <c r="AU458" s="61">
        <f t="shared" si="286"/>
        <v>-77.166250085455815</v>
      </c>
    </row>
    <row r="459" spans="14:47" x14ac:dyDescent="0.25">
      <c r="N459" s="10">
        <v>41</v>
      </c>
      <c r="O459" s="50">
        <f t="shared" si="287"/>
        <v>257039.57827688678</v>
      </c>
      <c r="P459" s="48" t="str">
        <f t="shared" si="255"/>
        <v>304.285714285714</v>
      </c>
      <c r="Q459" s="17" t="str">
        <f t="shared" si="256"/>
        <v>1+84096.7787758056i</v>
      </c>
      <c r="R459" s="17">
        <f t="shared" si="264"/>
        <v>84096.778781751113</v>
      </c>
      <c r="S459" s="17">
        <f t="shared" si="265"/>
        <v>1.5707844357330212</v>
      </c>
      <c r="T459" s="17" t="str">
        <f t="shared" si="257"/>
        <v>1+1.74422948572041i</v>
      </c>
      <c r="U459" s="17">
        <f t="shared" si="266"/>
        <v>2.0105562660260183</v>
      </c>
      <c r="V459" s="17">
        <f t="shared" si="267"/>
        <v>1.0502262395691691</v>
      </c>
      <c r="W459" s="31" t="str">
        <f t="shared" si="258"/>
        <v>1-5.45071714287628i</v>
      </c>
      <c r="X459" s="17">
        <f t="shared" si="268"/>
        <v>5.5416890359930289</v>
      </c>
      <c r="Y459" s="17">
        <f t="shared" si="269"/>
        <v>-1.3893519782280379</v>
      </c>
      <c r="Z459" s="31" t="str">
        <f t="shared" si="259"/>
        <v>-3.14840634823348+48.0832240174432i</v>
      </c>
      <c r="AA459" s="17">
        <f t="shared" si="270"/>
        <v>48.186189872672273</v>
      </c>
      <c r="AB459" s="17">
        <f t="shared" si="271"/>
        <v>1.6361812600077943</v>
      </c>
      <c r="AC459" s="66" t="str">
        <f t="shared" si="272"/>
        <v>-0.000769121852369399+0.000329265923336255i</v>
      </c>
      <c r="AD459" s="64">
        <f t="shared" si="273"/>
        <v>-61.549240028125034</v>
      </c>
      <c r="AE459" s="61">
        <f t="shared" si="274"/>
        <v>156.82392704140582</v>
      </c>
      <c r="AF459" s="31" t="str">
        <f t="shared" si="260"/>
        <v>-0.000495863624968664</v>
      </c>
      <c r="AG459" s="31" t="str">
        <f t="shared" si="261"/>
        <v>0.356468826007601i</v>
      </c>
      <c r="AH459" s="31">
        <f t="shared" si="275"/>
        <v>0.35646882600760099</v>
      </c>
      <c r="AI459" s="31">
        <f t="shared" si="276"/>
        <v>1.5707963267948966</v>
      </c>
      <c r="AJ459" s="31" t="str">
        <f t="shared" si="262"/>
        <v>1+1.39083177549289i</v>
      </c>
      <c r="AK459" s="31">
        <f t="shared" si="277"/>
        <v>1.7130128510086271</v>
      </c>
      <c r="AL459" s="31">
        <f t="shared" si="278"/>
        <v>0.94743598799855477</v>
      </c>
      <c r="AM459" s="31" t="str">
        <f t="shared" si="263"/>
        <v>1+426.367207620544i</v>
      </c>
      <c r="AN459" s="31">
        <f t="shared" si="279"/>
        <v>426.36838031699779</v>
      </c>
      <c r="AO459" s="31">
        <f t="shared" si="280"/>
        <v>1.5684509349624451</v>
      </c>
      <c r="AP459" s="58" t="str">
        <f t="shared" si="281"/>
        <v>-0.201457871727628+0.281585052870333i</v>
      </c>
      <c r="AQ459" s="49">
        <f t="shared" si="282"/>
        <v>-9.2126987240626725</v>
      </c>
      <c r="AR459" s="61">
        <f t="shared" si="283"/>
        <v>125.58153547557158</v>
      </c>
      <c r="AS459" s="58" t="str">
        <f t="shared" si="284"/>
        <v>0.0000622292890465117-0.00028290642961092i</v>
      </c>
      <c r="AT459" s="64">
        <f t="shared" si="285"/>
        <v>-70.761938752187703</v>
      </c>
      <c r="AU459" s="61">
        <f t="shared" si="286"/>
        <v>-77.594537483022577</v>
      </c>
    </row>
    <row r="460" spans="14:47" x14ac:dyDescent="0.25">
      <c r="N460" s="10">
        <v>42</v>
      </c>
      <c r="O460" s="50">
        <f t="shared" si="287"/>
        <v>263026.79918953858</v>
      </c>
      <c r="P460" s="48" t="str">
        <f t="shared" si="255"/>
        <v>304.285714285714</v>
      </c>
      <c r="Q460" s="17" t="str">
        <f t="shared" si="256"/>
        <v>1+86055.6443946666i</v>
      </c>
      <c r="R460" s="17">
        <f t="shared" si="264"/>
        <v>86055.644400476784</v>
      </c>
      <c r="S460" s="17">
        <f t="shared" si="265"/>
        <v>1.5707847064066351</v>
      </c>
      <c r="T460" s="17" t="str">
        <f t="shared" si="257"/>
        <v>1+1.78485780966715i</v>
      </c>
      <c r="U460" s="17">
        <f t="shared" si="266"/>
        <v>2.0459025882797586</v>
      </c>
      <c r="V460" s="17">
        <f t="shared" si="267"/>
        <v>1.0601034608849926</v>
      </c>
      <c r="W460" s="31" t="str">
        <f t="shared" si="258"/>
        <v>1-5.57768065520986i</v>
      </c>
      <c r="X460" s="17">
        <f t="shared" si="268"/>
        <v>5.6666146411682421</v>
      </c>
      <c r="Y460" s="17">
        <f t="shared" si="269"/>
        <v>-1.3933950763354148</v>
      </c>
      <c r="Z460" s="31" t="str">
        <f t="shared" si="259"/>
        <v>-3.34391471615085+49.2032261833152i</v>
      </c>
      <c r="AA460" s="17">
        <f t="shared" si="270"/>
        <v>49.316723659174329</v>
      </c>
      <c r="AB460" s="17">
        <f t="shared" si="271"/>
        <v>1.6386532738779007</v>
      </c>
      <c r="AC460" s="66" t="str">
        <f t="shared" si="272"/>
        <v>-0.000765236920007661+0.000324563025719469i</v>
      </c>
      <c r="AD460" s="64">
        <f t="shared" si="273"/>
        <v>-61.605667662048361</v>
      </c>
      <c r="AE460" s="61">
        <f t="shared" si="274"/>
        <v>157.01654620829851</v>
      </c>
      <c r="AF460" s="31" t="str">
        <f t="shared" si="260"/>
        <v>-0.000495863624968664</v>
      </c>
      <c r="AG460" s="31" t="str">
        <f t="shared" si="261"/>
        <v>0.364772051620125i</v>
      </c>
      <c r="AH460" s="31">
        <f t="shared" si="275"/>
        <v>0.36477205162012499</v>
      </c>
      <c r="AI460" s="31">
        <f t="shared" si="276"/>
        <v>1.5707963267948966</v>
      </c>
      <c r="AJ460" s="31" t="str">
        <f t="shared" si="262"/>
        <v>1+1.42322840930327i</v>
      </c>
      <c r="AK460" s="31">
        <f t="shared" si="277"/>
        <v>1.7394191861215962</v>
      </c>
      <c r="AL460" s="31">
        <f t="shared" si="278"/>
        <v>0.95830884225888868</v>
      </c>
      <c r="AM460" s="31" t="str">
        <f t="shared" si="263"/>
        <v>1+436.298575696415i</v>
      </c>
      <c r="AN460" s="31">
        <f t="shared" si="279"/>
        <v>436.29972169910945</v>
      </c>
      <c r="AO460" s="31">
        <f t="shared" si="280"/>
        <v>1.5685043224093482</v>
      </c>
      <c r="AP460" s="58" t="str">
        <f t="shared" si="281"/>
        <v>-0.195387587899499+0.279440545357528i</v>
      </c>
      <c r="AQ460" s="49">
        <f t="shared" si="282"/>
        <v>-9.3455725005582888</v>
      </c>
      <c r="AR460" s="61">
        <f t="shared" si="283"/>
        <v>124.96162569058012</v>
      </c>
      <c r="AS460" s="58" t="str">
        <f t="shared" si="284"/>
        <v>0.0000588217270620009-0.000277253808971346i</v>
      </c>
      <c r="AT460" s="64">
        <f t="shared" si="285"/>
        <v>-70.951240162606638</v>
      </c>
      <c r="AU460" s="61">
        <f t="shared" si="286"/>
        <v>-78.021828101121372</v>
      </c>
    </row>
    <row r="461" spans="14:47" x14ac:dyDescent="0.25">
      <c r="N461" s="10">
        <v>43</v>
      </c>
      <c r="O461" s="50">
        <f t="shared" si="287"/>
        <v>269153.48039269145</v>
      </c>
      <c r="P461" s="48" t="str">
        <f t="shared" si="255"/>
        <v>304.285714285714</v>
      </c>
      <c r="Q461" s="17" t="str">
        <f t="shared" si="256"/>
        <v>1+88060.137855267i</v>
      </c>
      <c r="R461" s="17">
        <f t="shared" si="264"/>
        <v>88060.137860944946</v>
      </c>
      <c r="S461" s="17">
        <f t="shared" si="265"/>
        <v>1.5707849709189656</v>
      </c>
      <c r="T461" s="17" t="str">
        <f t="shared" si="257"/>
        <v>1+1.82643248884998i</v>
      </c>
      <c r="U461" s="17">
        <f t="shared" si="266"/>
        <v>2.0822717489143274</v>
      </c>
      <c r="V461" s="17">
        <f t="shared" si="267"/>
        <v>1.069862643435485</v>
      </c>
      <c r="W461" s="31" t="str">
        <f t="shared" si="258"/>
        <v>1-5.70760152765619i</v>
      </c>
      <c r="X461" s="17">
        <f t="shared" si="268"/>
        <v>5.7945418454355195</v>
      </c>
      <c r="Y461" s="17">
        <f t="shared" si="269"/>
        <v>-1.397351814196103</v>
      </c>
      <c r="Z461" s="31" t="str">
        <f t="shared" si="259"/>
        <v>-3.54863710957998+50.3493165509914i</v>
      </c>
      <c r="AA461" s="17">
        <f t="shared" si="270"/>
        <v>50.474216214691481</v>
      </c>
      <c r="AB461" s="17">
        <f t="shared" si="271"/>
        <v>1.6411603133786572</v>
      </c>
      <c r="AC461" s="66" t="str">
        <f t="shared" si="272"/>
        <v>-0.000761504737809393+0.000320023545341138i</v>
      </c>
      <c r="AD461" s="64">
        <f t="shared" si="273"/>
        <v>-61.660217419546854</v>
      </c>
      <c r="AE461" s="61">
        <f t="shared" si="274"/>
        <v>157.2053438619763</v>
      </c>
      <c r="AF461" s="31" t="str">
        <f t="shared" si="260"/>
        <v>-0.000495863624968664</v>
      </c>
      <c r="AG461" s="31" t="str">
        <f t="shared" si="261"/>
        <v>0.373268684202747i</v>
      </c>
      <c r="AH461" s="31">
        <f t="shared" si="275"/>
        <v>0.373268684202747</v>
      </c>
      <c r="AI461" s="31">
        <f t="shared" si="276"/>
        <v>1.5707963267948966</v>
      </c>
      <c r="AJ461" s="31" t="str">
        <f t="shared" si="262"/>
        <v>1+1.45637965765493i</v>
      </c>
      <c r="AK461" s="31">
        <f t="shared" si="277"/>
        <v>1.7666470239499148</v>
      </c>
      <c r="AL461" s="31">
        <f t="shared" si="278"/>
        <v>0.96909717341965051</v>
      </c>
      <c r="AM461" s="31" t="str">
        <f t="shared" si="263"/>
        <v>1+446.461275052217i</v>
      </c>
      <c r="AN461" s="31">
        <f t="shared" si="279"/>
        <v>446.46239496877155</v>
      </c>
      <c r="AO461" s="31">
        <f t="shared" si="280"/>
        <v>1.5685564946222188</v>
      </c>
      <c r="AP461" s="58" t="str">
        <f t="shared" si="281"/>
        <v>-0.189411311603043+0.277183217328445i</v>
      </c>
      <c r="AQ461" s="49">
        <f t="shared" si="282"/>
        <v>-9.4804841279439689</v>
      </c>
      <c r="AR461" s="61">
        <f t="shared" si="283"/>
        <v>124.34648909468436</v>
      </c>
      <c r="AS461" s="58" t="str">
        <f t="shared" si="284"/>
        <v>0.0000555324552618964-0.000271692412703782i</v>
      </c>
      <c r="AT461" s="64">
        <f t="shared" si="285"/>
        <v>-71.140701547490835</v>
      </c>
      <c r="AU461" s="61">
        <f t="shared" si="286"/>
        <v>-78.448167043339311</v>
      </c>
    </row>
    <row r="462" spans="14:47" x14ac:dyDescent="0.25">
      <c r="N462" s="10">
        <v>44</v>
      </c>
      <c r="O462" s="50">
        <f t="shared" si="287"/>
        <v>275422.87033381703</v>
      </c>
      <c r="P462" s="48" t="str">
        <f t="shared" si="255"/>
        <v>304.285714285714</v>
      </c>
      <c r="Q462" s="17" t="str">
        <f t="shared" si="256"/>
        <v>1+90111.3219665721i</v>
      </c>
      <c r="R462" s="17">
        <f t="shared" si="264"/>
        <v>90111.321972120801</v>
      </c>
      <c r="S462" s="17">
        <f t="shared" si="265"/>
        <v>1.5707852294102602</v>
      </c>
      <c r="T462" s="17" t="str">
        <f t="shared" si="257"/>
        <v>1+1.86897556671408i</v>
      </c>
      <c r="U462" s="17">
        <f t="shared" si="266"/>
        <v>2.1196862194613182</v>
      </c>
      <c r="V462" s="17">
        <f t="shared" si="267"/>
        <v>1.0795015250941542</v>
      </c>
      <c r="W462" s="31" t="str">
        <f t="shared" si="258"/>
        <v>1-5.84054864598152i</v>
      </c>
      <c r="X462" s="17">
        <f t="shared" si="268"/>
        <v>5.9255386663219545</v>
      </c>
      <c r="Y462" s="17">
        <f t="shared" si="269"/>
        <v>-1.4012237939126446</v>
      </c>
      <c r="Z462" s="31" t="str">
        <f t="shared" si="259"/>
        <v>-3.76300777216495+51.522102792755i</v>
      </c>
      <c r="AA462" s="17">
        <f t="shared" si="270"/>
        <v>51.659338978354981</v>
      </c>
      <c r="AB462" s="17">
        <f t="shared" si="271"/>
        <v>1.6437036386477148</v>
      </c>
      <c r="AC462" s="66" t="str">
        <f t="shared" si="272"/>
        <v>-0.000757917432515734+0.000315645381113729i</v>
      </c>
      <c r="AD462" s="64">
        <f t="shared" si="273"/>
        <v>-61.712944591100978</v>
      </c>
      <c r="AE462" s="61">
        <f t="shared" si="274"/>
        <v>157.39002638981981</v>
      </c>
      <c r="AF462" s="31" t="str">
        <f t="shared" si="260"/>
        <v>-0.000495863624968664</v>
      </c>
      <c r="AG462" s="31" t="str">
        <f t="shared" si="261"/>
        <v>0.38196322878253i</v>
      </c>
      <c r="AH462" s="31">
        <f t="shared" si="275"/>
        <v>0.38196322878252997</v>
      </c>
      <c r="AI462" s="31">
        <f t="shared" si="276"/>
        <v>1.5707963267948966</v>
      </c>
      <c r="AJ462" s="31" t="str">
        <f t="shared" si="262"/>
        <v>1+1.49030309777853i</v>
      </c>
      <c r="AK462" s="31">
        <f t="shared" si="277"/>
        <v>1.7947153878117508</v>
      </c>
      <c r="AL462" s="31">
        <f t="shared" si="278"/>
        <v>0.97979665660706761</v>
      </c>
      <c r="AM462" s="31" t="str">
        <f t="shared" si="263"/>
        <v>1+456.860694085665i</v>
      </c>
      <c r="AN462" s="31">
        <f t="shared" si="279"/>
        <v>456.86178850986818</v>
      </c>
      <c r="AO462" s="31">
        <f t="shared" si="280"/>
        <v>1.5686074792623179</v>
      </c>
      <c r="AP462" s="58" t="str">
        <f t="shared" si="281"/>
        <v>-0.183533062219344+0.274818088451061i</v>
      </c>
      <c r="AQ462" s="49">
        <f t="shared" si="282"/>
        <v>-9.6174011147048759</v>
      </c>
      <c r="AR462" s="61">
        <f t="shared" si="283"/>
        <v>123.73637506977191</v>
      </c>
      <c r="AS462" s="58" t="str">
        <f t="shared" si="284"/>
        <v>0.000052357847032954-0.000266220783378905i</v>
      </c>
      <c r="AT462" s="64">
        <f t="shared" si="285"/>
        <v>-71.33034570580584</v>
      </c>
      <c r="AU462" s="61">
        <f t="shared" si="286"/>
        <v>-78.87359854040831</v>
      </c>
    </row>
    <row r="463" spans="14:47" x14ac:dyDescent="0.25">
      <c r="N463" s="10">
        <v>45</v>
      </c>
      <c r="O463" s="50">
        <f t="shared" si="287"/>
        <v>281838.29312644573</v>
      </c>
      <c r="P463" s="48" t="str">
        <f t="shared" si="255"/>
        <v>304.285714285714</v>
      </c>
      <c r="Q463" s="17" t="str">
        <f t="shared" si="256"/>
        <v>1+92210.284293548i</v>
      </c>
      <c r="R463" s="17">
        <f t="shared" si="264"/>
        <v>92210.284298970379</v>
      </c>
      <c r="S463" s="17">
        <f t="shared" si="265"/>
        <v>1.5707854820175746</v>
      </c>
      <c r="T463" s="17" t="str">
        <f t="shared" si="257"/>
        <v>1+1.91250960016247i</v>
      </c>
      <c r="U463" s="17">
        <f t="shared" si="266"/>
        <v>2.1581688930001772</v>
      </c>
      <c r="V463" s="17">
        <f t="shared" si="267"/>
        <v>1.0890180515003942</v>
      </c>
      <c r="W463" s="31" t="str">
        <f t="shared" si="258"/>
        <v>1-5.97659250050773i</v>
      </c>
      <c r="X463" s="17">
        <f t="shared" si="268"/>
        <v>6.059674736908347</v>
      </c>
      <c r="Y463" s="17">
        <f t="shared" si="269"/>
        <v>-1.4050126038311925</v>
      </c>
      <c r="Z463" s="31" t="str">
        <f t="shared" si="259"/>
        <v>-3.98748141282223+52.7222067353949i</v>
      </c>
      <c r="AA463" s="17">
        <f t="shared" si="270"/>
        <v>52.87278213851927</v>
      </c>
      <c r="AB463" s="17">
        <f t="shared" si="271"/>
        <v>1.6462845243101731</v>
      </c>
      <c r="AC463" s="66" t="str">
        <f t="shared" si="272"/>
        <v>-0.000754467438986136+0.000311426478052783i</v>
      </c>
      <c r="AD463" s="64">
        <f t="shared" si="273"/>
        <v>-61.763904382892065</v>
      </c>
      <c r="AE463" s="61">
        <f t="shared" si="274"/>
        <v>157.5703120416145</v>
      </c>
      <c r="AF463" s="31" t="str">
        <f t="shared" si="260"/>
        <v>-0.000495863624968664</v>
      </c>
      <c r="AG463" s="31" t="str">
        <f t="shared" si="261"/>
        <v>0.390860295322093i</v>
      </c>
      <c r="AH463" s="31">
        <f t="shared" si="275"/>
        <v>0.39086029532209299</v>
      </c>
      <c r="AI463" s="31">
        <f t="shared" si="276"/>
        <v>1.5707963267948966</v>
      </c>
      <c r="AJ463" s="31" t="str">
        <f t="shared" si="262"/>
        <v>1+1.52501671633107i</v>
      </c>
      <c r="AK463" s="31">
        <f t="shared" si="277"/>
        <v>1.8236436014444266</v>
      </c>
      <c r="AL463" s="31">
        <f t="shared" si="278"/>
        <v>0.99040316588564792</v>
      </c>
      <c r="AM463" s="31" t="str">
        <f t="shared" si="263"/>
        <v>1+467.502346706382i</v>
      </c>
      <c r="AN463" s="31">
        <f t="shared" si="279"/>
        <v>467.50341621850663</v>
      </c>
      <c r="AO463" s="31">
        <f t="shared" si="280"/>
        <v>1.5686573033613156</v>
      </c>
      <c r="AP463" s="58" t="str">
        <f t="shared" si="281"/>
        <v>-0.177756524082602+0.27235031736581i</v>
      </c>
      <c r="AQ463" s="49">
        <f t="shared" si="282"/>
        <v>-9.7562896659586169</v>
      </c>
      <c r="AR463" s="61">
        <f t="shared" si="283"/>
        <v>123.13152156333342</v>
      </c>
      <c r="AS463" s="58" t="str">
        <f t="shared" si="284"/>
        <v>0.0000492944093538862-0.000260837534695993i</v>
      </c>
      <c r="AT463" s="64">
        <f t="shared" si="285"/>
        <v>-71.520194048850698</v>
      </c>
      <c r="AU463" s="61">
        <f t="shared" si="286"/>
        <v>-79.298166395052093</v>
      </c>
    </row>
    <row r="464" spans="14:47" x14ac:dyDescent="0.25">
      <c r="N464" s="10">
        <v>46</v>
      </c>
      <c r="O464" s="50">
        <f t="shared" si="287"/>
        <v>288403.1503126609</v>
      </c>
      <c r="P464" s="48" t="str">
        <f t="shared" si="255"/>
        <v>304.285714285714</v>
      </c>
      <c r="Q464" s="17" t="str">
        <f t="shared" si="256"/>
        <v>1+94358.1377338038i</v>
      </c>
      <c r="R464" s="17">
        <f t="shared" si="264"/>
        <v>94358.137739102764</v>
      </c>
      <c r="S464" s="17">
        <f t="shared" si="265"/>
        <v>1.5707857288748446</v>
      </c>
      <c r="T464" s="17" t="str">
        <f t="shared" si="257"/>
        <v>1+1.95705767151593i</v>
      </c>
      <c r="U464" s="17">
        <f t="shared" si="266"/>
        <v>2.1977430990994726</v>
      </c>
      <c r="V464" s="17">
        <f t="shared" si="267"/>
        <v>1.0984103727462942</v>
      </c>
      <c r="W464" s="31" t="str">
        <f t="shared" si="258"/>
        <v>1-6.11580522348727i</v>
      </c>
      <c r="X464" s="17">
        <f t="shared" si="268"/>
        <v>6.1970213434870614</v>
      </c>
      <c r="Y464" s="17">
        <f t="shared" si="269"/>
        <v>-1.4087198175008289</v>
      </c>
      <c r="Z464" s="31" t="str">
        <f t="shared" si="259"/>
        <v>-4.22253417023939+53.9502646899068i</v>
      </c>
      <c r="AA464" s="17">
        <f t="shared" si="270"/>
        <v>54.11525528841053</v>
      </c>
      <c r="AB464" s="17">
        <f t="shared" si="271"/>
        <v>1.6489042598171204</v>
      </c>
      <c r="AC464" s="66" t="str">
        <f t="shared" si="272"/>
        <v>-0.000751147484515337+0.000307364827504503i</v>
      </c>
      <c r="AD464" s="64">
        <f t="shared" si="273"/>
        <v>-61.813151843841048</v>
      </c>
      <c r="AE464" s="61">
        <f t="shared" si="274"/>
        <v>157.7459307799439</v>
      </c>
      <c r="AF464" s="31" t="str">
        <f t="shared" si="260"/>
        <v>-0.000495863624968664</v>
      </c>
      <c r="AG464" s="31" t="str">
        <f t="shared" si="261"/>
        <v>0.399964601163884i</v>
      </c>
      <c r="AH464" s="31">
        <f t="shared" si="275"/>
        <v>0.39996460116388399</v>
      </c>
      <c r="AI464" s="31">
        <f t="shared" si="276"/>
        <v>1.5707963267948966</v>
      </c>
      <c r="AJ464" s="31" t="str">
        <f t="shared" si="262"/>
        <v>1+1.56053891893259i</v>
      </c>
      <c r="AK464" s="31">
        <f t="shared" si="277"/>
        <v>1.8534512989294585</v>
      </c>
      <c r="AL464" s="31">
        <f t="shared" si="278"/>
        <v>1.000912779161911</v>
      </c>
      <c r="AM464" s="31" t="str">
        <f t="shared" si="263"/>
        <v>1+478.391875259448i</v>
      </c>
      <c r="AN464" s="31">
        <f t="shared" si="279"/>
        <v>478.39292042655819</v>
      </c>
      <c r="AO464" s="31">
        <f t="shared" si="280"/>
        <v>1.5687059933356187</v>
      </c>
      <c r="AP464" s="58" t="str">
        <f t="shared" si="281"/>
        <v>-0.172085043367007+0.269785176318768i</v>
      </c>
      <c r="AQ464" s="49">
        <f t="shared" si="282"/>
        <v>-9.8971147973996878</v>
      </c>
      <c r="AR464" s="61">
        <f t="shared" si="283"/>
        <v>122.53215480832108</v>
      </c>
      <c r="AS464" s="58" t="str">
        <f t="shared" si="284"/>
        <v>0.0000463387732653499-0.000255541346221974i</v>
      </c>
      <c r="AT464" s="64">
        <f t="shared" si="285"/>
        <v>-71.71026664124075</v>
      </c>
      <c r="AU464" s="61">
        <f t="shared" si="286"/>
        <v>-79.721914411734986</v>
      </c>
    </row>
    <row r="465" spans="14:47" x14ac:dyDescent="0.25">
      <c r="N465" s="10">
        <v>47</v>
      </c>
      <c r="O465" s="50">
        <f t="shared" si="287"/>
        <v>295120.92266663886</v>
      </c>
      <c r="P465" s="48" t="str">
        <f t="shared" si="255"/>
        <v>304.285714285714</v>
      </c>
      <c r="Q465" s="17" t="str">
        <f t="shared" si="256"/>
        <v>1+96556.0211076635i</v>
      </c>
      <c r="R465" s="17">
        <f t="shared" si="264"/>
        <v>96556.021112841845</v>
      </c>
      <c r="S465" s="17">
        <f t="shared" si="265"/>
        <v>1.570785970112957</v>
      </c>
      <c r="T465" s="17" t="str">
        <f t="shared" si="257"/>
        <v>1+2.00264340075154i</v>
      </c>
      <c r="U465" s="17">
        <f t="shared" si="266"/>
        <v>2.2384326191721056</v>
      </c>
      <c r="V465" s="17">
        <f t="shared" si="267"/>
        <v>1.1076768394803418</v>
      </c>
      <c r="W465" s="31" t="str">
        <f t="shared" si="258"/>
        <v>1-6.25826062734855i</v>
      </c>
      <c r="X465" s="17">
        <f t="shared" si="268"/>
        <v>6.337651464053625</v>
      </c>
      <c r="Y465" s="17">
        <f t="shared" si="269"/>
        <v>-1.4123469927304311</v>
      </c>
      <c r="Z465" s="31" t="str">
        <f t="shared" si="259"/>
        <v>-4.46866462282897+55.2069277888733i</v>
      </c>
      <c r="AA465" s="17">
        <f t="shared" si="270"/>
        <v>55.387488112363378</v>
      </c>
      <c r="AB465" s="17">
        <f t="shared" si="271"/>
        <v>1.6515641497695814</v>
      </c>
      <c r="AC465" s="66" t="str">
        <f t="shared" si="272"/>
        <v>-0.000747950573779289+0.000303458467222943i</v>
      </c>
      <c r="AD465" s="64">
        <f t="shared" si="273"/>
        <v>-61.86074179690182</v>
      </c>
      <c r="AE465" s="61">
        <f t="shared" si="274"/>
        <v>157.91662409242153</v>
      </c>
      <c r="AF465" s="31" t="str">
        <f t="shared" si="260"/>
        <v>-0.000495863624968664</v>
      </c>
      <c r="AG465" s="31" t="str">
        <f t="shared" si="261"/>
        <v>0.409280973531369i</v>
      </c>
      <c r="AH465" s="31">
        <f t="shared" si="275"/>
        <v>0.409280973531369</v>
      </c>
      <c r="AI465" s="31">
        <f t="shared" si="276"/>
        <v>1.5707963267948966</v>
      </c>
      <c r="AJ465" s="31" t="str">
        <f t="shared" si="262"/>
        <v>1+1.5968885399251i</v>
      </c>
      <c r="AK465" s="31">
        <f t="shared" si="277"/>
        <v>1.8841584352023368</v>
      </c>
      <c r="AL465" s="31">
        <f t="shared" si="278"/>
        <v>1.0113217821068758</v>
      </c>
      <c r="AM465" s="31" t="str">
        <f t="shared" si="263"/>
        <v>1+489.535053517042i</v>
      </c>
      <c r="AN465" s="31">
        <f t="shared" si="279"/>
        <v>489.53607489329443</v>
      </c>
      <c r="AO465" s="31">
        <f t="shared" si="280"/>
        <v>1.568753575000372</v>
      </c>
      <c r="AP465" s="58" t="str">
        <f t="shared" si="281"/>
        <v>-0.166521627098258+0.267128026158472i</v>
      </c>
      <c r="AQ465" s="49">
        <f t="shared" si="282"/>
        <v>-10.039840449935049</v>
      </c>
      <c r="AR465" s="61">
        <f t="shared" si="283"/>
        <v>121.93848909920801</v>
      </c>
      <c r="AS465" s="58" t="str">
        <f t="shared" si="284"/>
        <v>0.0000434876851644627-0.000250330958156466i</v>
      </c>
      <c r="AT465" s="64">
        <f t="shared" si="285"/>
        <v>-71.900582246836876</v>
      </c>
      <c r="AU465" s="61">
        <f t="shared" si="286"/>
        <v>-80.144886808370458</v>
      </c>
    </row>
    <row r="466" spans="14:47" x14ac:dyDescent="0.25">
      <c r="N466" s="10">
        <v>48</v>
      </c>
      <c r="O466" s="50">
        <f t="shared" si="287"/>
        <v>301995.17204020242</v>
      </c>
      <c r="P466" s="48" t="str">
        <f t="shared" si="255"/>
        <v>304.285714285714</v>
      </c>
      <c r="Q466" s="17" t="str">
        <f t="shared" si="256"/>
        <v>1+98805.0997619847i</v>
      </c>
      <c r="R466" s="17">
        <f t="shared" si="264"/>
        <v>98805.099767045191</v>
      </c>
      <c r="S466" s="17">
        <f t="shared" si="265"/>
        <v>1.5707862058598197</v>
      </c>
      <c r="T466" s="17" t="str">
        <f t="shared" si="257"/>
        <v>1+2.04929095802634i</v>
      </c>
      <c r="U466" s="17">
        <f t="shared" si="266"/>
        <v>2.2802617022281706</v>
      </c>
      <c r="V466" s="17">
        <f t="shared" si="267"/>
        <v>1.1168159984833488</v>
      </c>
      <c r="W466" s="31" t="str">
        <f t="shared" si="258"/>
        <v>1-6.40403424383233i</v>
      </c>
      <c r="X466" s="17">
        <f t="shared" si="268"/>
        <v>6.4816398076549362</v>
      </c>
      <c r="Y466" s="17">
        <f t="shared" si="269"/>
        <v>-1.4158956707375785</v>
      </c>
      <c r="Z466" s="31" t="str">
        <f t="shared" si="259"/>
        <v>-4.72639484628023+56.4928623317037i</v>
      </c>
      <c r="AA466" s="17">
        <f t="shared" si="270"/>
        <v>56.690231104413144</v>
      </c>
      <c r="AB466" s="17">
        <f t="shared" si="271"/>
        <v>1.6542655142265503</v>
      </c>
      <c r="AC466" s="66" t="str">
        <f t="shared" si="272"/>
        <v>-0.000744869974381034+0.000299705481302954i</v>
      </c>
      <c r="AD466" s="64">
        <f t="shared" si="273"/>
        <v>-61.906728774829922</v>
      </c>
      <c r="AE466" s="61">
        <f t="shared" si="274"/>
        <v>158.08214476932125</v>
      </c>
      <c r="AF466" s="31" t="str">
        <f t="shared" si="260"/>
        <v>-0.000495863624968664</v>
      </c>
      <c r="AG466" s="31" t="str">
        <f t="shared" si="261"/>
        <v>0.418814352088495i</v>
      </c>
      <c r="AH466" s="31">
        <f t="shared" si="275"/>
        <v>0.41881435208849499</v>
      </c>
      <c r="AI466" s="31">
        <f t="shared" si="276"/>
        <v>1.5707963267948966</v>
      </c>
      <c r="AJ466" s="31" t="str">
        <f t="shared" si="262"/>
        <v>1+1.6340848523588i</v>
      </c>
      <c r="AK466" s="31">
        <f t="shared" si="277"/>
        <v>1.9157852971323486</v>
      </c>
      <c r="AL466" s="31">
        <f t="shared" si="278"/>
        <v>1.0216266711151394</v>
      </c>
      <c r="AM466" s="31" t="str">
        <f t="shared" si="263"/>
        <v>1+500.937789739773i</v>
      </c>
      <c r="AN466" s="31">
        <f t="shared" si="279"/>
        <v>500.93878786671036</v>
      </c>
      <c r="AO466" s="31">
        <f t="shared" si="280"/>
        <v>1.5688000735831418</v>
      </c>
      <c r="AP466" s="58" t="str">
        <f t="shared" si="281"/>
        <v>-0.161068944193833+0.264384291884274i</v>
      </c>
      <c r="AQ466" s="49">
        <f t="shared" si="282"/>
        <v>-10.184429604307619</v>
      </c>
      <c r="AR466" s="61">
        <f t="shared" si="283"/>
        <v>121.35072662322969</v>
      </c>
      <c r="AS466" s="58" t="str">
        <f t="shared" si="284"/>
        <v>0.0000407379988871236-0.000245205166165158i</v>
      </c>
      <c r="AT466" s="64">
        <f t="shared" si="285"/>
        <v>-72.091158379137553</v>
      </c>
      <c r="AU466" s="61">
        <f t="shared" si="286"/>
        <v>-80.567128607449035</v>
      </c>
    </row>
    <row r="467" spans="14:47" x14ac:dyDescent="0.25">
      <c r="N467" s="10">
        <v>49</v>
      </c>
      <c r="O467" s="50">
        <f t="shared" si="287"/>
        <v>309029.54325135931</v>
      </c>
      <c r="P467" s="48" t="str">
        <f t="shared" ref="P467:P530" si="288">COMPLEX(Adc,0)</f>
        <v>304.285714285714</v>
      </c>
      <c r="Q467" s="17" t="str">
        <f t="shared" ref="Q467:Q530" si="289">IMSUM(COMPLEX(1,0),IMDIV(COMPLEX(0,2*PI()*O467),COMPLEX(wp_lf,0)))</f>
        <v>1+101106.56618804i</v>
      </c>
      <c r="R467" s="17">
        <f t="shared" si="264"/>
        <v>101106.56619298528</v>
      </c>
      <c r="S467" s="17">
        <f t="shared" si="265"/>
        <v>1.5707864362404285</v>
      </c>
      <c r="T467" s="17" t="str">
        <f t="shared" ref="T467:T530" si="290">IMSUM(COMPLEX(1,0),IMDIV(COMPLEX(0,2*PI()*O467),COMPLEX(wz_esr,0)))</f>
        <v>1+2.09702507649267i</v>
      </c>
      <c r="U467" s="17">
        <f t="shared" si="266"/>
        <v>2.3232550810100658</v>
      </c>
      <c r="V467" s="17">
        <f t="shared" si="267"/>
        <v>1.1258265877719797</v>
      </c>
      <c r="W467" s="31" t="str">
        <f t="shared" ref="W467:W530" si="291">IMSUB(COMPLEX(1,0),IMDIV(COMPLEX(0,2*PI()*O467),COMPLEX(wz_rhp,0)))</f>
        <v>1-6.5532033640396i</v>
      </c>
      <c r="X467" s="17">
        <f t="shared" si="268"/>
        <v>6.6290628546167767</v>
      </c>
      <c r="Y467" s="17">
        <f t="shared" si="269"/>
        <v>-1.4193673753841631</v>
      </c>
      <c r="Z467" s="31" t="str">
        <f t="shared" ref="Z467:Z530" si="292">IMSUM(COMPLEX(1,0),IMDIV(COMPLEX(0,2*PI()*O467),COMPLEX(Q*(wsl/2),0)),IMDIV(IMPOWER(COMPLEX(0,2*PI()*O467),2),IMPOWER(COMPLEX(wsl/2,0),2)))</f>
        <v>-4.99627152095156+57.8087501379138i</v>
      </c>
      <c r="AA467" s="17">
        <f t="shared" si="270"/>
        <v>58.024256321118159</v>
      </c>
      <c r="AB467" s="17">
        <f t="shared" si="271"/>
        <v>1.6570096889956818</v>
      </c>
      <c r="AC467" s="66" t="str">
        <f t="shared" si="272"/>
        <v>-0.000741899202968891+0.000296103999974269i</v>
      </c>
      <c r="AD467" s="64">
        <f t="shared" si="273"/>
        <v>-61.951166960600482</v>
      </c>
      <c r="AE467" s="61">
        <f t="shared" si="274"/>
        <v>158.24225665016615</v>
      </c>
      <c r="AF467" s="31" t="str">
        <f t="shared" ref="AF467:AF530" si="293">COMPLEX(Adc_ea,0)</f>
        <v>-0.000495863624968664</v>
      </c>
      <c r="AG467" s="31" t="str">
        <f t="shared" ref="AG467:AG530" si="294">COMPLEX(0,2*PI()*O467*wp0_ea)</f>
        <v>0.428569791558761i</v>
      </c>
      <c r="AH467" s="31">
        <f t="shared" si="275"/>
        <v>0.42856979155876102</v>
      </c>
      <c r="AI467" s="31">
        <f t="shared" si="276"/>
        <v>1.5707963267948966</v>
      </c>
      <c r="AJ467" s="31" t="str">
        <f t="shared" ref="AJ467:AJ530" si="295">IMSUM(COMPLEX(1,0),IMDIV(COMPLEX(0,2*PI()*O467),COMPLEX(wp1_ea,0)))</f>
        <v>1+1.67214757821089i</v>
      </c>
      <c r="AK467" s="31">
        <f t="shared" si="277"/>
        <v>1.9483525151564705</v>
      </c>
      <c r="AL467" s="31">
        <f t="shared" si="278"/>
        <v>1.0318241553254124</v>
      </c>
      <c r="AM467" s="31" t="str">
        <f t="shared" ref="AM467:AM530" si="296">IMSUM(COMPLEX(1,0),IMDIV(COMPLEX(0,2*PI()*O467),COMPLEX(wz_ea,0)))</f>
        <v>1+512.606129809319i</v>
      </c>
      <c r="AN467" s="31">
        <f t="shared" si="279"/>
        <v>512.60710521615715</v>
      </c>
      <c r="AO467" s="31">
        <f t="shared" si="280"/>
        <v>1.5688455137372874</v>
      </c>
      <c r="AP467" s="58" t="str">
        <f t="shared" si="281"/>
        <v>-0.155729328419499+0.261559438917463i</v>
      </c>
      <c r="AQ467" s="49">
        <f t="shared" si="282"/>
        <v>-10.330844395040273</v>
      </c>
      <c r="AR467" s="61">
        <f t="shared" si="283"/>
        <v>120.76905734538282</v>
      </c>
      <c r="AS467" s="58" t="str">
        <f t="shared" si="284"/>
        <v>0.0000380866685388207-0.000240162816320176i</v>
      </c>
      <c r="AT467" s="64">
        <f t="shared" si="285"/>
        <v>-72.282011355640762</v>
      </c>
      <c r="AU467" s="61">
        <f t="shared" si="286"/>
        <v>-80.988686004451012</v>
      </c>
    </row>
    <row r="468" spans="14:47" x14ac:dyDescent="0.25">
      <c r="N468" s="10">
        <v>50</v>
      </c>
      <c r="O468" s="50">
        <f t="shared" si="287"/>
        <v>316227.7660168382</v>
      </c>
      <c r="P468" s="48" t="str">
        <f t="shared" si="288"/>
        <v>304.285714285714</v>
      </c>
      <c r="Q468" s="17" t="str">
        <f t="shared" si="289"/>
        <v>1+103461.640653791i</v>
      </c>
      <c r="R468" s="17">
        <f t="shared" ref="R468:R531" si="297">IMABS(Q468)</f>
        <v>103461.64065862371</v>
      </c>
      <c r="S468" s="17">
        <f t="shared" ref="S468:S531" si="298">IMARGUMENT(Q468)</f>
        <v>1.5707866613769346</v>
      </c>
      <c r="T468" s="17" t="str">
        <f t="shared" si="290"/>
        <v>1+2.14587106541196i</v>
      </c>
      <c r="U468" s="17">
        <f t="shared" ref="U468:U531" si="299">IMABS(T468)</f>
        <v>2.3674379884956349</v>
      </c>
      <c r="V468" s="17">
        <f t="shared" ref="V468:V531" si="300">IMARGUMENT(T468)</f>
        <v>1.1347075312848038</v>
      </c>
      <c r="W468" s="31" t="str">
        <f t="shared" si="291"/>
        <v>1-6.70584707941237i</v>
      </c>
      <c r="X468" s="17">
        <f t="shared" ref="X468:X531" si="301">IMABS(W468)</f>
        <v>6.7799988976742043</v>
      </c>
      <c r="Y468" s="17">
        <f t="shared" ref="Y468:Y531" si="302">IMARGUMENT(W468)</f>
        <v>-1.422763612493581</v>
      </c>
      <c r="Z468" s="31" t="str">
        <f t="shared" si="292"/>
        <v>-5.27886709145294+59.1552889086362i</v>
      </c>
      <c r="AA468" s="17">
        <f t="shared" ref="AA468:AA531" si="303">IMABS(Z468)</f>
        <v>59.390358170610845</v>
      </c>
      <c r="AB468" s="17">
        <f t="shared" ref="AB468:AB531" si="304">IMARGUMENT(Z468)</f>
        <v>1.659798025905121</v>
      </c>
      <c r="AC468" s="66" t="str">
        <f t="shared" ref="AC468:AC531" si="305">(IMDIV(IMPRODUCT(P468,T468,W468),IMPRODUCT(Q468,Z468)))</f>
        <v>-0.000739032011900595+0.000292652199261276i</v>
      </c>
      <c r="AD468" s="64">
        <f t="shared" ref="AD468:AD531" si="306">20*LOG(IMABS(AC468))</f>
        <v>-61.994110132605286</v>
      </c>
      <c r="AE468" s="61">
        <f t="shared" ref="AE468:AE531" si="307">(180/PI())*IMARGUMENT(AC468)</f>
        <v>158.3967343428067</v>
      </c>
      <c r="AF468" s="31" t="str">
        <f t="shared" si="293"/>
        <v>-0.000495863624968664</v>
      </c>
      <c r="AG468" s="31" t="str">
        <f t="shared" si="294"/>
        <v>0.438552464405303i</v>
      </c>
      <c r="AH468" s="31">
        <f t="shared" ref="AH468:AH531" si="308">IMABS(AG468)</f>
        <v>0.43855246440530299</v>
      </c>
      <c r="AI468" s="31">
        <f t="shared" ref="AI468:AI531" si="309">IMARGUMENT(AG468)</f>
        <v>1.5707963267948966</v>
      </c>
      <c r="AJ468" s="31" t="str">
        <f t="shared" si="295"/>
        <v>1+1.71109689884244i</v>
      </c>
      <c r="AK468" s="31">
        <f t="shared" ref="AK468:AK531" si="310">IMABS(AJ468)</f>
        <v>1.9818810754503449</v>
      </c>
      <c r="AL468" s="31">
        <f t="shared" ref="AL468:AL531" si="311">IMARGUMENT(AJ468)</f>
        <v>1.0419111577337201</v>
      </c>
      <c r="AM468" s="31" t="str">
        <f t="shared" si="296"/>
        <v>1+524.546260434034i</v>
      </c>
      <c r="AN468" s="31">
        <f t="shared" ref="AN468:AN531" si="312">IMABS(AM468)</f>
        <v>524.5472136379426</v>
      </c>
      <c r="AO468" s="31">
        <f t="shared" ref="AO468:AO531" si="313">IMARGUMENT(AM468)</f>
        <v>1.5688899195550292</v>
      </c>
      <c r="AP468" s="58" t="str">
        <f t="shared" ref="AP468:AP531" si="314">IMPRODUCT(AF468,IMDIV(AM468,IMPRODUCT(AG468,AJ468)))</f>
        <v>-0.150504783135601+0.258658950248432i</v>
      </c>
      <c r="AQ468" s="49">
        <f t="shared" ref="AQ468:AQ531" si="315">20*LOG(IMABS(AP468))</f>
        <v>-10.479046223073071</v>
      </c>
      <c r="AR468" s="61">
        <f t="shared" ref="AR468:AR531" si="316">(180/PI())*IMARGUMENT(AP468)</f>
        <v>120.19365894539087</v>
      </c>
      <c r="AS468" s="58" t="str">
        <f t="shared" ref="AS468:AS531" si="317">IMPRODUCT(AC468,AP468)</f>
        <v>0.0000355307420325494-0.00023520280018217i</v>
      </c>
      <c r="AT468" s="64">
        <f t="shared" ref="AT468:AT531" si="318">20*LOG(IMABS(AS468))</f>
        <v>-72.473156355678341</v>
      </c>
      <c r="AU468" s="61">
        <f t="shared" ref="AU468:AU531" si="319">(180/PI())*IMARGUMENT(AS468)</f>
        <v>-81.409606711802425</v>
      </c>
    </row>
    <row r="469" spans="14:47" x14ac:dyDescent="0.25">
      <c r="N469" s="10">
        <v>51</v>
      </c>
      <c r="O469" s="50">
        <f t="shared" si="287"/>
        <v>323593.65692962846</v>
      </c>
      <c r="P469" s="48" t="str">
        <f t="shared" si="288"/>
        <v>304.285714285714</v>
      </c>
      <c r="Q469" s="17" t="str">
        <f t="shared" si="289"/>
        <v>1+105871.571850894i</v>
      </c>
      <c r="R469" s="17">
        <f t="shared" si="297"/>
        <v>105871.57185561671</v>
      </c>
      <c r="S469" s="17">
        <f t="shared" si="298"/>
        <v>1.5707868813887078</v>
      </c>
      <c r="T469" s="17" t="str">
        <f t="shared" si="290"/>
        <v>1+2.19585482357409i</v>
      </c>
      <c r="U469" s="17">
        <f t="shared" si="299"/>
        <v>2.4128361747565039</v>
      </c>
      <c r="V469" s="17">
        <f t="shared" si="300"/>
        <v>1.1434579332048589</v>
      </c>
      <c r="W469" s="31" t="str">
        <f t="shared" si="291"/>
        <v>1-6.86204632366904i</v>
      </c>
      <c r="X469" s="17">
        <f t="shared" si="301"/>
        <v>6.9345280840284866</v>
      </c>
      <c r="Y469" s="17">
        <f t="shared" si="302"/>
        <v>-1.4260858692445708</v>
      </c>
      <c r="Z469" s="31" t="str">
        <f t="shared" si="292"/>
        <v>-5.57478098087769+60.5331925965507i</v>
      </c>
      <c r="AA469" s="17">
        <f t="shared" si="303"/>
        <v>60.789354239997117</v>
      </c>
      <c r="AB469" s="17">
        <f t="shared" si="304"/>
        <v>1.6626318930548301</v>
      </c>
      <c r="AC469" s="66" t="str">
        <f t="shared" si="305"/>
        <v>-0.000736262376428365+0.00028934830051242i</v>
      </c>
      <c r="AD469" s="64">
        <f t="shared" si="306"/>
        <v>-62.035611614715123</v>
      </c>
      <c r="AE469" s="61">
        <f t="shared" si="307"/>
        <v>158.54536291845332</v>
      </c>
      <c r="AF469" s="31" t="str">
        <f t="shared" si="293"/>
        <v>-0.000495863624968664</v>
      </c>
      <c r="AG469" s="31" t="str">
        <f t="shared" si="294"/>
        <v>0.448767663573402i</v>
      </c>
      <c r="AH469" s="31">
        <f t="shared" si="308"/>
        <v>0.44876766357340198</v>
      </c>
      <c r="AI469" s="31">
        <f t="shared" si="309"/>
        <v>1.5707963267948966</v>
      </c>
      <c r="AJ469" s="31" t="str">
        <f t="shared" si="295"/>
        <v>1+1.7509534656988i</v>
      </c>
      <c r="AK469" s="31">
        <f t="shared" si="310"/>
        <v>2.0163923326184907</v>
      </c>
      <c r="AL469" s="31">
        <f t="shared" si="311"/>
        <v>1.0518848154360405</v>
      </c>
      <c r="AM469" s="31" t="str">
        <f t="shared" si="296"/>
        <v>1+536.764512429222i</v>
      </c>
      <c r="AN469" s="31">
        <f t="shared" si="312"/>
        <v>536.7654439355988</v>
      </c>
      <c r="AO469" s="31">
        <f t="shared" si="313"/>
        <v>1.5689333145802182</v>
      </c>
      <c r="AP469" s="58" t="str">
        <f t="shared" si="314"/>
        <v>-0.145396987695466+0.255688304594316i</v>
      </c>
      <c r="AQ469" s="49">
        <f t="shared" si="315"/>
        <v>-10.628995866510689</v>
      </c>
      <c r="AR469" s="61">
        <f t="shared" si="316"/>
        <v>119.62469680453498</v>
      </c>
      <c r="AS469" s="58" t="str">
        <f t="shared" si="317"/>
        <v>0.0000330673552909222-0.000230324050054859i</v>
      </c>
      <c r="AT469" s="64">
        <f t="shared" si="318"/>
        <v>-72.664607481225815</v>
      </c>
      <c r="AU469" s="61">
        <f t="shared" si="319"/>
        <v>-81.829940277011715</v>
      </c>
    </row>
    <row r="470" spans="14:47" x14ac:dyDescent="0.25">
      <c r="N470" s="10">
        <v>52</v>
      </c>
      <c r="O470" s="50">
        <f t="shared" si="287"/>
        <v>331131.12148259126</v>
      </c>
      <c r="P470" s="48" t="str">
        <f t="shared" si="288"/>
        <v>304.285714285714</v>
      </c>
      <c r="Q470" s="17" t="str">
        <f t="shared" si="289"/>
        <v>1+108337.637556768i</v>
      </c>
      <c r="R470" s="17">
        <f t="shared" si="297"/>
        <v>108337.63756138319</v>
      </c>
      <c r="S470" s="17">
        <f t="shared" si="298"/>
        <v>1.570787096392402</v>
      </c>
      <c r="T470" s="17" t="str">
        <f t="shared" si="290"/>
        <v>1+2.24700285302927i</v>
      </c>
      <c r="U470" s="17">
        <f t="shared" si="299"/>
        <v>2.4594759241597952</v>
      </c>
      <c r="V470" s="17">
        <f t="shared" si="300"/>
        <v>1.1520770719712419</v>
      </c>
      <c r="W470" s="31" t="str">
        <f t="shared" si="291"/>
        <v>1-7.02188391571646i</v>
      </c>
      <c r="X470" s="17">
        <f t="shared" si="301"/>
        <v>7.0927324583546447</v>
      </c>
      <c r="Y470" s="17">
        <f t="shared" si="302"/>
        <v>-1.4293356136369642</v>
      </c>
      <c r="Z470" s="31" t="str">
        <f t="shared" si="292"/>
        <v>-5.88464086225917+61.9431917844318i</v>
      </c>
      <c r="AA470" s="17">
        <f t="shared" si="303"/>
        <v>62.222086163360594</v>
      </c>
      <c r="AB470" s="17">
        <f t="shared" si="304"/>
        <v>1.6655126750456684</v>
      </c>
      <c r="AC470" s="66" t="str">
        <f t="shared" si="305"/>
        <v>-0.000733584482381081+0.000286190569802405i</v>
      </c>
      <c r="AD470" s="64">
        <f t="shared" si="306"/>
        <v>-62.075724231254945</v>
      </c>
      <c r="AE470" s="61">
        <f t="shared" si="307"/>
        <v>158.68793758604767</v>
      </c>
      <c r="AF470" s="31" t="str">
        <f t="shared" si="293"/>
        <v>-0.000495863624968664</v>
      </c>
      <c r="AG470" s="31" t="str">
        <f t="shared" si="294"/>
        <v>0.459220805296869i</v>
      </c>
      <c r="AH470" s="31">
        <f t="shared" si="308"/>
        <v>0.45922080529686898</v>
      </c>
      <c r="AI470" s="31">
        <f t="shared" si="309"/>
        <v>1.5707963267948966</v>
      </c>
      <c r="AJ470" s="31" t="str">
        <f t="shared" si="295"/>
        <v>1+1.79173841125929i</v>
      </c>
      <c r="AK470" s="31">
        <f t="shared" si="310"/>
        <v>2.0519080228855202</v>
      </c>
      <c r="AL470" s="31">
        <f t="shared" si="311"/>
        <v>1.0617424790420593</v>
      </c>
      <c r="AM470" s="31" t="str">
        <f t="shared" si="296"/>
        <v>1+549.26736407382i</v>
      </c>
      <c r="AN470" s="31">
        <f t="shared" si="312"/>
        <v>549.26827437655845</v>
      </c>
      <c r="AO470" s="31">
        <f t="shared" si="313"/>
        <v>1.5689757218208173</v>
      </c>
      <c r="AP470" s="58" t="str">
        <f t="shared" si="314"/>
        <v>-0.140407305349588+0.252652955682177i</v>
      </c>
      <c r="AQ470" s="49">
        <f t="shared" si="315"/>
        <v>-10.780653588946434</v>
      </c>
      <c r="AR470" s="61">
        <f t="shared" si="316"/>
        <v>119.06232403995746</v>
      </c>
      <c r="AS470" s="58" t="str">
        <f t="shared" si="317"/>
        <v>0.0000306937270684559-0.000225525534438579i</v>
      </c>
      <c r="AT470" s="64">
        <f t="shared" si="318"/>
        <v>-72.856377820201374</v>
      </c>
      <c r="AU470" s="61">
        <f t="shared" si="319"/>
        <v>-82.249738373994859</v>
      </c>
    </row>
    <row r="471" spans="14:47" x14ac:dyDescent="0.25">
      <c r="N471" s="10">
        <v>53</v>
      </c>
      <c r="O471" s="50">
        <f t="shared" si="287"/>
        <v>338844.15613920329</v>
      </c>
      <c r="P471" s="48" t="str">
        <f t="shared" si="288"/>
        <v>304.285714285714</v>
      </c>
      <c r="Q471" s="17" t="str">
        <f t="shared" si="289"/>
        <v>1+110861.145312093i</v>
      </c>
      <c r="R471" s="17">
        <f t="shared" si="297"/>
        <v>110861.14531660314</v>
      </c>
      <c r="S471" s="17">
        <f t="shared" si="298"/>
        <v>1.5707873065020144</v>
      </c>
      <c r="T471" s="17" t="str">
        <f t="shared" si="290"/>
        <v>1+2.29934227313971i</v>
      </c>
      <c r="U471" s="17">
        <f t="shared" si="299"/>
        <v>2.5073840729029304</v>
      </c>
      <c r="V471" s="17">
        <f t="shared" si="300"/>
        <v>1.1605643940305035</v>
      </c>
      <c r="W471" s="31" t="str">
        <f t="shared" si="291"/>
        <v>1-7.1854446035616i</v>
      </c>
      <c r="X471" s="17">
        <f t="shared" si="301"/>
        <v>7.2546960067843314</v>
      </c>
      <c r="Y471" s="17">
        <f t="shared" si="302"/>
        <v>-1.432514294024819</v>
      </c>
      <c r="Z471" s="31" t="str">
        <f t="shared" si="292"/>
        <v>-6.20910398994935+63.3860340725119i</v>
      </c>
      <c r="AA471" s="17">
        <f t="shared" si="303"/>
        <v>63.689420532767009</v>
      </c>
      <c r="AB471" s="17">
        <f t="shared" si="304"/>
        <v>1.6684417731843613</v>
      </c>
      <c r="AC471" s="66" t="str">
        <f t="shared" si="305"/>
        <v>-0.000730992714320912+0.000283177317209766i</v>
      </c>
      <c r="AD471" s="64">
        <f t="shared" si="306"/>
        <v>-62.114500266902333</v>
      </c>
      <c r="AE471" s="61">
        <f t="shared" si="307"/>
        <v>158.82426334924574</v>
      </c>
      <c r="AF471" s="31" t="str">
        <f t="shared" si="293"/>
        <v>-0.000495863624968664</v>
      </c>
      <c r="AG471" s="31" t="str">
        <f t="shared" si="294"/>
        <v>0.469917431969812i</v>
      </c>
      <c r="AH471" s="31">
        <f t="shared" si="308"/>
        <v>0.46991743196981201</v>
      </c>
      <c r="AI471" s="31">
        <f t="shared" si="309"/>
        <v>1.5707963267948966</v>
      </c>
      <c r="AJ471" s="31" t="str">
        <f t="shared" si="295"/>
        <v>1+1.83347336024188i</v>
      </c>
      <c r="AK471" s="31">
        <f t="shared" si="310"/>
        <v>2.0884502777697751</v>
      </c>
      <c r="AL471" s="31">
        <f t="shared" si="311"/>
        <v>1.0714817113057711</v>
      </c>
      <c r="AM471" s="31" t="str">
        <f t="shared" si="296"/>
        <v>1+562.061444545262i</v>
      </c>
      <c r="AN471" s="31">
        <f t="shared" si="312"/>
        <v>562.06233412701351</v>
      </c>
      <c r="AO471" s="31">
        <f t="shared" si="313"/>
        <v>1.5690171637610961</v>
      </c>
      <c r="AP471" s="58" t="str">
        <f t="shared" si="314"/>
        <v>-0.13553679250335+0.249558312753353i</v>
      </c>
      <c r="AQ471" s="49">
        <f t="shared" si="315"/>
        <v>-10.933979244878477</v>
      </c>
      <c r="AR471" s="61">
        <f t="shared" si="316"/>
        <v>118.50668158382204</v>
      </c>
      <c r="AS471" s="58" t="str">
        <f t="shared" si="317"/>
        <v>0.0000284071543494838-0.000220806253705236i</v>
      </c>
      <c r="AT471" s="64">
        <f t="shared" si="318"/>
        <v>-73.048479511780812</v>
      </c>
      <c r="AU471" s="61">
        <f t="shared" si="319"/>
        <v>-82.669055066932202</v>
      </c>
    </row>
    <row r="472" spans="14:47" x14ac:dyDescent="0.25">
      <c r="N472" s="10">
        <v>54</v>
      </c>
      <c r="O472" s="50">
        <f t="shared" si="287"/>
        <v>346736.85045253241</v>
      </c>
      <c r="P472" s="48" t="str">
        <f t="shared" si="288"/>
        <v>304.285714285714</v>
      </c>
      <c r="Q472" s="17" t="str">
        <f t="shared" si="289"/>
        <v>1+113443.433114084i</v>
      </c>
      <c r="R472" s="17">
        <f t="shared" si="297"/>
        <v>113443.43311849148</v>
      </c>
      <c r="S472" s="17">
        <f t="shared" si="298"/>
        <v>1.5707875118289483</v>
      </c>
      <c r="T472" s="17" t="str">
        <f t="shared" si="290"/>
        <v>1+2.35290083495877i</v>
      </c>
      <c r="U472" s="17">
        <f t="shared" si="299"/>
        <v>2.5565880268728631</v>
      </c>
      <c r="V472" s="17">
        <f t="shared" si="300"/>
        <v>1.1689195073765541</v>
      </c>
      <c r="W472" s="31" t="str">
        <f t="shared" si="291"/>
        <v>1-7.35281510924615i</v>
      </c>
      <c r="X472" s="17">
        <f t="shared" si="301"/>
        <v>7.420504701889115</v>
      </c>
      <c r="Y472" s="17">
        <f t="shared" si="302"/>
        <v>-1.4356233387126096</v>
      </c>
      <c r="Z472" s="31" t="str">
        <f t="shared" si="292"/>
        <v>-6.54885859374362+64.8624844748706i</v>
      </c>
      <c r="AA472" s="17">
        <f t="shared" si="303"/>
        <v>65.192249854823075</v>
      </c>
      <c r="AB472" s="17">
        <f t="shared" si="304"/>
        <v>1.6714206056623639</v>
      </c>
      <c r="AC472" s="66" t="str">
        <f t="shared" si="305"/>
        <v>-0.000728481644153049+0.000280306895971711i</v>
      </c>
      <c r="AD472" s="64">
        <f t="shared" si="306"/>
        <v>-62.15199143148547</v>
      </c>
      <c r="AE472" s="61">
        <f t="shared" si="307"/>
        <v>158.95415464916715</v>
      </c>
      <c r="AF472" s="31" t="str">
        <f t="shared" si="293"/>
        <v>-0.000495863624968664</v>
      </c>
      <c r="AG472" s="31" t="str">
        <f t="shared" si="294"/>
        <v>0.480863215085276i</v>
      </c>
      <c r="AH472" s="31">
        <f t="shared" si="308"/>
        <v>0.48086321508527602</v>
      </c>
      <c r="AI472" s="31">
        <f t="shared" si="309"/>
        <v>1.5707963267948966</v>
      </c>
      <c r="AJ472" s="31" t="str">
        <f t="shared" si="295"/>
        <v>1+1.87618044106896i</v>
      </c>
      <c r="AK472" s="31">
        <f t="shared" si="310"/>
        <v>2.126041638221067</v>
      </c>
      <c r="AL472" s="31">
        <f t="shared" si="311"/>
        <v>1.0811002850220763</v>
      </c>
      <c r="AM472" s="31" t="str">
        <f t="shared" si="296"/>
        <v>1+575.153537434365i</v>
      </c>
      <c r="AN472" s="31">
        <f t="shared" si="312"/>
        <v>575.15440676679475</v>
      </c>
      <c r="AO472" s="31">
        <f t="shared" si="313"/>
        <v>1.5690576623735506</v>
      </c>
      <c r="AP472" s="58" t="str">
        <f t="shared" si="314"/>
        <v>-0.130786209172475+0.246409722365328i</v>
      </c>
      <c r="AQ472" s="49">
        <f t="shared" si="315"/>
        <v>-11.088932381786874</v>
      </c>
      <c r="AR472" s="61">
        <f t="shared" si="316"/>
        <v>117.95789830451199</v>
      </c>
      <c r="AS472" s="58" t="str">
        <f t="shared" si="317"/>
        <v>0.000026205008277033-0.000216165236013034i</v>
      </c>
      <c r="AT472" s="64">
        <f t="shared" si="318"/>
        <v>-73.240923813272346</v>
      </c>
      <c r="AU472" s="61">
        <f t="shared" si="319"/>
        <v>-83.087947046320878</v>
      </c>
    </row>
    <row r="473" spans="14:47" x14ac:dyDescent="0.25">
      <c r="N473" s="10">
        <v>55</v>
      </c>
      <c r="O473" s="50">
        <f t="shared" si="287"/>
        <v>354813.38923357555</v>
      </c>
      <c r="P473" s="48" t="str">
        <f t="shared" si="288"/>
        <v>304.285714285714</v>
      </c>
      <c r="Q473" s="17" t="str">
        <f t="shared" si="289"/>
        <v>1+116085.870125912i</v>
      </c>
      <c r="R473" s="17">
        <f t="shared" si="297"/>
        <v>116085.87013021916</v>
      </c>
      <c r="S473" s="17">
        <f t="shared" si="298"/>
        <v>1.5707877124820704</v>
      </c>
      <c r="T473" s="17" t="str">
        <f t="shared" si="290"/>
        <v>1+2.40770693594483i</v>
      </c>
      <c r="U473" s="17">
        <f t="shared" si="299"/>
        <v>2.6071157798219935</v>
      </c>
      <c r="V473" s="17">
        <f t="shared" si="300"/>
        <v>1.1771421749253346</v>
      </c>
      <c r="W473" s="31" t="str">
        <f t="shared" si="291"/>
        <v>1-7.5240841748276i</v>
      </c>
      <c r="X473" s="17">
        <f t="shared" si="301"/>
        <v>7.5902465486893851</v>
      </c>
      <c r="Y473" s="17">
        <f t="shared" si="302"/>
        <v>-1.438664155610331</v>
      </c>
      <c r="Z473" s="31" t="str">
        <f t="shared" si="292"/>
        <v>-6.90462533870822+66.3733258250539i</v>
      </c>
      <c r="AA473" s="17">
        <f t="shared" si="303"/>
        <v>66.731493555492207</v>
      </c>
      <c r="AB473" s="17">
        <f t="shared" si="304"/>
        <v>1.6744506077064931</v>
      </c>
      <c r="AC473" s="66" t="str">
        <f t="shared" si="305"/>
        <v>-0.000726046020168211+0.000277577701517591i</v>
      </c>
      <c r="AD473" s="64">
        <f t="shared" si="306"/>
        <v>-62.1882488296269</v>
      </c>
      <c r="AE473" s="61">
        <f t="shared" si="307"/>
        <v>159.07743499591828</v>
      </c>
      <c r="AF473" s="31" t="str">
        <f t="shared" si="293"/>
        <v>-0.000495863624968664</v>
      </c>
      <c r="AG473" s="31" t="str">
        <f t="shared" si="294"/>
        <v>0.492063958242355i</v>
      </c>
      <c r="AH473" s="31">
        <f t="shared" si="308"/>
        <v>0.49206395824235499</v>
      </c>
      <c r="AI473" s="31">
        <f t="shared" si="309"/>
        <v>1.5707963267948966</v>
      </c>
      <c r="AJ473" s="31" t="str">
        <f t="shared" si="295"/>
        <v>1+1.91988229760007i</v>
      </c>
      <c r="AK473" s="31">
        <f t="shared" si="310"/>
        <v>2.1647050692041456</v>
      </c>
      <c r="AL473" s="31">
        <f t="shared" si="311"/>
        <v>1.0905961802410347</v>
      </c>
      <c r="AM473" s="31" t="str">
        <f t="shared" si="296"/>
        <v>1+588.550584342069i</v>
      </c>
      <c r="AN473" s="31">
        <f t="shared" si="312"/>
        <v>588.55143388610554</v>
      </c>
      <c r="AO473" s="31">
        <f t="shared" si="313"/>
        <v>1.5690972391305491</v>
      </c>
      <c r="AP473" s="58" t="str">
        <f t="shared" si="314"/>
        <v>-0.12615603047928+0.243212451548695i</v>
      </c>
      <c r="AQ473" s="49">
        <f t="shared" si="315"/>
        <v>-11.245472338492903</v>
      </c>
      <c r="AR473" s="61">
        <f t="shared" si="316"/>
        <v>117.41609116691014</v>
      </c>
      <c r="AS473" s="58" t="str">
        <f t="shared" si="317"/>
        <v>0.0000240847305683555-0.000211601533475306i</v>
      </c>
      <c r="AT473" s="64">
        <f t="shared" si="318"/>
        <v>-73.433721168119789</v>
      </c>
      <c r="AU473" s="61">
        <f t="shared" si="319"/>
        <v>-83.506473837171626</v>
      </c>
    </row>
    <row r="474" spans="14:47" x14ac:dyDescent="0.25">
      <c r="N474" s="10">
        <v>56</v>
      </c>
      <c r="O474" s="50">
        <f t="shared" si="287"/>
        <v>363078.05477010203</v>
      </c>
      <c r="P474" s="48" t="str">
        <f t="shared" si="288"/>
        <v>304.285714285714</v>
      </c>
      <c r="Q474" s="17" t="str">
        <f t="shared" si="289"/>
        <v>1+118789.85740266i</v>
      </c>
      <c r="R474" s="17">
        <f t="shared" si="297"/>
        <v>118789.85740686912</v>
      </c>
      <c r="S474" s="17">
        <f t="shared" si="298"/>
        <v>1.5707879085677698</v>
      </c>
      <c r="T474" s="17" t="str">
        <f t="shared" si="290"/>
        <v>1+2.46378963501812i</v>
      </c>
      <c r="U474" s="17">
        <f t="shared" si="299"/>
        <v>2.658995931855241</v>
      </c>
      <c r="V474" s="17">
        <f t="shared" si="300"/>
        <v>1.1852323077680578</v>
      </c>
      <c r="W474" s="31" t="str">
        <f t="shared" si="291"/>
        <v>1-7.69934260943163i</v>
      </c>
      <c r="X474" s="17">
        <f t="shared" si="301"/>
        <v>7.7640116317152348</v>
      </c>
      <c r="Y474" s="17">
        <f t="shared" si="302"/>
        <v>-1.4416381319435885</v>
      </c>
      <c r="Z474" s="31" t="str">
        <f t="shared" si="292"/>
        <v>-7.27715885380795+67.9193591911451i</v>
      </c>
      <c r="AA474" s="17">
        <f t="shared" si="303"/>
        <v>68.308099036053875</v>
      </c>
      <c r="AB474" s="17">
        <f t="shared" si="304"/>
        <v>1.677533231699075</v>
      </c>
      <c r="AC474" s="66" t="str">
        <f t="shared" si="305"/>
        <v>-0.000723680756498825+0.000274988170381699i</v>
      </c>
      <c r="AD474" s="64">
        <f t="shared" si="306"/>
        <v>-62.223322935151813</v>
      </c>
      <c r="AE474" s="61">
        <f t="shared" si="307"/>
        <v>159.19393659175535</v>
      </c>
      <c r="AF474" s="31" t="str">
        <f t="shared" si="293"/>
        <v>-0.000495863624968664</v>
      </c>
      <c r="AG474" s="31" t="str">
        <f t="shared" si="294"/>
        <v>0.503525600223332i</v>
      </c>
      <c r="AH474" s="31">
        <f t="shared" si="308"/>
        <v>0.50352560022333204</v>
      </c>
      <c r="AI474" s="31">
        <f t="shared" si="309"/>
        <v>1.5707963267948966</v>
      </c>
      <c r="AJ474" s="31" t="str">
        <f t="shared" si="295"/>
        <v>1+1.96460210113804i</v>
      </c>
      <c r="AK474" s="31">
        <f t="shared" si="310"/>
        <v>2.2044639747104058</v>
      </c>
      <c r="AL474" s="31">
        <f t="shared" si="311"/>
        <v>1.0999675808534353</v>
      </c>
      <c r="AM474" s="31" t="str">
        <f t="shared" si="296"/>
        <v>1+602.259688559984i</v>
      </c>
      <c r="AN474" s="31">
        <f t="shared" si="312"/>
        <v>602.26051876606437</v>
      </c>
      <c r="AO474" s="31">
        <f t="shared" si="313"/>
        <v>1.5691359150157158</v>
      </c>
      <c r="AP474" s="58" t="str">
        <f t="shared" si="314"/>
        <v>-0.121646459033732+0.239971672358848i</v>
      </c>
      <c r="AQ474" s="49">
        <f t="shared" si="315"/>
        <v>-11.403558339474554</v>
      </c>
      <c r="AR474" s="61">
        <f t="shared" si="316"/>
        <v>116.88136542868202</v>
      </c>
      <c r="AS474" s="58" t="str">
        <f t="shared" si="317"/>
        <v>0.0000220438303735384-0.000207114218594038i</v>
      </c>
      <c r="AT474" s="64">
        <f t="shared" si="318"/>
        <v>-73.626881274626356</v>
      </c>
      <c r="AU474" s="61">
        <f t="shared" si="319"/>
        <v>-83.924697979562637</v>
      </c>
    </row>
    <row r="475" spans="14:47" x14ac:dyDescent="0.25">
      <c r="N475" s="10">
        <v>57</v>
      </c>
      <c r="O475" s="50">
        <f t="shared" si="287"/>
        <v>371535.2290971732</v>
      </c>
      <c r="P475" s="48" t="str">
        <f t="shared" si="288"/>
        <v>304.285714285714</v>
      </c>
      <c r="Q475" s="17" t="str">
        <f t="shared" si="289"/>
        <v>1+121556.828634172i</v>
      </c>
      <c r="R475" s="17">
        <f t="shared" si="297"/>
        <v>121556.8286382853</v>
      </c>
      <c r="S475" s="17">
        <f t="shared" si="298"/>
        <v>1.5707881001900139</v>
      </c>
      <c r="T475" s="17" t="str">
        <f t="shared" si="290"/>
        <v>1+2.521178667968i</v>
      </c>
      <c r="U475" s="17">
        <f t="shared" si="299"/>
        <v>2.7122577082233357</v>
      </c>
      <c r="V475" s="17">
        <f t="shared" si="300"/>
        <v>1.193189958343964</v>
      </c>
      <c r="W475" s="31" t="str">
        <f t="shared" si="291"/>
        <v>1-7.8786833374i</v>
      </c>
      <c r="X475" s="17">
        <f t="shared" si="301"/>
        <v>7.9418921631450274</v>
      </c>
      <c r="Y475" s="17">
        <f t="shared" si="302"/>
        <v>-1.4445466340149127</v>
      </c>
      <c r="Z475" s="31" t="str">
        <f t="shared" si="292"/>
        <v>-7.66724933257456+69.5014043004982i</v>
      </c>
      <c r="AA475" s="17">
        <f t="shared" si="303"/>
        <v>69.923042783256903</v>
      </c>
      <c r="AB475" s="17">
        <f t="shared" si="304"/>
        <v>1.6806699472651867</v>
      </c>
      <c r="AC475" s="66" t="str">
        <f t="shared" si="305"/>
        <v>-0.000721380922970973+0.000272536778995674i</v>
      </c>
      <c r="AD475" s="64">
        <f t="shared" si="306"/>
        <v>-62.25726357015408</v>
      </c>
      <c r="AE475" s="61">
        <f t="shared" si="307"/>
        <v>159.30349994858574</v>
      </c>
      <c r="AF475" s="31" t="str">
        <f t="shared" si="293"/>
        <v>-0.000495863624968664</v>
      </c>
      <c r="AG475" s="31" t="str">
        <f t="shared" si="294"/>
        <v>0.515254218142497i</v>
      </c>
      <c r="AH475" s="31">
        <f t="shared" si="308"/>
        <v>0.51525421814249694</v>
      </c>
      <c r="AI475" s="31">
        <f t="shared" si="309"/>
        <v>1.5707963267948966</v>
      </c>
      <c r="AJ475" s="31" t="str">
        <f t="shared" si="295"/>
        <v>1+2.0103635627146i</v>
      </c>
      <c r="AK475" s="31">
        <f t="shared" si="310"/>
        <v>2.2453422131805518</v>
      </c>
      <c r="AL475" s="31">
        <f t="shared" si="311"/>
        <v>1.1092128706024231</v>
      </c>
      <c r="AM475" s="31" t="str">
        <f t="shared" si="296"/>
        <v>1+616.288118836621i</v>
      </c>
      <c r="AN475" s="31">
        <f t="shared" si="312"/>
        <v>616.28893014492894</v>
      </c>
      <c r="AO475" s="31">
        <f t="shared" si="313"/>
        <v>1.5691737105350543</v>
      </c>
      <c r="AP475" s="58" t="str">
        <f t="shared" si="314"/>
        <v>-0.117257438046272+0.236692447844973i</v>
      </c>
      <c r="AQ475" s="49">
        <f t="shared" si="315"/>
        <v>-11.563149584865135</v>
      </c>
      <c r="AR475" s="61">
        <f t="shared" si="316"/>
        <v>116.353814869432</v>
      </c>
      <c r="AS475" s="58" t="str">
        <f t="shared" si="317"/>
        <v>0.0000200798815347609-0.000202702380965081i</v>
      </c>
      <c r="AT475" s="64">
        <f t="shared" si="318"/>
        <v>-73.820413155019224</v>
      </c>
      <c r="AU475" s="61">
        <f t="shared" si="319"/>
        <v>-84.342685181982247</v>
      </c>
    </row>
    <row r="476" spans="14:47" x14ac:dyDescent="0.25">
      <c r="N476" s="10">
        <v>58</v>
      </c>
      <c r="O476" s="50">
        <f t="shared" si="287"/>
        <v>380189.39632056188</v>
      </c>
      <c r="P476" s="48" t="str">
        <f t="shared" si="288"/>
        <v>304.285714285714</v>
      </c>
      <c r="Q476" s="17" t="str">
        <f t="shared" si="289"/>
        <v>1+124388.25090522i</v>
      </c>
      <c r="R476" s="17">
        <f t="shared" si="297"/>
        <v>124388.25090923966</v>
      </c>
      <c r="S476" s="17">
        <f t="shared" si="298"/>
        <v>1.5707882874504031</v>
      </c>
      <c r="T476" s="17" t="str">
        <f t="shared" si="290"/>
        <v>1+2.57990446321938i</v>
      </c>
      <c r="U476" s="17">
        <f t="shared" si="299"/>
        <v>2.7669309784198228</v>
      </c>
      <c r="V476" s="17">
        <f t="shared" si="300"/>
        <v>1.2010153135708386</v>
      </c>
      <c r="W476" s="31" t="str">
        <f t="shared" si="291"/>
        <v>1-8.06220144756056i</v>
      </c>
      <c r="X476" s="17">
        <f t="shared" si="301"/>
        <v>8.1239825320496344</v>
      </c>
      <c r="Y476" s="17">
        <f t="shared" si="302"/>
        <v>-1.4473910070127587</v>
      </c>
      <c r="Z476" s="31" t="str">
        <f t="shared" si="292"/>
        <v>-8.07572420921393+71.1202999743713i</v>
      </c>
      <c r="AA476" s="17">
        <f t="shared" si="303"/>
        <v>71.577331536931752</v>
      </c>
      <c r="AB476" s="17">
        <f t="shared" si="304"/>
        <v>1.6838622413244635</v>
      </c>
      <c r="AC476" s="66" t="str">
        <f t="shared" si="305"/>
        <v>-0.000719141735335135+0.000270222042360138i</v>
      </c>
      <c r="AD476" s="64">
        <f t="shared" si="306"/>
        <v>-62.29011988859434</v>
      </c>
      <c r="AE476" s="61">
        <f t="shared" si="307"/>
        <v>159.40597350234739</v>
      </c>
      <c r="AF476" s="31" t="str">
        <f t="shared" si="293"/>
        <v>-0.000495863624968664</v>
      </c>
      <c r="AG476" s="31" t="str">
        <f t="shared" si="294"/>
        <v>0.527256030668316i</v>
      </c>
      <c r="AH476" s="31">
        <f t="shared" si="308"/>
        <v>0.52725603066831594</v>
      </c>
      <c r="AI476" s="31">
        <f t="shared" si="309"/>
        <v>1.5707963267948966</v>
      </c>
      <c r="AJ476" s="31" t="str">
        <f t="shared" si="295"/>
        <v>1+2.05719094566242i</v>
      </c>
      <c r="AK476" s="31">
        <f t="shared" si="310"/>
        <v>2.2873641133224596</v>
      </c>
      <c r="AL476" s="31">
        <f t="shared" si="311"/>
        <v>1.118330628576663</v>
      </c>
      <c r="AM476" s="31" t="str">
        <f t="shared" si="296"/>
        <v>1+630.643313231403i</v>
      </c>
      <c r="AN476" s="31">
        <f t="shared" si="312"/>
        <v>630.64410607210266</v>
      </c>
      <c r="AO476" s="31">
        <f t="shared" si="313"/>
        <v>1.5692106457278165</v>
      </c>
      <c r="AP476" s="58" t="str">
        <f t="shared" si="314"/>
        <v>-0.112988665023898+0.233379719443126i</v>
      </c>
      <c r="AQ476" s="49">
        <f t="shared" si="315"/>
        <v>-11.724205335913014</v>
      </c>
      <c r="AR476" s="61">
        <f t="shared" si="316"/>
        <v>115.83352204954721</v>
      </c>
      <c r="AS476" s="58" t="str">
        <f t="shared" si="317"/>
        <v>0.0000181905202051288-0.00019836512425866i</v>
      </c>
      <c r="AT476" s="64">
        <f t="shared" si="318"/>
        <v>-74.014325224507346</v>
      </c>
      <c r="AU476" s="61">
        <f t="shared" si="319"/>
        <v>-84.76050444810538</v>
      </c>
    </row>
    <row r="477" spans="14:47" x14ac:dyDescent="0.25">
      <c r="N477" s="10">
        <v>59</v>
      </c>
      <c r="O477" s="50">
        <f t="shared" si="287"/>
        <v>389045.14499428123</v>
      </c>
      <c r="P477" s="48" t="str">
        <f t="shared" si="288"/>
        <v>304.285714285714</v>
      </c>
      <c r="Q477" s="17" t="str">
        <f t="shared" si="289"/>
        <v>1+127285.625473372i</v>
      </c>
      <c r="R477" s="17">
        <f t="shared" si="297"/>
        <v>127285.62547730017</v>
      </c>
      <c r="S477" s="17">
        <f t="shared" si="298"/>
        <v>1.5707884704482253</v>
      </c>
      <c r="T477" s="17" t="str">
        <f t="shared" si="290"/>
        <v>1+2.63999815796623i</v>
      </c>
      <c r="U477" s="17">
        <f t="shared" si="299"/>
        <v>2.8230462755798191</v>
      </c>
      <c r="V477" s="17">
        <f t="shared" si="300"/>
        <v>1.2087086879685023</v>
      </c>
      <c r="W477" s="31" t="str">
        <f t="shared" si="291"/>
        <v>1-8.24999424364448i</v>
      </c>
      <c r="X477" s="17">
        <f t="shared" si="301"/>
        <v>8.3103793547687737</v>
      </c>
      <c r="Y477" s="17">
        <f t="shared" si="302"/>
        <v>-1.4501725748647925</v>
      </c>
      <c r="Z477" s="31" t="str">
        <f t="shared" si="292"/>
        <v>-8.50344991370458+72.7769045726792i</v>
      </c>
      <c r="AA477" s="17">
        <f t="shared" si="303"/>
        <v>73.272003518504519</v>
      </c>
      <c r="AB477" s="17">
        <f t="shared" si="304"/>
        <v>1.6871116181047354</v>
      </c>
      <c r="AC477" s="66" t="str">
        <f t="shared" si="305"/>
        <v>-0.000716958545860037+0.000268042512594763i</v>
      </c>
      <c r="AD477" s="64">
        <f t="shared" si="306"/>
        <v>-62.321940364284814</v>
      </c>
      <c r="AE477" s="61">
        <f t="shared" si="307"/>
        <v>159.50121322663645</v>
      </c>
      <c r="AF477" s="31" t="str">
        <f t="shared" si="293"/>
        <v>-0.000495863624968664</v>
      </c>
      <c r="AG477" s="31" t="str">
        <f t="shared" si="294"/>
        <v>0.539537401320654i</v>
      </c>
      <c r="AH477" s="31">
        <f t="shared" si="308"/>
        <v>0.53953740132065398</v>
      </c>
      <c r="AI477" s="31">
        <f t="shared" si="309"/>
        <v>1.5707963267948966</v>
      </c>
      <c r="AJ477" s="31" t="str">
        <f t="shared" si="295"/>
        <v>1+2.10510907847977i</v>
      </c>
      <c r="AK477" s="31">
        <f t="shared" si="310"/>
        <v>2.3305544903086788</v>
      </c>
      <c r="AL477" s="31">
        <f t="shared" si="311"/>
        <v>1.1273196242402923</v>
      </c>
      <c r="AM477" s="31" t="str">
        <f t="shared" si="296"/>
        <v>1+645.332883058411i</v>
      </c>
      <c r="AN477" s="31">
        <f t="shared" si="312"/>
        <v>645.33365785187493</v>
      </c>
      <c r="AO477" s="31">
        <f t="shared" si="313"/>
        <v>1.5692467401771275</v>
      </c>
      <c r="AP477" s="58" t="str">
        <f t="shared" si="314"/>
        <v>-0.108839605907193+0.230038295785629i</v>
      </c>
      <c r="AQ477" s="49">
        <f t="shared" si="315"/>
        <v>-11.886684995728896</v>
      </c>
      <c r="AR477" s="61">
        <f t="shared" si="316"/>
        <v>115.32055859556932</v>
      </c>
      <c r="AS477" s="58" t="str">
        <f t="shared" si="317"/>
        <v>0.0000163734427878033-0.000194101563475773i</v>
      </c>
      <c r="AT477" s="64">
        <f t="shared" si="318"/>
        <v>-74.208625360013741</v>
      </c>
      <c r="AU477" s="61">
        <f t="shared" si="319"/>
        <v>-85.178228177794253</v>
      </c>
    </row>
    <row r="478" spans="14:47" x14ac:dyDescent="0.25">
      <c r="N478" s="10">
        <v>60</v>
      </c>
      <c r="O478" s="50">
        <f t="shared" si="287"/>
        <v>398107.17055349716</v>
      </c>
      <c r="P478" s="48" t="str">
        <f t="shared" si="288"/>
        <v>304.285714285714</v>
      </c>
      <c r="Q478" s="17" t="str">
        <f t="shared" si="289"/>
        <v>1+130250.488564974i</v>
      </c>
      <c r="R478" s="17">
        <f t="shared" si="297"/>
        <v>130250.48856881274</v>
      </c>
      <c r="S478" s="17">
        <f t="shared" si="298"/>
        <v>1.5707886492805088</v>
      </c>
      <c r="T478" s="17" t="str">
        <f t="shared" si="290"/>
        <v>1+2.70149161468094i</v>
      </c>
      <c r="U478" s="17">
        <f t="shared" si="299"/>
        <v>2.8806348161805295</v>
      </c>
      <c r="V478" s="17">
        <f t="shared" si="300"/>
        <v>1.2162705168076415</v>
      </c>
      <c r="W478" s="31" t="str">
        <f t="shared" si="291"/>
        <v>1-8.44216129587793i</v>
      </c>
      <c r="X478" s="17">
        <f t="shared" si="301"/>
        <v>8.5011815264479171</v>
      </c>
      <c r="Y478" s="17">
        <f t="shared" si="302"/>
        <v>-1.4528926401322728</v>
      </c>
      <c r="Z478" s="31" t="str">
        <f t="shared" si="292"/>
        <v>-8.95133370961188+74.4720964491077i</v>
      </c>
      <c r="AA478" s="17">
        <f t="shared" si="303"/>
        <v>75.008129724090807</v>
      </c>
      <c r="AB478" s="17">
        <f t="shared" si="304"/>
        <v>1.6904195991146327</v>
      </c>
      <c r="AC478" s="66" t="str">
        <f t="shared" si="305"/>
        <v>-0.000714826834274959+0.000265996777365522i</v>
      </c>
      <c r="AD478" s="64">
        <f t="shared" si="306"/>
        <v>-62.352772783100079</v>
      </c>
      <c r="AE478" s="61">
        <f t="shared" si="307"/>
        <v>159.58908224778108</v>
      </c>
      <c r="AF478" s="31" t="str">
        <f t="shared" si="293"/>
        <v>-0.000495863624968664</v>
      </c>
      <c r="AG478" s="31" t="str">
        <f t="shared" si="294"/>
        <v>0.552104841844793i</v>
      </c>
      <c r="AH478" s="31">
        <f t="shared" si="308"/>
        <v>0.55210484184479303</v>
      </c>
      <c r="AI478" s="31">
        <f t="shared" si="309"/>
        <v>1.5707963267948966</v>
      </c>
      <c r="AJ478" s="31" t="str">
        <f t="shared" si="295"/>
        <v>1+2.15414336799494i</v>
      </c>
      <c r="AK478" s="31">
        <f t="shared" si="310"/>
        <v>2.3749386623398476</v>
      </c>
      <c r="AL478" s="31">
        <f t="shared" si="311"/>
        <v>1.1361788120545233</v>
      </c>
      <c r="AM478" s="31" t="str">
        <f t="shared" si="296"/>
        <v>1+660.364616922006i</v>
      </c>
      <c r="AN478" s="31">
        <f t="shared" si="312"/>
        <v>660.36537407903791</v>
      </c>
      <c r="AO478" s="31">
        <f t="shared" si="313"/>
        <v>1.5692820130203657</v>
      </c>
      <c r="AP478" s="58" t="str">
        <f t="shared" si="314"/>
        <v>-0.104809509513213+0.226672842905907i</v>
      </c>
      <c r="AQ478" s="49">
        <f t="shared" si="315"/>
        <v>-12.050548185194817</v>
      </c>
      <c r="AR478" s="61">
        <f t="shared" si="316"/>
        <v>114.81498550894901</v>
      </c>
      <c r="AS478" s="58" t="str">
        <f t="shared" si="317"/>
        <v>0.0000146264041579888-0.00018991082247831i</v>
      </c>
      <c r="AT478" s="64">
        <f t="shared" si="318"/>
        <v>-74.403320968294906</v>
      </c>
      <c r="AU478" s="61">
        <f t="shared" si="319"/>
        <v>-85.595932243269885</v>
      </c>
    </row>
    <row r="479" spans="14:47" x14ac:dyDescent="0.25">
      <c r="N479" s="10">
        <v>61</v>
      </c>
      <c r="O479" s="50">
        <f t="shared" si="287"/>
        <v>407380.27780411334</v>
      </c>
      <c r="P479" s="48" t="str">
        <f t="shared" si="288"/>
        <v>304.285714285714</v>
      </c>
      <c r="Q479" s="17" t="str">
        <f t="shared" si="289"/>
        <v>1+133284.412189683i</v>
      </c>
      <c r="R479" s="17">
        <f t="shared" si="297"/>
        <v>133284.41219343437</v>
      </c>
      <c r="S479" s="17">
        <f t="shared" si="298"/>
        <v>1.5707888240420724</v>
      </c>
      <c r="T479" s="17" t="str">
        <f t="shared" si="290"/>
        <v>1+2.76441743800822i</v>
      </c>
      <c r="U479" s="17">
        <f t="shared" si="299"/>
        <v>2.9397285200446537</v>
      </c>
      <c r="V479" s="17">
        <f t="shared" si="300"/>
        <v>1.2237013493133777</v>
      </c>
      <c r="W479" s="31" t="str">
        <f t="shared" si="291"/>
        <v>1-8.63880449377571i</v>
      </c>
      <c r="X479" s="17">
        <f t="shared" si="301"/>
        <v>8.6964902737644341</v>
      </c>
      <c r="Y479" s="17">
        <f t="shared" si="302"/>
        <v>-1.4555524839425031</v>
      </c>
      <c r="Z479" s="31" t="str">
        <f t="shared" si="292"/>
        <v>-9.4203256185159+76.2067744168284i</v>
      </c>
      <c r="AA479" s="17">
        <f t="shared" si="303"/>
        <v>76.786815286064822</v>
      </c>
      <c r="AB479" s="17">
        <f t="shared" si="304"/>
        <v>1.693787723072123</v>
      </c>
      <c r="AC479" s="66" t="str">
        <f t="shared" si="305"/>
        <v>-0.000712742199046892+0.000264083458187339i</v>
      </c>
      <c r="AD479" s="64">
        <f t="shared" si="306"/>
        <v>-62.382664239242402</v>
      </c>
      <c r="AE479" s="61">
        <f t="shared" si="307"/>
        <v>159.66945046339717</v>
      </c>
      <c r="AF479" s="31" t="str">
        <f t="shared" si="293"/>
        <v>-0.000495863624968664</v>
      </c>
      <c r="AG479" s="31" t="str">
        <f t="shared" si="294"/>
        <v>0.564965015664052i</v>
      </c>
      <c r="AH479" s="31">
        <f t="shared" si="308"/>
        <v>0.56496501566405199</v>
      </c>
      <c r="AI479" s="31">
        <f t="shared" si="309"/>
        <v>1.5707963267948966</v>
      </c>
      <c r="AJ479" s="31" t="str">
        <f t="shared" si="295"/>
        <v>1+2.20431981283729i</v>
      </c>
      <c r="AK479" s="31">
        <f t="shared" si="310"/>
        <v>2.4205424675611509</v>
      </c>
      <c r="AL479" s="31">
        <f t="shared" si="311"/>
        <v>1.1449073257446256</v>
      </c>
      <c r="AM479" s="31" t="str">
        <f t="shared" si="296"/>
        <v>1+675.746484846454i</v>
      </c>
      <c r="AN479" s="31">
        <f t="shared" si="312"/>
        <v>675.74722476850684</v>
      </c>
      <c r="AO479" s="31">
        <f t="shared" si="313"/>
        <v>1.569316482959308</v>
      </c>
      <c r="AP479" s="58" t="str">
        <f t="shared" si="314"/>
        <v>-0.100897422157501+0.223287875806233i</v>
      </c>
      <c r="AQ479" s="49">
        <f t="shared" si="315"/>
        <v>-12.215754813952607</v>
      </c>
      <c r="AR479" s="61">
        <f t="shared" si="316"/>
        <v>114.31685349510548</v>
      </c>
      <c r="AS479" s="58" t="str">
        <f t="shared" si="317"/>
        <v>0.0000129472161324848-0.000185792031788184i</v>
      </c>
      <c r="AT479" s="64">
        <f t="shared" si="318"/>
        <v>-74.598419053195045</v>
      </c>
      <c r="AU479" s="61">
        <f t="shared" si="319"/>
        <v>-86.01369604149734</v>
      </c>
    </row>
    <row r="480" spans="14:47" x14ac:dyDescent="0.25">
      <c r="N480" s="10">
        <v>62</v>
      </c>
      <c r="O480" s="50">
        <f t="shared" si="287"/>
        <v>416869.38347033598</v>
      </c>
      <c r="P480" s="48" t="str">
        <f t="shared" si="288"/>
        <v>304.285714285714</v>
      </c>
      <c r="Q480" s="17" t="str">
        <f t="shared" si="289"/>
        <v>1+136389.004973962i</v>
      </c>
      <c r="R480" s="17">
        <f t="shared" si="297"/>
        <v>136389.00497762801</v>
      </c>
      <c r="S480" s="17">
        <f t="shared" si="298"/>
        <v>1.5707889948255771</v>
      </c>
      <c r="T480" s="17" t="str">
        <f t="shared" si="290"/>
        <v>1+2.82880899205254i</v>
      </c>
      <c r="U480" s="17">
        <f t="shared" si="299"/>
        <v>3.0003600306492064</v>
      </c>
      <c r="V480" s="17">
        <f t="shared" si="300"/>
        <v>1.2310018419501063</v>
      </c>
      <c r="W480" s="31" t="str">
        <f t="shared" si="291"/>
        <v>1-8.84002810016418i</v>
      </c>
      <c r="X480" s="17">
        <f t="shared" si="301"/>
        <v>8.8964092088714271</v>
      </c>
      <c r="Y480" s="17">
        <f t="shared" si="302"/>
        <v>-1.4581533659564747</v>
      </c>
      <c r="Z480" s="31" t="str">
        <f t="shared" si="292"/>
        <v>-9.9114204351342+77.9818582250609i</v>
      </c>
      <c r="AA480" s="17">
        <f t="shared" si="303"/>
        <v>78.609200907244286</v>
      </c>
      <c r="AB480" s="17">
        <f t="shared" si="304"/>
        <v>1.6972175457857515</v>
      </c>
      <c r="AC480" s="66" t="str">
        <f t="shared" si="305"/>
        <v>-0.000710700348980177+0.000262301208600016i</v>
      </c>
      <c r="AD480" s="64">
        <f t="shared" si="306"/>
        <v>-62.411661135377756</v>
      </c>
      <c r="AE480" s="61">
        <f t="shared" si="307"/>
        <v>159.7421941662929</v>
      </c>
      <c r="AF480" s="31" t="str">
        <f t="shared" si="293"/>
        <v>-0.000495863624968664</v>
      </c>
      <c r="AG480" s="31" t="str">
        <f t="shared" si="294"/>
        <v>0.57812474141281i</v>
      </c>
      <c r="AH480" s="31">
        <f t="shared" si="308"/>
        <v>0.57812474141281001</v>
      </c>
      <c r="AI480" s="31">
        <f t="shared" si="309"/>
        <v>1.5707963267948966</v>
      </c>
      <c r="AJ480" s="31" t="str">
        <f t="shared" si="295"/>
        <v>1+2.25566501722202i</v>
      </c>
      <c r="AK480" s="31">
        <f t="shared" si="310"/>
        <v>2.467392281320345</v>
      </c>
      <c r="AL480" s="31">
        <f t="shared" si="311"/>
        <v>1.1535044722645527</v>
      </c>
      <c r="AM480" s="31" t="str">
        <f t="shared" si="296"/>
        <v>1+691.486642501731i</v>
      </c>
      <c r="AN480" s="31">
        <f t="shared" si="312"/>
        <v>691.48736558111943</v>
      </c>
      <c r="AO480" s="31">
        <f t="shared" si="313"/>
        <v>1.5693501682700448</v>
      </c>
      <c r="AP480" s="58" t="str">
        <f t="shared" si="314"/>
        <v>-0.0971022023375419+0.219887751345649i</v>
      </c>
      <c r="AQ480" s="49">
        <f t="shared" si="315"/>
        <v>-12.382265146432491</v>
      </c>
      <c r="AR480" s="61">
        <f t="shared" si="316"/>
        <v>113.82620330979495</v>
      </c>
      <c r="AS480" s="58" t="str">
        <f t="shared" si="317"/>
        <v>0.0000113337461537313-0.00018174432664868i</v>
      </c>
      <c r="AT480" s="64">
        <f t="shared" si="318"/>
        <v>-74.793926281810229</v>
      </c>
      <c r="AU480" s="61">
        <f t="shared" si="319"/>
        <v>-86.431602523912147</v>
      </c>
    </row>
    <row r="481" spans="14:47" x14ac:dyDescent="0.25">
      <c r="N481" s="10">
        <v>63</v>
      </c>
      <c r="O481" s="50">
        <f t="shared" si="287"/>
        <v>426579.51880159322</v>
      </c>
      <c r="P481" s="48" t="str">
        <f t="shared" si="288"/>
        <v>304.285714285714</v>
      </c>
      <c r="Q481" s="17" t="str">
        <f t="shared" si="289"/>
        <v>1+139565.913014i</v>
      </c>
      <c r="R481" s="17">
        <f t="shared" si="297"/>
        <v>139565.91301758256</v>
      </c>
      <c r="S481" s="17">
        <f t="shared" si="298"/>
        <v>1.5707891617215748</v>
      </c>
      <c r="T481" s="17" t="str">
        <f t="shared" si="290"/>
        <v>1+2.89470041806814i</v>
      </c>
      <c r="U481" s="17">
        <f t="shared" si="299"/>
        <v>3.0625627357433611</v>
      </c>
      <c r="V481" s="17">
        <f t="shared" si="300"/>
        <v>1.2381727518112926</v>
      </c>
      <c r="W481" s="31" t="str">
        <f t="shared" si="291"/>
        <v>1-9.04593880646296i</v>
      </c>
      <c r="X481" s="17">
        <f t="shared" si="301"/>
        <v>9.1010443845897449</v>
      </c>
      <c r="Y481" s="17">
        <f t="shared" si="302"/>
        <v>-1.4606965243690149</v>
      </c>
      <c r="Z481" s="31" t="str">
        <f t="shared" si="292"/>
        <v>-10.4256598374149+79.7982890467361i</v>
      </c>
      <c r="AA481" s="17">
        <f t="shared" si="303"/>
        <v>80.476464372087875</v>
      </c>
      <c r="AB481" s="17">
        <f t="shared" si="304"/>
        <v>1.7007106399852046</v>
      </c>
      <c r="AC481" s="66" t="str">
        <f t="shared" si="305"/>
        <v>-0.000708697095127159+0.000260648712214856i</v>
      </c>
      <c r="AD481" s="64">
        <f t="shared" si="306"/>
        <v>-62.439809186453992</v>
      </c>
      <c r="AE481" s="61">
        <f t="shared" si="307"/>
        <v>159.80719567542934</v>
      </c>
      <c r="AF481" s="31" t="str">
        <f t="shared" si="293"/>
        <v>-0.000495863624968664</v>
      </c>
      <c r="AG481" s="31" t="str">
        <f t="shared" si="294"/>
        <v>0.591590996551852i</v>
      </c>
      <c r="AH481" s="31">
        <f t="shared" si="308"/>
        <v>0.59159099655185199</v>
      </c>
      <c r="AI481" s="31">
        <f t="shared" si="309"/>
        <v>1.5707963267948966</v>
      </c>
      <c r="AJ481" s="31" t="str">
        <f t="shared" si="295"/>
        <v>1+2.30820620505614i</v>
      </c>
      <c r="AK481" s="31">
        <f t="shared" si="310"/>
        <v>2.5155150337574343</v>
      </c>
      <c r="AL481" s="31">
        <f t="shared" si="311"/>
        <v>1.161969725509687</v>
      </c>
      <c r="AM481" s="31" t="str">
        <f t="shared" si="296"/>
        <v>1+707.593435527768i</v>
      </c>
      <c r="AN481" s="31">
        <f t="shared" si="312"/>
        <v>707.5941421478766</v>
      </c>
      <c r="AO481" s="31">
        <f t="shared" si="313"/>
        <v>1.5693830868126672</v>
      </c>
      <c r="AP481" s="58" t="str">
        <f t="shared" si="314"/>
        <v>-0.0934225353696216+0.216476662396703i</v>
      </c>
      <c r="AQ481" s="49">
        <f t="shared" si="315"/>
        <v>-12.550039862918634</v>
      </c>
      <c r="AR481" s="61">
        <f t="shared" si="316"/>
        <v>113.34306611989931</v>
      </c>
      <c r="AS481" s="58" t="str">
        <f t="shared" si="317"/>
        <v>9.78391615759431E-06-0.000177766845339305i</v>
      </c>
      <c r="AT481" s="64">
        <f t="shared" si="318"/>
        <v>-74.989849049372609</v>
      </c>
      <c r="AU481" s="61">
        <f t="shared" si="319"/>
        <v>-86.849738204671354</v>
      </c>
    </row>
    <row r="482" spans="14:47" x14ac:dyDescent="0.25">
      <c r="N482" s="10">
        <v>64</v>
      </c>
      <c r="O482" s="50">
        <f t="shared" si="287"/>
        <v>436515.83224016649</v>
      </c>
      <c r="P482" s="48" t="str">
        <f t="shared" si="288"/>
        <v>304.285714285714</v>
      </c>
      <c r="Q482" s="17" t="str">
        <f t="shared" si="289"/>
        <v>1+142816.820748491i</v>
      </c>
      <c r="R482" s="17">
        <f t="shared" si="297"/>
        <v>142816.82075199197</v>
      </c>
      <c r="S482" s="17">
        <f t="shared" si="298"/>
        <v>1.5707893248185556</v>
      </c>
      <c r="T482" s="17" t="str">
        <f t="shared" si="290"/>
        <v>1+2.96212665256129i</v>
      </c>
      <c r="U482" s="17">
        <f t="shared" si="299"/>
        <v>3.1263707882805507</v>
      </c>
      <c r="V482" s="17">
        <f t="shared" si="300"/>
        <v>1.2452149301352224</v>
      </c>
      <c r="W482" s="31" t="str">
        <f t="shared" si="291"/>
        <v>1-9.25664578925405i</v>
      </c>
      <c r="X482" s="17">
        <f t="shared" si="301"/>
        <v>9.3105043508778138</v>
      </c>
      <c r="Y482" s="17">
        <f t="shared" si="302"/>
        <v>-1.4631831759388747</v>
      </c>
      <c r="Z482" s="31" t="str">
        <f t="shared" si="292"/>
        <v>-10.9641345960757+81.6570299775189i</v>
      </c>
      <c r="AA482" s="17">
        <f t="shared" si="303"/>
        <v>82.389822139571862</v>
      </c>
      <c r="AB482" s="17">
        <f t="shared" si="304"/>
        <v>1.7042685950976166</v>
      </c>
      <c r="AC482" s="66" t="str">
        <f t="shared" si="305"/>
        <v>-0.000706728342999745+0.000259124680629106i</v>
      </c>
      <c r="AD482" s="64">
        <f t="shared" si="306"/>
        <v>-62.467153427004035</v>
      </c>
      <c r="AE482" s="61">
        <f t="shared" si="307"/>
        <v>159.86434297548965</v>
      </c>
      <c r="AF482" s="31" t="str">
        <f t="shared" si="293"/>
        <v>-0.000495863624968664</v>
      </c>
      <c r="AG482" s="31" t="str">
        <f t="shared" si="294"/>
        <v>0.605370921067898i</v>
      </c>
      <c r="AH482" s="31">
        <f t="shared" si="308"/>
        <v>0.60537092106789803</v>
      </c>
      <c r="AI482" s="31">
        <f t="shared" si="309"/>
        <v>1.5707963267948966</v>
      </c>
      <c r="AJ482" s="31" t="str">
        <f t="shared" si="295"/>
        <v>1+2.3619712343729i</v>
      </c>
      <c r="AK482" s="31">
        <f t="shared" si="310"/>
        <v>2.5649382277171977</v>
      </c>
      <c r="AL482" s="31">
        <f t="shared" si="311"/>
        <v>1.1703027198259628</v>
      </c>
      <c r="AM482" s="31" t="str">
        <f t="shared" si="296"/>
        <v>1+724.075403959427i</v>
      </c>
      <c r="AN482" s="31">
        <f t="shared" si="312"/>
        <v>724.07609449491383</v>
      </c>
      <c r="AO482" s="31">
        <f t="shared" si="313"/>
        <v>1.5694152560407373</v>
      </c>
      <c r="AP482" s="58" t="str">
        <f t="shared" si="314"/>
        <v>-0.0898569478810177+0.213058633212409i</v>
      </c>
      <c r="AQ482" s="49">
        <f t="shared" si="315"/>
        <v>-12.719040115683969</v>
      </c>
      <c r="AR482" s="61">
        <f t="shared" si="316"/>
        <v>112.86746387586886</v>
      </c>
      <c r="AS482" s="58" t="str">
        <f t="shared" si="317"/>
        <v>8.29570159652677E-06-0.000173858727733971i</v>
      </c>
      <c r="AT482" s="64">
        <f t="shared" si="318"/>
        <v>-75.186193542688017</v>
      </c>
      <c r="AU482" s="61">
        <f t="shared" si="319"/>
        <v>-87.268193148641458</v>
      </c>
    </row>
    <row r="483" spans="14:47" x14ac:dyDescent="0.25">
      <c r="N483" s="10">
        <v>65</v>
      </c>
      <c r="O483" s="50">
        <f t="shared" si="287"/>
        <v>446683.59215096442</v>
      </c>
      <c r="P483" s="48" t="str">
        <f t="shared" si="288"/>
        <v>304.285714285714</v>
      </c>
      <c r="Q483" s="17" t="str">
        <f t="shared" si="289"/>
        <v>1+146143.451851748i</v>
      </c>
      <c r="R483" s="17">
        <f t="shared" si="297"/>
        <v>146143.45185516929</v>
      </c>
      <c r="S483" s="17">
        <f t="shared" si="298"/>
        <v>1.5707894842029959</v>
      </c>
      <c r="T483" s="17" t="str">
        <f t="shared" si="290"/>
        <v>1+3.03112344581403i</v>
      </c>
      <c r="U483" s="17">
        <f t="shared" si="299"/>
        <v>3.1918191276705388</v>
      </c>
      <c r="V483" s="17">
        <f t="shared" si="300"/>
        <v>1.2521293159650093</v>
      </c>
      <c r="W483" s="31" t="str">
        <f t="shared" si="291"/>
        <v>1-9.47226076816886i</v>
      </c>
      <c r="X483" s="17">
        <f t="shared" si="301"/>
        <v>9.5249002126106781</v>
      </c>
      <c r="Y483" s="17">
        <f t="shared" si="302"/>
        <v>-1.4656145160463629</v>
      </c>
      <c r="Z483" s="31" t="str">
        <f t="shared" si="292"/>
        <v>-11.5279868882744+83.5590665464549i</v>
      </c>
      <c r="AA483" s="17">
        <f t="shared" si="303"/>
        <v>84.350531022697794</v>
      </c>
      <c r="AB483" s="17">
        <f t="shared" si="304"/>
        <v>1.707893016965838</v>
      </c>
      <c r="AC483" s="66" t="str">
        <f t="shared" si="305"/>
        <v>-0.000704790085072707+0.00025772785120494i</v>
      </c>
      <c r="AD483" s="64">
        <f t="shared" si="306"/>
        <v>-62.493738221735597</v>
      </c>
      <c r="AE483" s="61">
        <f t="shared" si="307"/>
        <v>159.91352936646169</v>
      </c>
      <c r="AF483" s="31" t="str">
        <f t="shared" si="293"/>
        <v>-0.000495863624968664</v>
      </c>
      <c r="AG483" s="31" t="str">
        <f t="shared" si="294"/>
        <v>0.619471821259327i</v>
      </c>
      <c r="AH483" s="31">
        <f t="shared" si="308"/>
        <v>0.61947182125932698</v>
      </c>
      <c r="AI483" s="31">
        <f t="shared" si="309"/>
        <v>1.5707963267948966</v>
      </c>
      <c r="AJ483" s="31" t="str">
        <f t="shared" si="295"/>
        <v>1+2.41698861210252i</v>
      </c>
      <c r="AK483" s="31">
        <f t="shared" si="310"/>
        <v>2.6156899569775596</v>
      </c>
      <c r="AL483" s="31">
        <f t="shared" si="311"/>
        <v>1.1785032433612888</v>
      </c>
      <c r="AM483" s="31" t="str">
        <f t="shared" si="296"/>
        <v>1+740.941286754541i</v>
      </c>
      <c r="AN483" s="31">
        <f t="shared" si="312"/>
        <v>740.94196157153567</v>
      </c>
      <c r="AO483" s="31">
        <f t="shared" si="313"/>
        <v>1.5694466930105389</v>
      </c>
      <c r="AP483" s="58" t="str">
        <f t="shared" si="314"/>
        <v>-0.0864038220695437+0.209637515938987i</v>
      </c>
      <c r="AQ483" s="49">
        <f t="shared" si="315"/>
        <v>-12.889227580259931</v>
      </c>
      <c r="AR483" s="61">
        <f t="shared" si="316"/>
        <v>112.39940969318724</v>
      </c>
      <c r="AS483" s="58" t="str">
        <f t="shared" si="317"/>
        <v>6.86713059210426E-06-0.000170019114090947i</v>
      </c>
      <c r="AT483" s="64">
        <f t="shared" si="318"/>
        <v>-75.382965801995539</v>
      </c>
      <c r="AU483" s="61">
        <f t="shared" si="319"/>
        <v>-87.68706094035106</v>
      </c>
    </row>
    <row r="484" spans="14:47" x14ac:dyDescent="0.25">
      <c r="N484" s="10">
        <v>66</v>
      </c>
      <c r="O484" s="50">
        <f t="shared" ref="O484:O518" si="320">10^(5+(N484/100))</f>
        <v>457088.18961487547</v>
      </c>
      <c r="P484" s="48" t="str">
        <f t="shared" si="288"/>
        <v>304.285714285714</v>
      </c>
      <c r="Q484" s="17" t="str">
        <f t="shared" si="289"/>
        <v>1+149547.570147613i</v>
      </c>
      <c r="R484" s="17">
        <f t="shared" si="297"/>
        <v>149547.5701509564</v>
      </c>
      <c r="S484" s="17">
        <f t="shared" si="298"/>
        <v>1.5707896399594035</v>
      </c>
      <c r="T484" s="17" t="str">
        <f t="shared" si="290"/>
        <v>1+3.10172738083938i</v>
      </c>
      <c r="U484" s="17">
        <f t="shared" si="299"/>
        <v>3.2589435013587948</v>
      </c>
      <c r="V484" s="17">
        <f t="shared" si="300"/>
        <v>1.2589169299687064</v>
      </c>
      <c r="W484" s="31" t="str">
        <f t="shared" si="291"/>
        <v>1-9.69289806512307i</v>
      </c>
      <c r="X484" s="17">
        <f t="shared" si="301"/>
        <v>9.7443456886989868</v>
      </c>
      <c r="Y484" s="17">
        <f t="shared" si="302"/>
        <v>-1.4679917187762526</v>
      </c>
      <c r="Z484" s="31" t="str">
        <f t="shared" si="292"/>
        <v>-12.1184127203194+85.5054072385082i</v>
      </c>
      <c r="AA484" s="17">
        <f t="shared" si="303"/>
        <v>86.359889959883162</v>
      </c>
      <c r="AB484" s="17">
        <f t="shared" si="304"/>
        <v>1.7115855275047203</v>
      </c>
      <c r="AC484" s="66" t="str">
        <f t="shared" si="305"/>
        <v>-0.000702878393570644+0.000256456984709394i</v>
      </c>
      <c r="AD484" s="64">
        <f t="shared" si="306"/>
        <v>-62.519607279207733</v>
      </c>
      <c r="AE484" s="61">
        <f t="shared" si="307"/>
        <v>159.9546531244975</v>
      </c>
      <c r="AF484" s="31" t="str">
        <f t="shared" si="293"/>
        <v>-0.000495863624968664</v>
      </c>
      <c r="AG484" s="31" t="str">
        <f t="shared" si="294"/>
        <v>0.633901173610063i</v>
      </c>
      <c r="AH484" s="31">
        <f t="shared" si="308"/>
        <v>0.63390117361006304</v>
      </c>
      <c r="AI484" s="31">
        <f t="shared" si="309"/>
        <v>1.5707963267948966</v>
      </c>
      <c r="AJ484" s="31" t="str">
        <f t="shared" si="295"/>
        <v>1+2.47328750918688i</v>
      </c>
      <c r="AK484" s="31">
        <f t="shared" si="310"/>
        <v>2.6677989247879679</v>
      </c>
      <c r="AL484" s="31">
        <f t="shared" si="311"/>
        <v>1.1865712313025423</v>
      </c>
      <c r="AM484" s="31" t="str">
        <f t="shared" si="296"/>
        <v>1+758.200026427404i</v>
      </c>
      <c r="AN484" s="31">
        <f t="shared" si="312"/>
        <v>758.20068588370214</v>
      </c>
      <c r="AO484" s="31">
        <f t="shared" si="313"/>
        <v>1.5694774143901207</v>
      </c>
      <c r="AP484" s="58" t="str">
        <f t="shared" si="314"/>
        <v>-0.0830614096526579+0.20621698820553i</v>
      </c>
      <c r="AQ484" s="49">
        <f t="shared" si="315"/>
        <v>-13.060564501931641</v>
      </c>
      <c r="AR484" s="61">
        <f t="shared" si="316"/>
        <v>111.93890824038192</v>
      </c>
      <c r="AS484" s="58" t="str">
        <f t="shared" si="317"/>
        <v>5.49628319333048E-06-0.000166247144062112i</v>
      </c>
      <c r="AT484" s="64">
        <f t="shared" si="318"/>
        <v>-75.580171781139356</v>
      </c>
      <c r="AU484" s="61">
        <f t="shared" si="319"/>
        <v>-88.106438635120597</v>
      </c>
    </row>
    <row r="485" spans="14:47" x14ac:dyDescent="0.25">
      <c r="N485" s="10">
        <v>67</v>
      </c>
      <c r="O485" s="50">
        <f t="shared" si="320"/>
        <v>467735.14128719864</v>
      </c>
      <c r="P485" s="48" t="str">
        <f t="shared" si="288"/>
        <v>304.285714285714</v>
      </c>
      <c r="Q485" s="17" t="str">
        <f t="shared" si="289"/>
        <v>1+153030.980544667i</v>
      </c>
      <c r="R485" s="17">
        <f t="shared" si="297"/>
        <v>153030.9805479343</v>
      </c>
      <c r="S485" s="17">
        <f t="shared" si="298"/>
        <v>1.5707897921703622</v>
      </c>
      <c r="T485" s="17" t="str">
        <f t="shared" si="290"/>
        <v>1+3.17397589277827i</v>
      </c>
      <c r="U485" s="17">
        <f t="shared" si="299"/>
        <v>3.3277804867415179</v>
      </c>
      <c r="V485" s="17">
        <f t="shared" si="300"/>
        <v>1.2655788684330016</v>
      </c>
      <c r="W485" s="31" t="str">
        <f t="shared" si="291"/>
        <v>1-9.91867466493211i</v>
      </c>
      <c r="X485" s="17">
        <f t="shared" si="301"/>
        <v>9.9689571725815984</v>
      </c>
      <c r="Y485" s="17">
        <f t="shared" si="302"/>
        <v>-1.4703159370238494</v>
      </c>
      <c r="Z485" s="31" t="str">
        <f t="shared" si="292"/>
        <v>-12.7366644645605+87.4970840292774i</v>
      </c>
      <c r="AA485" s="17">
        <f t="shared" si="303"/>
        <v>88.419241883818657</v>
      </c>
      <c r="AB485" s="17">
        <f t="shared" si="304"/>
        <v>1.7153477642912633</v>
      </c>
      <c r="AC485" s="66" t="str">
        <f t="shared" si="305"/>
        <v>-0.000700989413531931+0.000255310862811496i</v>
      </c>
      <c r="AD485" s="64">
        <f t="shared" si="306"/>
        <v>-62.544803668390983</v>
      </c>
      <c r="AE485" s="61">
        <f t="shared" si="307"/>
        <v>159.98761717517954</v>
      </c>
      <c r="AF485" s="31" t="str">
        <f t="shared" si="293"/>
        <v>-0.000495863624968664</v>
      </c>
      <c r="AG485" s="31" t="str">
        <f t="shared" si="294"/>
        <v>0.648666628753724i</v>
      </c>
      <c r="AH485" s="31">
        <f t="shared" si="308"/>
        <v>0.64866662875372405</v>
      </c>
      <c r="AI485" s="31">
        <f t="shared" si="309"/>
        <v>1.5707963267948966</v>
      </c>
      <c r="AJ485" s="31" t="str">
        <f t="shared" si="295"/>
        <v>1+2.53089777604646i</v>
      </c>
      <c r="AK485" s="31">
        <f t="shared" si="310"/>
        <v>2.7212944627138236</v>
      </c>
      <c r="AL485" s="31">
        <f t="shared" si="311"/>
        <v>1.1945067590387211</v>
      </c>
      <c r="AM485" s="31" t="str">
        <f t="shared" si="296"/>
        <v>1+775.860773790244i</v>
      </c>
      <c r="AN485" s="31">
        <f t="shared" si="312"/>
        <v>775.86141823549656</v>
      </c>
      <c r="AO485" s="31">
        <f t="shared" si="313"/>
        <v>1.5695074364681327</v>
      </c>
      <c r="AP485" s="58" t="str">
        <f t="shared" si="314"/>
        <v>-0.0798278454382615+0.202800551718471i</v>
      </c>
      <c r="AQ485" s="49">
        <f t="shared" si="315"/>
        <v>-13.233013737576309</v>
      </c>
      <c r="AR485" s="61">
        <f t="shared" si="316"/>
        <v>111.48595613125214</v>
      </c>
      <c r="AS485" s="58" t="str">
        <f t="shared" si="317"/>
        <v>4.18129071939432E-06-0.000162541955908308i</v>
      </c>
      <c r="AT485" s="64">
        <f t="shared" si="318"/>
        <v>-75.777817405967312</v>
      </c>
      <c r="AU485" s="61">
        <f t="shared" si="319"/>
        <v>-88.526426693568311</v>
      </c>
    </row>
    <row r="486" spans="14:47" x14ac:dyDescent="0.25">
      <c r="N486" s="10">
        <v>68</v>
      </c>
      <c r="O486" s="50">
        <f t="shared" si="320"/>
        <v>478630.09232263872</v>
      </c>
      <c r="P486" s="48" t="str">
        <f t="shared" si="288"/>
        <v>304.285714285714</v>
      </c>
      <c r="Q486" s="17" t="str">
        <f t="shared" si="289"/>
        <v>1+156595.52999321i</v>
      </c>
      <c r="R486" s="17">
        <f t="shared" si="297"/>
        <v>156595.52999640291</v>
      </c>
      <c r="S486" s="17">
        <f t="shared" si="298"/>
        <v>1.5707899409165766</v>
      </c>
      <c r="T486" s="17" t="str">
        <f t="shared" si="290"/>
        <v>1+3.24790728874806i</v>
      </c>
      <c r="U486" s="17">
        <f t="shared" si="299"/>
        <v>3.3983675134250522</v>
      </c>
      <c r="V486" s="17">
        <f t="shared" si="300"/>
        <v>1.2721162974416773</v>
      </c>
      <c r="W486" s="31" t="str">
        <f t="shared" si="291"/>
        <v>1-10.1497102773377i</v>
      </c>
      <c r="X486" s="17">
        <f t="shared" si="301"/>
        <v>10.198853794122874</v>
      </c>
      <c r="Y486" s="17">
        <f t="shared" si="302"/>
        <v>-1.4725883026222051</v>
      </c>
      <c r="Z486" s="31" t="str">
        <f t="shared" si="292"/>
        <v>-13.3840535158376+89.5351529321599i</v>
      </c>
      <c r="AA486" s="17">
        <f t="shared" si="303"/>
        <v>90.529975693689806</v>
      </c>
      <c r="AB486" s="17">
        <f t="shared" si="304"/>
        <v>1.7191813800842473</v>
      </c>
      <c r="AC486" s="66" t="str">
        <f t="shared" si="305"/>
        <v>-0.000699119356143883+0.000254288285432463i</v>
      </c>
      <c r="AD486" s="64">
        <f t="shared" si="306"/>
        <v>-62.56936983791234</v>
      </c>
      <c r="AE486" s="61">
        <f t="shared" si="307"/>
        <v>160.01232878020366</v>
      </c>
      <c r="AF486" s="31" t="str">
        <f t="shared" si="293"/>
        <v>-0.000495863624968664</v>
      </c>
      <c r="AG486" s="31" t="str">
        <f t="shared" si="294"/>
        <v>0.663776015530067i</v>
      </c>
      <c r="AH486" s="31">
        <f t="shared" si="308"/>
        <v>0.66377601553006704</v>
      </c>
      <c r="AI486" s="31">
        <f t="shared" si="309"/>
        <v>1.5707963267948966</v>
      </c>
      <c r="AJ486" s="31" t="str">
        <f t="shared" si="295"/>
        <v>1+2.58984995840729i</v>
      </c>
      <c r="AK486" s="31">
        <f t="shared" si="310"/>
        <v>2.7762065497837587</v>
      </c>
      <c r="AL486" s="31">
        <f t="shared" si="311"/>
        <v>1.2023100352878786</v>
      </c>
      <c r="AM486" s="31" t="str">
        <f t="shared" si="296"/>
        <v>1+793.932892805081i</v>
      </c>
      <c r="AN486" s="31">
        <f t="shared" si="312"/>
        <v>793.93352258098048</v>
      </c>
      <c r="AO486" s="31">
        <f t="shared" si="313"/>
        <v>1.5695367751624616</v>
      </c>
      <c r="AP486" s="58" t="str">
        <f t="shared" si="314"/>
        <v>-0.0767011604590841+0.199391531786661i</v>
      </c>
      <c r="AQ486" s="49">
        <f t="shared" si="315"/>
        <v>-13.406538792982548</v>
      </c>
      <c r="AR486" s="61">
        <f t="shared" si="316"/>
        <v>111.04054231916214</v>
      </c>
      <c r="AS486" s="58" t="str">
        <f t="shared" si="317"/>
        <v>2.92033516786106E-06-0.000158902685907054i</v>
      </c>
      <c r="AT486" s="64">
        <f t="shared" si="318"/>
        <v>-75.975908630894878</v>
      </c>
      <c r="AU486" s="61">
        <f t="shared" si="319"/>
        <v>-88.947128900634183</v>
      </c>
    </row>
    <row r="487" spans="14:47" x14ac:dyDescent="0.25">
      <c r="N487" s="10">
        <v>69</v>
      </c>
      <c r="O487" s="50">
        <f t="shared" si="320"/>
        <v>489778.81936844654</v>
      </c>
      <c r="P487" s="48" t="str">
        <f t="shared" si="288"/>
        <v>304.285714285714</v>
      </c>
      <c r="Q487" s="17" t="str">
        <f t="shared" si="289"/>
        <v>1+160243.108464543i</v>
      </c>
      <c r="R487" s="17">
        <f t="shared" si="297"/>
        <v>160243.10846766326</v>
      </c>
      <c r="S487" s="17">
        <f t="shared" si="298"/>
        <v>1.5707900862769137</v>
      </c>
      <c r="T487" s="17" t="str">
        <f t="shared" si="290"/>
        <v>1+3.32356076815348i</v>
      </c>
      <c r="U487" s="17">
        <f t="shared" si="299"/>
        <v>3.4707428858399969</v>
      </c>
      <c r="V487" s="17">
        <f t="shared" si="300"/>
        <v>1.2785304472480024</v>
      </c>
      <c r="W487" s="31" t="str">
        <f t="shared" si="291"/>
        <v>1-10.3861274004796i</v>
      </c>
      <c r="X487" s="17">
        <f t="shared" si="301"/>
        <v>10.434157482949599</v>
      </c>
      <c r="Y487" s="17">
        <f t="shared" si="302"/>
        <v>-1.4748099264886132</v>
      </c>
      <c r="Z487" s="31" t="str">
        <f t="shared" si="292"/>
        <v>-14.0619530731255+91.620694558265i</v>
      </c>
      <c r="AA487" s="17">
        <f t="shared" si="303"/>
        <v>92.693528337040192</v>
      </c>
      <c r="AB487" s="17">
        <f t="shared" si="304"/>
        <v>1.7230880422688171</v>
      </c>
      <c r="AC487" s="66" t="str">
        <f t="shared" si="305"/>
        <v>-0.00069726449234461+0.00025338806794475i</v>
      </c>
      <c r="AD487" s="64">
        <f t="shared" si="306"/>
        <v>-62.593347637786927</v>
      </c>
      <c r="AE487" s="61">
        <f t="shared" si="307"/>
        <v>160.0286992383669</v>
      </c>
      <c r="AF487" s="31" t="str">
        <f t="shared" si="293"/>
        <v>-0.000495863624968664</v>
      </c>
      <c r="AG487" s="31" t="str">
        <f t="shared" si="294"/>
        <v>0.679237345135958i</v>
      </c>
      <c r="AH487" s="31">
        <f t="shared" si="308"/>
        <v>0.67923734513595801</v>
      </c>
      <c r="AI487" s="31">
        <f t="shared" si="309"/>
        <v>1.5707963267948966</v>
      </c>
      <c r="AJ487" s="31" t="str">
        <f t="shared" si="295"/>
        <v>1+2.65017531349678i</v>
      </c>
      <c r="AK487" s="31">
        <f t="shared" si="310"/>
        <v>2.8325658319389078</v>
      </c>
      <c r="AL487" s="31">
        <f t="shared" si="311"/>
        <v>1.2099813952226952</v>
      </c>
      <c r="AM487" s="31" t="str">
        <f t="shared" si="296"/>
        <v>1+812.425965548627i</v>
      </c>
      <c r="AN487" s="31">
        <f t="shared" si="312"/>
        <v>812.42658098908771</v>
      </c>
      <c r="AO487" s="31">
        <f t="shared" si="313"/>
        <v>1.5695654460286692</v>
      </c>
      <c r="AP487" s="58" t="str">
        <f t="shared" si="314"/>
        <v>-0.0736792946218237+0.195993077701854i</v>
      </c>
      <c r="AQ487" s="49">
        <f t="shared" si="315"/>
        <v>-13.581103855806745</v>
      </c>
      <c r="AR487" s="61">
        <f t="shared" si="316"/>
        <v>110.60264849140002</v>
      </c>
      <c r="AS487" s="58" t="str">
        <f t="shared" si="317"/>
        <v>1.71164867137681E-06-0.000155328467938597i</v>
      </c>
      <c r="AT487" s="64">
        <f t="shared" si="318"/>
        <v>-76.174451493593665</v>
      </c>
      <c r="AU487" s="61">
        <f t="shared" si="319"/>
        <v>-89.368652270233113</v>
      </c>
    </row>
    <row r="488" spans="14:47" x14ac:dyDescent="0.25">
      <c r="N488" s="10">
        <v>70</v>
      </c>
      <c r="O488" s="50">
        <f t="shared" si="320"/>
        <v>501187.23362727347</v>
      </c>
      <c r="P488" s="48" t="str">
        <f t="shared" si="288"/>
        <v>304.285714285714</v>
      </c>
      <c r="Q488" s="17" t="str">
        <f t="shared" si="289"/>
        <v>1+163975.649953052i</v>
      </c>
      <c r="R488" s="17">
        <f t="shared" si="297"/>
        <v>163975.64995610126</v>
      </c>
      <c r="S488" s="17">
        <f t="shared" si="298"/>
        <v>1.5707902283284458</v>
      </c>
      <c r="T488" s="17" t="str">
        <f t="shared" si="290"/>
        <v>1+3.4009764434707i</v>
      </c>
      <c r="U488" s="17">
        <f t="shared" si="299"/>
        <v>3.5449458062208246</v>
      </c>
      <c r="V488" s="17">
        <f t="shared" si="300"/>
        <v>1.2848226068482489</v>
      </c>
      <c r="W488" s="31" t="str">
        <f t="shared" si="291"/>
        <v>1-10.6280513858459i</v>
      </c>
      <c r="X488" s="17">
        <f t="shared" si="301"/>
        <v>10.674993033261471</v>
      </c>
      <c r="Y488" s="17">
        <f t="shared" si="302"/>
        <v>-1.4769818987886278</v>
      </c>
      <c r="Z488" s="31" t="str">
        <f t="shared" si="292"/>
        <v>-14.7718010522728+93.7548146893681i</v>
      </c>
      <c r="AA488" s="17">
        <f t="shared" si="303"/>
        <v>94.911387007912168</v>
      </c>
      <c r="AB488" s="17">
        <f t="shared" si="304"/>
        <v>1.7270694322212439</v>
      </c>
      <c r="AC488" s="66" t="str">
        <f t="shared" si="305"/>
        <v>-0.000695421146688479+0.000252609038215575i</v>
      </c>
      <c r="AD488" s="64">
        <f t="shared" si="306"/>
        <v>-62.616778343439201</v>
      </c>
      <c r="AE488" s="61">
        <f t="shared" si="307"/>
        <v>160.03664360165047</v>
      </c>
      <c r="AF488" s="31" t="str">
        <f t="shared" si="293"/>
        <v>-0.000495863624968664</v>
      </c>
      <c r="AG488" s="31" t="str">
        <f t="shared" si="294"/>
        <v>0.695058815373011i</v>
      </c>
      <c r="AH488" s="31">
        <f t="shared" si="308"/>
        <v>0.69505881537301095</v>
      </c>
      <c r="AI488" s="31">
        <f t="shared" si="309"/>
        <v>1.5707963267948966</v>
      </c>
      <c r="AJ488" s="31" t="str">
        <f t="shared" si="295"/>
        <v>1+2.71190582661671i</v>
      </c>
      <c r="AK488" s="31">
        <f t="shared" si="310"/>
        <v>2.8904036417839047</v>
      </c>
      <c r="AL488" s="31">
        <f t="shared" si="311"/>
        <v>1.217521293626485</v>
      </c>
      <c r="AM488" s="31" t="str">
        <f t="shared" si="296"/>
        <v>1+831.349797292837i</v>
      </c>
      <c r="AN488" s="31">
        <f t="shared" si="312"/>
        <v>831.35039872417281</v>
      </c>
      <c r="AO488" s="31">
        <f t="shared" si="313"/>
        <v>1.5695934642682399</v>
      </c>
      <c r="AP488" s="58" t="str">
        <f t="shared" si="314"/>
        <v>-0.0707601088311231+0.192608163899282i</v>
      </c>
      <c r="AQ488" s="49">
        <f t="shared" si="315"/>
        <v>-13.756673824338087</v>
      </c>
      <c r="AR488" s="61">
        <f t="shared" si="316"/>
        <v>110.17224946178231</v>
      </c>
      <c r="AS488" s="58" t="str">
        <f t="shared" si="317"/>
        <v>5.53512988075731E-07-0.000151818433236261i</v>
      </c>
      <c r="AT488" s="64">
        <f t="shared" si="318"/>
        <v>-76.373452167777259</v>
      </c>
      <c r="AU488" s="61">
        <f t="shared" si="319"/>
        <v>-89.791106936567218</v>
      </c>
    </row>
    <row r="489" spans="14:47" x14ac:dyDescent="0.25">
      <c r="N489" s="10">
        <v>71</v>
      </c>
      <c r="O489" s="50">
        <f t="shared" si="320"/>
        <v>512861.38399136515</v>
      </c>
      <c r="P489" s="48" t="str">
        <f t="shared" si="288"/>
        <v>304.285714285714</v>
      </c>
      <c r="Q489" s="17" t="str">
        <f t="shared" si="289"/>
        <v>1+167795.133501639i</v>
      </c>
      <c r="R489" s="17">
        <f t="shared" si="297"/>
        <v>167795.13350461883</v>
      </c>
      <c r="S489" s="17">
        <f t="shared" si="298"/>
        <v>1.5707903671464902</v>
      </c>
      <c r="T489" s="17" t="str">
        <f t="shared" si="290"/>
        <v>1+3.48019536151548i</v>
      </c>
      <c r="U489" s="17">
        <f t="shared" si="299"/>
        <v>3.6210163979625749</v>
      </c>
      <c r="V489" s="17">
        <f t="shared" si="300"/>
        <v>1.2909941187617413</v>
      </c>
      <c r="W489" s="31" t="str">
        <f t="shared" si="291"/>
        <v>1-10.8756105047359i</v>
      </c>
      <c r="X489" s="17">
        <f t="shared" si="301"/>
        <v>10.921488170149791</v>
      </c>
      <c r="Y489" s="17">
        <f t="shared" si="302"/>
        <v>-1.4791052891159526</v>
      </c>
      <c r="Z489" s="31" t="str">
        <f t="shared" si="292"/>
        <v>-15.5151031360139+95.9386448642108i</v>
      </c>
      <c r="AA489" s="17">
        <f t="shared" si="303"/>
        <v>97.185091468302431</v>
      </c>
      <c r="AB489" s="17">
        <f t="shared" si="304"/>
        <v>1.7311272445889083</v>
      </c>
      <c r="AC489" s="66" t="str">
        <f t="shared" si="305"/>
        <v>-0.000693585691472867+0.000251950033490403i</v>
      </c>
      <c r="AD489" s="64">
        <f t="shared" si="306"/>
        <v>-62.639702681824893</v>
      </c>
      <c r="AE489" s="61">
        <f t="shared" si="307"/>
        <v>160.03608040708244</v>
      </c>
      <c r="AF489" s="31" t="str">
        <f t="shared" si="293"/>
        <v>-0.000495863624968664</v>
      </c>
      <c r="AG489" s="31" t="str">
        <f t="shared" si="294"/>
        <v>0.711248814994164i</v>
      </c>
      <c r="AH489" s="31">
        <f t="shared" si="308"/>
        <v>0.71124881499416404</v>
      </c>
      <c r="AI489" s="31">
        <f t="shared" si="309"/>
        <v>1.5707963267948966</v>
      </c>
      <c r="AJ489" s="31" t="str">
        <f t="shared" si="295"/>
        <v>1+2.77507422810222i</v>
      </c>
      <c r="AK489" s="31">
        <f t="shared" si="310"/>
        <v>2.9497520186410808</v>
      </c>
      <c r="AL489" s="31">
        <f t="shared" si="311"/>
        <v>1.2249302981085721</v>
      </c>
      <c r="AM489" s="31" t="str">
        <f t="shared" si="296"/>
        <v>1+850.714421703783i</v>
      </c>
      <c r="AN489" s="31">
        <f t="shared" si="312"/>
        <v>850.7150094448798</v>
      </c>
      <c r="AO489" s="31">
        <f t="shared" si="313"/>
        <v>1.5696208447366389</v>
      </c>
      <c r="AP489" s="58" t="str">
        <f t="shared" si="314"/>
        <v>-0.0679413965567921+0.189239591823775i</v>
      </c>
      <c r="AQ489" s="49">
        <f t="shared" si="315"/>
        <v>-13.933214332254721</v>
      </c>
      <c r="AR489" s="61">
        <f t="shared" si="316"/>
        <v>109.74931355984546</v>
      </c>
      <c r="AS489" s="58" t="str">
        <f t="shared" si="317"/>
        <v>-5.55740987235401E-07-0.000148371710287005i</v>
      </c>
      <c r="AT489" s="64">
        <f t="shared" si="318"/>
        <v>-76.572917014079593</v>
      </c>
      <c r="AU489" s="61">
        <f t="shared" si="319"/>
        <v>-90.214606033072087</v>
      </c>
    </row>
    <row r="490" spans="14:47" x14ac:dyDescent="0.25">
      <c r="N490" s="10">
        <v>72</v>
      </c>
      <c r="O490" s="50">
        <f t="shared" si="320"/>
        <v>524807.46024977288</v>
      </c>
      <c r="P490" s="48" t="str">
        <f t="shared" si="288"/>
        <v>304.285714285714</v>
      </c>
      <c r="Q490" s="17" t="str">
        <f t="shared" si="289"/>
        <v>1+171703.584251042i</v>
      </c>
      <c r="R490" s="17">
        <f t="shared" si="297"/>
        <v>171703.58425395397</v>
      </c>
      <c r="S490" s="17">
        <f t="shared" si="298"/>
        <v>1.57079050280465</v>
      </c>
      <c r="T490" s="17" t="str">
        <f t="shared" si="290"/>
        <v>1+3.56125952520678i</v>
      </c>
      <c r="U490" s="17">
        <f t="shared" si="299"/>
        <v>3.698995729367097</v>
      </c>
      <c r="V490" s="17">
        <f t="shared" si="300"/>
        <v>1.2970463740212208</v>
      </c>
      <c r="W490" s="31" t="str">
        <f t="shared" si="291"/>
        <v>1-11.1289360162712i</v>
      </c>
      <c r="X490" s="17">
        <f t="shared" si="301"/>
        <v>11.17377361746059</v>
      </c>
      <c r="Y490" s="17">
        <f t="shared" si="302"/>
        <v>-1.4811811466866618</v>
      </c>
      <c r="Z490" s="31" t="str">
        <f t="shared" si="292"/>
        <v>-16.2934359677251+98.173342978459i</v>
      </c>
      <c r="AA490" s="17">
        <f t="shared" si="303"/>
        <v>99.516236500384707</v>
      </c>
      <c r="AB490" s="17">
        <f t="shared" si="304"/>
        <v>1.7352631864803643</v>
      </c>
      <c r="AC490" s="66" t="str">
        <f t="shared" si="305"/>
        <v>-0.000691754541125639+0.000251409897111911i</v>
      </c>
      <c r="AD490" s="64">
        <f t="shared" si="306"/>
        <v>-62.662160859463825</v>
      </c>
      <c r="AE490" s="61">
        <f t="shared" si="307"/>
        <v>160.02693142498279</v>
      </c>
      <c r="AF490" s="31" t="str">
        <f t="shared" si="293"/>
        <v>-0.000495863624968664</v>
      </c>
      <c r="AG490" s="31" t="str">
        <f t="shared" si="294"/>
        <v>0.727815928151518i</v>
      </c>
      <c r="AH490" s="31">
        <f t="shared" si="308"/>
        <v>0.72781592815151797</v>
      </c>
      <c r="AI490" s="31">
        <f t="shared" si="309"/>
        <v>1.5707963267948966</v>
      </c>
      <c r="AJ490" s="31" t="str">
        <f t="shared" si="295"/>
        <v>1+2.83971401067593i</v>
      </c>
      <c r="AK490" s="31">
        <f t="shared" si="310"/>
        <v>3.0106437289106758</v>
      </c>
      <c r="AL490" s="31">
        <f t="shared" si="311"/>
        <v>1.2322090824051011</v>
      </c>
      <c r="AM490" s="31" t="str">
        <f t="shared" si="296"/>
        <v>1+870.530106161657i</v>
      </c>
      <c r="AN490" s="31">
        <f t="shared" si="312"/>
        <v>870.53068052414199</v>
      </c>
      <c r="AO490" s="31">
        <f t="shared" si="313"/>
        <v>1.5696476019511885</v>
      </c>
      <c r="AP490" s="58" t="str">
        <f t="shared" si="314"/>
        <v>-0.0652208948204532+0.185889992428299i</v>
      </c>
      <c r="AQ490" s="49">
        <f t="shared" si="315"/>
        <v>-14.110691769564651</v>
      </c>
      <c r="AR490" s="61">
        <f t="shared" si="316"/>
        <v>109.33380301513351</v>
      </c>
      <c r="AS490" s="58" t="str">
        <f t="shared" si="317"/>
        <v>-1.61773370220639E-06-0.000144987424868443i</v>
      </c>
      <c r="AT490" s="64">
        <f t="shared" si="318"/>
        <v>-76.772852629028506</v>
      </c>
      <c r="AU490" s="61">
        <f t="shared" si="319"/>
        <v>-90.639265559883697</v>
      </c>
    </row>
    <row r="491" spans="14:47" x14ac:dyDescent="0.25">
      <c r="N491" s="10">
        <v>73</v>
      </c>
      <c r="O491" s="50">
        <f t="shared" si="320"/>
        <v>537031.7963702539</v>
      </c>
      <c r="P491" s="48" t="str">
        <f t="shared" si="288"/>
        <v>304.285714285714</v>
      </c>
      <c r="Q491" s="17" t="str">
        <f t="shared" si="289"/>
        <v>1+175703.074513579i</v>
      </c>
      <c r="R491" s="17">
        <f t="shared" si="297"/>
        <v>175703.07451642471</v>
      </c>
      <c r="S491" s="17">
        <f t="shared" si="298"/>
        <v>1.5707906353748531</v>
      </c>
      <c r="T491" s="17" t="str">
        <f t="shared" si="290"/>
        <v>1+3.64421191583719i</v>
      </c>
      <c r="U491" s="17">
        <f t="shared" si="299"/>
        <v>3.7789258377917081</v>
      </c>
      <c r="V491" s="17">
        <f t="shared" si="300"/>
        <v>1.3029808073757991</v>
      </c>
      <c r="W491" s="31" t="str">
        <f t="shared" si="291"/>
        <v>1-11.3881622369912i</v>
      </c>
      <c r="X491" s="17">
        <f t="shared" si="301"/>
        <v>11.431983167238851</v>
      </c>
      <c r="Y491" s="17">
        <f t="shared" si="302"/>
        <v>-1.4832105005463192</v>
      </c>
      <c r="Z491" s="31" t="str">
        <f t="shared" si="292"/>
        <v>-17.1084504956953+100.460093898632i</v>
      </c>
      <c r="AA491" s="17">
        <f t="shared" si="303"/>
        <v>101.90647449738223</v>
      </c>
      <c r="AB491" s="17">
        <f t="shared" si="304"/>
        <v>1.7394789765600964</v>
      </c>
      <c r="AC491" s="66" t="str">
        <f t="shared" si="305"/>
        <v>-0.000689924146853846+0.000250987475069971i</v>
      </c>
      <c r="AD491" s="64">
        <f t="shared" si="306"/>
        <v>-62.68419259220029</v>
      </c>
      <c r="AE491" s="61">
        <f t="shared" si="307"/>
        <v>160.00912142411002</v>
      </c>
      <c r="AF491" s="31" t="str">
        <f t="shared" si="293"/>
        <v>-0.000495863624968664</v>
      </c>
      <c r="AG491" s="31" t="str">
        <f t="shared" si="294"/>
        <v>0.744768938947763i</v>
      </c>
      <c r="AH491" s="31">
        <f t="shared" si="308"/>
        <v>0.74476893894776297</v>
      </c>
      <c r="AI491" s="31">
        <f t="shared" si="309"/>
        <v>1.5707963267948966</v>
      </c>
      <c r="AJ491" s="31" t="str">
        <f t="shared" si="295"/>
        <v>1+2.90585944720616i</v>
      </c>
      <c r="AK491" s="31">
        <f t="shared" si="310"/>
        <v>3.0731122867408036</v>
      </c>
      <c r="AL491" s="31">
        <f t="shared" si="311"/>
        <v>1.2393584197884886</v>
      </c>
      <c r="AM491" s="31" t="str">
        <f t="shared" si="296"/>
        <v>1+890.807357204645i</v>
      </c>
      <c r="AN491" s="31">
        <f t="shared" si="312"/>
        <v>890.80791849305206</v>
      </c>
      <c r="AO491" s="31">
        <f t="shared" si="313"/>
        <v>1.569673750098765</v>
      </c>
      <c r="AP491" s="58" t="str">
        <f t="shared" si="314"/>
        <v>-0.0625962945849527+0.182561829233905i</v>
      </c>
      <c r="AQ491" s="49">
        <f t="shared" si="315"/>
        <v>-14.289073299929793</v>
      </c>
      <c r="AR491" s="61">
        <f t="shared" si="316"/>
        <v>108.92567433524867</v>
      </c>
      <c r="AS491" s="58" t="str">
        <f t="shared" si="317"/>
        <v>-2.63403742583752E-06-0.000141664700208893i</v>
      </c>
      <c r="AT491" s="64">
        <f t="shared" si="318"/>
        <v>-76.973265892130073</v>
      </c>
      <c r="AU491" s="61">
        <f t="shared" si="319"/>
        <v>-91.065204240641307</v>
      </c>
    </row>
    <row r="492" spans="14:47" x14ac:dyDescent="0.25">
      <c r="N492" s="10">
        <v>74</v>
      </c>
      <c r="O492" s="50">
        <f t="shared" si="320"/>
        <v>549540.87385762564</v>
      </c>
      <c r="P492" s="48" t="str">
        <f t="shared" si="288"/>
        <v>304.285714285714</v>
      </c>
      <c r="Q492" s="17" t="str">
        <f t="shared" si="289"/>
        <v>1+179795.724871928i</v>
      </c>
      <c r="R492" s="17">
        <f t="shared" si="297"/>
        <v>179795.72487470892</v>
      </c>
      <c r="S492" s="17">
        <f t="shared" si="298"/>
        <v>1.57079076492739</v>
      </c>
      <c r="T492" s="17" t="str">
        <f t="shared" si="290"/>
        <v>1+3.72909651586221i</v>
      </c>
      <c r="U492" s="17">
        <f t="shared" si="299"/>
        <v>3.8608497542141773</v>
      </c>
      <c r="V492" s="17">
        <f t="shared" si="300"/>
        <v>1.3087988927074559</v>
      </c>
      <c r="W492" s="31" t="str">
        <f t="shared" si="291"/>
        <v>1-11.6534266120694i</v>
      </c>
      <c r="X492" s="17">
        <f t="shared" si="301"/>
        <v>11.696253750790774</v>
      </c>
      <c r="Y492" s="17">
        <f t="shared" si="302"/>
        <v>-1.4851943597886377</v>
      </c>
      <c r="Z492" s="31" t="str">
        <f t="shared" si="292"/>
        <v>-17.961875475009+102.800110090337i</v>
      </c>
      <c r="AA492" s="17">
        <f t="shared" si="303"/>
        <v>104.35751820144601</v>
      </c>
      <c r="AB492" s="17">
        <f t="shared" si="304"/>
        <v>1.7437763440424596</v>
      </c>
      <c r="AC492" s="66" t="str">
        <f t="shared" si="305"/>
        <v>-0.000688090991555328+0.000250681612378215i</v>
      </c>
      <c r="AD492" s="64">
        <f t="shared" si="306"/>
        <v>-62.705837136514369</v>
      </c>
      <c r="AE492" s="61">
        <f t="shared" si="307"/>
        <v>159.98257795415822</v>
      </c>
      <c r="AF492" s="31" t="str">
        <f t="shared" si="293"/>
        <v>-0.000495863624968664</v>
      </c>
      <c r="AG492" s="31" t="str">
        <f t="shared" si="294"/>
        <v>0.762116836093618i</v>
      </c>
      <c r="AH492" s="31">
        <f t="shared" si="308"/>
        <v>0.76211683609361802</v>
      </c>
      <c r="AI492" s="31">
        <f t="shared" si="309"/>
        <v>1.5707963267948966</v>
      </c>
      <c r="AJ492" s="31" t="str">
        <f t="shared" si="295"/>
        <v>1+2.97354560887888i</v>
      </c>
      <c r="AK492" s="31">
        <f t="shared" si="310"/>
        <v>3.1371919750125059</v>
      </c>
      <c r="AL492" s="31">
        <f t="shared" si="311"/>
        <v>1.2463791766060681</v>
      </c>
      <c r="AM492" s="31" t="str">
        <f t="shared" si="296"/>
        <v>1+911.556926099651i</v>
      </c>
      <c r="AN492" s="31">
        <f t="shared" si="312"/>
        <v>911.55747461158194</v>
      </c>
      <c r="AO492" s="31">
        <f t="shared" si="313"/>
        <v>1.5696993030433191</v>
      </c>
      <c r="AP492" s="58" t="str">
        <f t="shared" si="314"/>
        <v>-0.0600652505364137+0.179257401882626i</v>
      </c>
      <c r="AQ492" s="49">
        <f t="shared" si="315"/>
        <v>-14.468326874577489</v>
      </c>
      <c r="AR492" s="61">
        <f t="shared" si="316"/>
        <v>108.52487867649066</v>
      </c>
      <c r="AS492" s="58" t="str">
        <f t="shared" si="317"/>
        <v>-3.60617673504627E-06-0.000138402657257418i</v>
      </c>
      <c r="AT492" s="64">
        <f t="shared" si="318"/>
        <v>-77.174164011091847</v>
      </c>
      <c r="AU492" s="61">
        <f t="shared" si="319"/>
        <v>-91.492543369351125</v>
      </c>
    </row>
    <row r="493" spans="14:47" x14ac:dyDescent="0.25">
      <c r="N493" s="10">
        <v>75</v>
      </c>
      <c r="O493" s="50">
        <f t="shared" si="320"/>
        <v>562341.32519035018</v>
      </c>
      <c r="P493" s="48" t="str">
        <f t="shared" si="288"/>
        <v>304.285714285714</v>
      </c>
      <c r="Q493" s="17" t="str">
        <f t="shared" si="289"/>
        <v>1+183983.705303483i</v>
      </c>
      <c r="R493" s="17">
        <f t="shared" si="297"/>
        <v>183983.70530620063</v>
      </c>
      <c r="S493" s="17">
        <f t="shared" si="298"/>
        <v>1.5707908915309512</v>
      </c>
      <c r="T493" s="17" t="str">
        <f t="shared" si="290"/>
        <v>1+3.81595833222038i</v>
      </c>
      <c r="U493" s="17">
        <f t="shared" si="299"/>
        <v>3.9448115282282044</v>
      </c>
      <c r="V493" s="17">
        <f t="shared" si="300"/>
        <v>1.3145021386608058</v>
      </c>
      <c r="W493" s="31" t="str">
        <f t="shared" si="291"/>
        <v>1-11.9248697881887i</v>
      </c>
      <c r="X493" s="17">
        <f t="shared" si="301"/>
        <v>11.966725511402675</v>
      </c>
      <c r="Y493" s="17">
        <f t="shared" si="302"/>
        <v>-1.4871337137844338</v>
      </c>
      <c r="Z493" s="31" t="str">
        <f t="shared" si="292"/>
        <v>-18.8555211344681+105.194632261132i</v>
      </c>
      <c r="AA493" s="17">
        <f t="shared" si="303"/>
        <v>106.87114359735826</v>
      </c>
      <c r="AB493" s="17">
        <f t="shared" si="304"/>
        <v>1.7481570275790799</v>
      </c>
      <c r="AC493" s="66" t="str">
        <f t="shared" si="305"/>
        <v>-0.000686251584996519+0.000250491149273022i</v>
      </c>
      <c r="AD493" s="64">
        <f t="shared" si="306"/>
        <v>-62.727133322208729</v>
      </c>
      <c r="AE493" s="61">
        <f t="shared" si="307"/>
        <v>159.94723114598875</v>
      </c>
      <c r="AF493" s="31" t="str">
        <f t="shared" si="293"/>
        <v>-0.000495863624968664</v>
      </c>
      <c r="AG493" s="31" t="str">
        <f t="shared" si="294"/>
        <v>0.77986881767378i</v>
      </c>
      <c r="AH493" s="31">
        <f t="shared" si="308"/>
        <v>0.77986881767378002</v>
      </c>
      <c r="AI493" s="31">
        <f t="shared" si="309"/>
        <v>1.5707963267948966</v>
      </c>
      <c r="AJ493" s="31" t="str">
        <f t="shared" si="295"/>
        <v>1+3.04280838379297i</v>
      </c>
      <c r="AK493" s="31">
        <f t="shared" si="310"/>
        <v>3.2029178666460969</v>
      </c>
      <c r="AL493" s="31">
        <f t="shared" si="311"/>
        <v>1.253272305965824</v>
      </c>
      <c r="AM493" s="31" t="str">
        <f t="shared" si="296"/>
        <v>1+932.78981454276i</v>
      </c>
      <c r="AN493" s="31">
        <f t="shared" si="312"/>
        <v>932.79035056904218</v>
      </c>
      <c r="AO493" s="31">
        <f t="shared" si="313"/>
        <v>1.5697242743332267</v>
      </c>
      <c r="AP493" s="58" t="str">
        <f t="shared" si="314"/>
        <v>-0.0576253902547034+0.175978850117847i</v>
      </c>
      <c r="AQ493" s="49">
        <f t="shared" si="315"/>
        <v>-14.648421243006721</v>
      </c>
      <c r="AR493" s="61">
        <f t="shared" si="316"/>
        <v>108.13136220605968</v>
      </c>
      <c r="AS493" s="58" t="str">
        <f t="shared" si="317"/>
        <v>-0.0000045356290154312-0.000135200415051444i</v>
      </c>
      <c r="AT493" s="64">
        <f t="shared" si="318"/>
        <v>-77.375554565215467</v>
      </c>
      <c r="AU493" s="61">
        <f t="shared" si="319"/>
        <v>-91.921406647951557</v>
      </c>
    </row>
    <row r="494" spans="14:47" x14ac:dyDescent="0.25">
      <c r="N494" s="10">
        <v>76</v>
      </c>
      <c r="O494" s="50">
        <f t="shared" si="320"/>
        <v>575439.93733715697</v>
      </c>
      <c r="P494" s="48" t="str">
        <f t="shared" si="288"/>
        <v>304.285714285714</v>
      </c>
      <c r="Q494" s="17" t="str">
        <f t="shared" si="289"/>
        <v>1+188269.236330901i</v>
      </c>
      <c r="R494" s="17">
        <f t="shared" si="297"/>
        <v>188269.23633355679</v>
      </c>
      <c r="S494" s="17">
        <f t="shared" si="298"/>
        <v>1.5707910152526634</v>
      </c>
      <c r="T494" s="17" t="str">
        <f t="shared" si="290"/>
        <v>1+3.90484342019646i</v>
      </c>
      <c r="U494" s="17">
        <f t="shared" si="299"/>
        <v>4.0308562534840648</v>
      </c>
      <c r="V494" s="17">
        <f t="shared" si="300"/>
        <v>1.320092084484777</v>
      </c>
      <c r="W494" s="31" t="str">
        <f t="shared" si="291"/>
        <v>1-12.202635688114i</v>
      </c>
      <c r="X494" s="17">
        <f t="shared" si="301"/>
        <v>12.243541878755241</v>
      </c>
      <c r="Y494" s="17">
        <f t="shared" si="302"/>
        <v>-1.4890295324197005</v>
      </c>
      <c r="Z494" s="31" t="str">
        <f t="shared" si="292"/>
        <v>-19.7912830163296+107.644930018367i</v>
      </c>
      <c r="AA494" s="17">
        <f t="shared" si="303"/>
        <v>109.4491929714038</v>
      </c>
      <c r="AB494" s="17">
        <f t="shared" si="304"/>
        <v>1.7526227740337992</v>
      </c>
      <c r="AC494" s="66" t="str">
        <f t="shared" si="305"/>
        <v>-0.000684402459260978+0.000250414917230998i</v>
      </c>
      <c r="AD494" s="64">
        <f t="shared" si="306"/>
        <v>-62.748119586301868</v>
      </c>
      <c r="AE494" s="61">
        <f t="shared" si="307"/>
        <v>159.90301352992321</v>
      </c>
      <c r="AF494" s="31" t="str">
        <f t="shared" si="293"/>
        <v>-0.000495863624968664</v>
      </c>
      <c r="AG494" s="31" t="str">
        <f t="shared" si="294"/>
        <v>0.798034296023854i</v>
      </c>
      <c r="AH494" s="31">
        <f t="shared" si="308"/>
        <v>0.79803429602385401</v>
      </c>
      <c r="AI494" s="31">
        <f t="shared" si="309"/>
        <v>1.5707963267948966</v>
      </c>
      <c r="AJ494" s="31" t="str">
        <f t="shared" si="295"/>
        <v>1+3.11368449598847i</v>
      </c>
      <c r="AK494" s="31">
        <f t="shared" si="310"/>
        <v>3.2703258462359632</v>
      </c>
      <c r="AL494" s="31">
        <f t="shared" si="311"/>
        <v>1.2600388415846293</v>
      </c>
      <c r="AM494" s="31" t="str">
        <f t="shared" si="296"/>
        <v>1+954.517280492468i</v>
      </c>
      <c r="AN494" s="31">
        <f t="shared" si="312"/>
        <v>954.51780431730913</v>
      </c>
      <c r="AO494" s="31">
        <f t="shared" si="313"/>
        <v>1.5697486772084717</v>
      </c>
      <c r="AP494" s="58" t="str">
        <f t="shared" si="314"/>
        <v>-0.0552743227733641+0.172728158130046i</v>
      </c>
      <c r="AQ494" s="49">
        <f t="shared" si="315"/>
        <v>-14.829325960694268</v>
      </c>
      <c r="AR494" s="61">
        <f t="shared" si="316"/>
        <v>107.74506645493659</v>
      </c>
      <c r="AS494" s="58" t="str">
        <f t="shared" si="317"/>
        <v>-5.42382498152273E-06-0.000132057091170114i</v>
      </c>
      <c r="AT494" s="64">
        <f t="shared" si="318"/>
        <v>-77.577445546996131</v>
      </c>
      <c r="AU494" s="61">
        <f t="shared" si="319"/>
        <v>-92.35192001514018</v>
      </c>
    </row>
    <row r="495" spans="14:47" x14ac:dyDescent="0.25">
      <c r="N495" s="10">
        <v>77</v>
      </c>
      <c r="O495" s="50">
        <f t="shared" si="320"/>
        <v>588843.65535558888</v>
      </c>
      <c r="P495" s="48" t="str">
        <f t="shared" si="288"/>
        <v>304.285714285714</v>
      </c>
      <c r="Q495" s="17" t="str">
        <f t="shared" si="289"/>
        <v>1+192654.59019946i</v>
      </c>
      <c r="R495" s="17">
        <f t="shared" si="297"/>
        <v>192654.59020205535</v>
      </c>
      <c r="S495" s="17">
        <f t="shared" si="298"/>
        <v>1.5707911361581257</v>
      </c>
      <c r="T495" s="17" t="str">
        <f t="shared" si="290"/>
        <v>1+3.99579890784065i</v>
      </c>
      <c r="U495" s="17">
        <f t="shared" si="299"/>
        <v>4.1190300935900597</v>
      </c>
      <c r="V495" s="17">
        <f t="shared" si="300"/>
        <v>1.3255702960839306</v>
      </c>
      <c r="W495" s="31" t="str">
        <f t="shared" si="291"/>
        <v>1-12.4868715870021i</v>
      </c>
      <c r="X495" s="17">
        <f t="shared" si="301"/>
        <v>12.526849645073591</v>
      </c>
      <c r="Y495" s="17">
        <f t="shared" si="302"/>
        <v>-1.4908827663417132</v>
      </c>
      <c r="Z495" s="31" t="str">
        <f t="shared" si="292"/>
        <v>-20.7711459970045+110.152302542347i</v>
      </c>
      <c r="AA495" s="17">
        <f t="shared" si="303"/>
        <v>112.09357814526943</v>
      </c>
      <c r="AB495" s="17">
        <f t="shared" si="304"/>
        <v>1.7571753371391323</v>
      </c>
      <c r="AC495" s="66" t="str">
        <f t="shared" si="305"/>
        <v>-0.000682540164474528+0.000250451734801314i</v>
      </c>
      <c r="AD495" s="64">
        <f t="shared" si="306"/>
        <v>-62.768834007964003</v>
      </c>
      <c r="AE495" s="61">
        <f t="shared" si="307"/>
        <v>159.84985987237729</v>
      </c>
      <c r="AF495" s="31" t="str">
        <f t="shared" si="293"/>
        <v>-0.000495863624968664</v>
      </c>
      <c r="AG495" s="31" t="str">
        <f t="shared" si="294"/>
        <v>0.816622902720915i</v>
      </c>
      <c r="AH495" s="31">
        <f t="shared" si="308"/>
        <v>0.81662290272091498</v>
      </c>
      <c r="AI495" s="31">
        <f t="shared" si="309"/>
        <v>1.5707963267948966</v>
      </c>
      <c r="AJ495" s="31" t="str">
        <f t="shared" si="295"/>
        <v>1+3.18621152491823i</v>
      </c>
      <c r="AK495" s="31">
        <f t="shared" si="310"/>
        <v>3.3394526320224625</v>
      </c>
      <c r="AL495" s="31">
        <f t="shared" si="311"/>
        <v>1.2666798918120903</v>
      </c>
      <c r="AM495" s="31" t="str">
        <f t="shared" si="296"/>
        <v>1+976.750844138826i</v>
      </c>
      <c r="AN495" s="31">
        <f t="shared" si="312"/>
        <v>976.75135603996432</v>
      </c>
      <c r="AO495" s="31">
        <f t="shared" si="313"/>
        <v>1.569772524607665</v>
      </c>
      <c r="AP495" s="58" t="str">
        <f t="shared" si="314"/>
        <v>-0.0530096465347146+0.169507159209299i</v>
      </c>
      <c r="AQ495" s="49">
        <f t="shared" si="315"/>
        <v>-15.011011394007694</v>
      </c>
      <c r="AR495" s="61">
        <f t="shared" si="316"/>
        <v>107.36592866069498</v>
      </c>
      <c r="AS495" s="58" t="str">
        <f t="shared" si="317"/>
        <v>-6.27214922067077E-06-0.000128971802262149i</v>
      </c>
      <c r="AT495" s="64">
        <f t="shared" si="318"/>
        <v>-77.779845401971684</v>
      </c>
      <c r="AU495" s="61">
        <f t="shared" si="319"/>
        <v>-92.784211466927715</v>
      </c>
    </row>
    <row r="496" spans="14:47" x14ac:dyDescent="0.25">
      <c r="N496" s="10">
        <v>78</v>
      </c>
      <c r="O496" s="50">
        <f t="shared" si="320"/>
        <v>602559.58607435878</v>
      </c>
      <c r="P496" s="48" t="str">
        <f t="shared" si="288"/>
        <v>304.285714285714</v>
      </c>
      <c r="Q496" s="17" t="str">
        <f t="shared" si="289"/>
        <v>1+197142.092081828i</v>
      </c>
      <c r="R496" s="17">
        <f t="shared" si="297"/>
        <v>197142.09208436427</v>
      </c>
      <c r="S496" s="17">
        <f t="shared" si="298"/>
        <v>1.5707912543114435</v>
      </c>
      <c r="T496" s="17" t="str">
        <f t="shared" si="290"/>
        <v>1+4.08887302095643i</v>
      </c>
      <c r="U496" s="17">
        <f t="shared" si="299"/>
        <v>4.2093803084902364</v>
      </c>
      <c r="V496" s="17">
        <f t="shared" si="300"/>
        <v>1.3309383622762643</v>
      </c>
      <c r="W496" s="31" t="str">
        <f t="shared" si="291"/>
        <v>1-12.7777281904889i</v>
      </c>
      <c r="X496" s="17">
        <f t="shared" si="301"/>
        <v>12.816799043053408</v>
      </c>
      <c r="Y496" s="17">
        <f t="shared" si="302"/>
        <v>-1.4926943472121508</v>
      </c>
      <c r="Z496" s="31" t="str">
        <f t="shared" si="292"/>
        <v>-21.7971884972474+112.718079275173i</v>
      </c>
      <c r="AA496" s="17">
        <f t="shared" si="303"/>
        <v>114.80628389538927</v>
      </c>
      <c r="AB496" s="17">
        <f t="shared" si="304"/>
        <v>1.7618164760280588</v>
      </c>
      <c r="AC496" s="66" t="str">
        <f t="shared" si="305"/>
        <v>-0.000680661264814423+0.00025060040324983i</v>
      </c>
      <c r="AD496" s="64">
        <f t="shared" si="306"/>
        <v>-62.789314344334144</v>
      </c>
      <c r="AE496" s="61">
        <f t="shared" si="307"/>
        <v>159.78770703106622</v>
      </c>
      <c r="AF496" s="31" t="str">
        <f t="shared" si="293"/>
        <v>-0.000495863624968664</v>
      </c>
      <c r="AG496" s="31" t="str">
        <f t="shared" si="294"/>
        <v>0.835644493690282i</v>
      </c>
      <c r="AH496" s="31">
        <f t="shared" si="308"/>
        <v>0.83564449369028204</v>
      </c>
      <c r="AI496" s="31">
        <f t="shared" si="309"/>
        <v>1.5707963267948966</v>
      </c>
      <c r="AJ496" s="31" t="str">
        <f t="shared" si="295"/>
        <v>1+3.260427925373i</v>
      </c>
      <c r="AK496" s="31">
        <f t="shared" si="310"/>
        <v>3.4103357982099185</v>
      </c>
      <c r="AL496" s="31">
        <f t="shared" si="311"/>
        <v>1.2731966338408331</v>
      </c>
      <c r="AM496" s="31" t="str">
        <f t="shared" si="296"/>
        <v>1+999.502294011571i</v>
      </c>
      <c r="AN496" s="31">
        <f t="shared" si="312"/>
        <v>999.50279426042266</v>
      </c>
      <c r="AO496" s="31">
        <f t="shared" si="313"/>
        <v>1.569795829174905</v>
      </c>
      <c r="AP496" s="58" t="str">
        <f t="shared" si="314"/>
        <v>-0.0508289567498735+0.166317540649706i</v>
      </c>
      <c r="AQ496" s="49">
        <f t="shared" si="315"/>
        <v>-15.193448722528046</v>
      </c>
      <c r="AR496" s="61">
        <f t="shared" si="316"/>
        <v>106.9938820996185</v>
      </c>
      <c r="AS496" s="58" t="str">
        <f t="shared" si="317"/>
        <v>-7.08194076376981E-06-0.00012594366463774i</v>
      </c>
      <c r="AT496" s="64">
        <f t="shared" si="318"/>
        <v>-77.982763066862162</v>
      </c>
      <c r="AU496" s="61">
        <f t="shared" si="319"/>
        <v>-93.218410869315278</v>
      </c>
    </row>
    <row r="497" spans="14:47" x14ac:dyDescent="0.25">
      <c r="N497" s="10">
        <v>79</v>
      </c>
      <c r="O497" s="50">
        <f t="shared" si="320"/>
        <v>616595.00186148309</v>
      </c>
      <c r="P497" s="48" t="str">
        <f t="shared" si="288"/>
        <v>304.285714285714</v>
      </c>
      <c r="Q497" s="17" t="str">
        <f t="shared" si="289"/>
        <v>1+201734.121310902i</v>
      </c>
      <c r="R497" s="17">
        <f t="shared" si="297"/>
        <v>201734.12131338054</v>
      </c>
      <c r="S497" s="17">
        <f t="shared" si="298"/>
        <v>1.5707913697752636</v>
      </c>
      <c r="T497" s="17" t="str">
        <f t="shared" si="290"/>
        <v>1+4.18411510867055i</v>
      </c>
      <c r="U497" s="17">
        <f t="shared" si="299"/>
        <v>4.3019552813348918</v>
      </c>
      <c r="V497" s="17">
        <f t="shared" si="300"/>
        <v>1.3361978912536769</v>
      </c>
      <c r="W497" s="31" t="str">
        <f t="shared" si="291"/>
        <v>1-13.0753597145955i</v>
      </c>
      <c r="X497" s="17">
        <f t="shared" si="301"/>
        <v>13.11354382560515</v>
      </c>
      <c r="Y497" s="17">
        <f t="shared" si="302"/>
        <v>-1.4944651879662914</v>
      </c>
      <c r="Z497" s="31" t="str">
        <f t="shared" si="292"/>
        <v>-22.8715868907654+115.343620625631i</v>
      </c>
      <c r="AA497" s="17">
        <f t="shared" si="303"/>
        <v>117.58937156874052</v>
      </c>
      <c r="AB497" s="17">
        <f t="shared" si="304"/>
        <v>1.7665479536348074</v>
      </c>
      <c r="AC497" s="66" t="str">
        <f t="shared" si="305"/>
        <v>-0.00067876233481133+0.000250859702012407i</v>
      </c>
      <c r="AD497" s="64">
        <f t="shared" si="306"/>
        <v>-62.809598067061991</v>
      </c>
      <c r="AE497" s="61">
        <f t="shared" si="307"/>
        <v>159.71649382897968</v>
      </c>
      <c r="AF497" s="31" t="str">
        <f t="shared" si="293"/>
        <v>-0.000495863624968664</v>
      </c>
      <c r="AG497" s="31" t="str">
        <f t="shared" si="294"/>
        <v>0.855109154431264i</v>
      </c>
      <c r="AH497" s="31">
        <f t="shared" si="308"/>
        <v>0.85510915443126401</v>
      </c>
      <c r="AI497" s="31">
        <f t="shared" si="309"/>
        <v>1.5707963267948966</v>
      </c>
      <c r="AJ497" s="31" t="str">
        <f t="shared" si="295"/>
        <v>1+3.33637304787067i</v>
      </c>
      <c r="AK497" s="31">
        <f t="shared" si="310"/>
        <v>3.4830137976410351</v>
      </c>
      <c r="AL497" s="31">
        <f t="shared" si="311"/>
        <v>1.2795903081120539</v>
      </c>
      <c r="AM497" s="31" t="str">
        <f t="shared" si="296"/>
        <v>1+1022.78369323058i</v>
      </c>
      <c r="AN497" s="31">
        <f t="shared" si="312"/>
        <v>1022.7841820923832</v>
      </c>
      <c r="AO497" s="31">
        <f t="shared" si="313"/>
        <v>1.5698186032664803</v>
      </c>
      <c r="AP497" s="58" t="str">
        <f t="shared" si="314"/>
        <v>-0.0487298521769817+0.163160848854709i</v>
      </c>
      <c r="AQ497" s="49">
        <f t="shared" si="315"/>
        <v>-15.376609938981247</v>
      </c>
      <c r="AR497" s="61">
        <f t="shared" si="316"/>
        <v>106.6288564076258</v>
      </c>
      <c r="AS497" s="58" t="str">
        <f t="shared" si="317"/>
        <v>-7.85449368512461E-06-0.000122971794914647i</v>
      </c>
      <c r="AT497" s="64">
        <f t="shared" si="318"/>
        <v>-78.186208006043245</v>
      </c>
      <c r="AU497" s="61">
        <f t="shared" si="319"/>
        <v>-93.654649763394502</v>
      </c>
    </row>
    <row r="498" spans="14:47" x14ac:dyDescent="0.25">
      <c r="N498" s="10">
        <v>80</v>
      </c>
      <c r="O498" s="50">
        <f t="shared" si="320"/>
        <v>630957.34448019415</v>
      </c>
      <c r="P498" s="48" t="str">
        <f t="shared" si="288"/>
        <v>304.285714285714</v>
      </c>
      <c r="Q498" s="17" t="str">
        <f t="shared" si="289"/>
        <v>1+206433.112641362i</v>
      </c>
      <c r="R498" s="17">
        <f t="shared" si="297"/>
        <v>206433.11264378409</v>
      </c>
      <c r="S498" s="17">
        <f t="shared" si="298"/>
        <v>1.5707914826108063</v>
      </c>
      <c r="T498" s="17" t="str">
        <f t="shared" si="290"/>
        <v>1+4.2815756695986i</v>
      </c>
      <c r="U498" s="17">
        <f t="shared" si="299"/>
        <v>4.3968045458604017</v>
      </c>
      <c r="V498" s="17">
        <f t="shared" si="300"/>
        <v>1.3413505072406127</v>
      </c>
      <c r="W498" s="31" t="str">
        <f t="shared" si="291"/>
        <v>1-13.3799239674956i</v>
      </c>
      <c r="X498" s="17">
        <f t="shared" si="301"/>
        <v>13.417241347458994</v>
      </c>
      <c r="Y498" s="17">
        <f t="shared" si="302"/>
        <v>-1.4961961830774078</v>
      </c>
      <c r="Z498" s="31" t="str">
        <f t="shared" si="292"/>
        <v>-23.996620120598+118.030318690498i</v>
      </c>
      <c r="AA498" s="17">
        <f t="shared" si="303"/>
        <v>120.44498290668986</v>
      </c>
      <c r="AB498" s="17">
        <f t="shared" si="304"/>
        <v>1.7713715349582437</v>
      </c>
      <c r="AC498" s="66" t="str">
        <f t="shared" si="305"/>
        <v>-0.000676839955954391+0.000251228383955557i</v>
      </c>
      <c r="AD498" s="64">
        <f t="shared" si="306"/>
        <v>-62.829722399421392</v>
      </c>
      <c r="AE498" s="61">
        <f t="shared" si="307"/>
        <v>159.63616094728661</v>
      </c>
      <c r="AF498" s="31" t="str">
        <f t="shared" si="293"/>
        <v>-0.000495863624968664</v>
      </c>
      <c r="AG498" s="31" t="str">
        <f t="shared" si="294"/>
        <v>0.875027205364633i</v>
      </c>
      <c r="AH498" s="31">
        <f t="shared" si="308"/>
        <v>0.87502720536463297</v>
      </c>
      <c r="AI498" s="31">
        <f t="shared" si="309"/>
        <v>1.5707963267948966</v>
      </c>
      <c r="AJ498" s="31" t="str">
        <f t="shared" si="295"/>
        <v>1+3.41408715952044i</v>
      </c>
      <c r="AK498" s="31">
        <f t="shared" si="310"/>
        <v>3.5575259848386693</v>
      </c>
      <c r="AL498" s="31">
        <f t="shared" si="311"/>
        <v>1.2858622129232129</v>
      </c>
      <c r="AM498" s="31" t="str">
        <f t="shared" si="296"/>
        <v>1+1046.60738590188i</v>
      </c>
      <c r="AN498" s="31">
        <f t="shared" si="312"/>
        <v>1046.6078636358352</v>
      </c>
      <c r="AO498" s="31">
        <f t="shared" si="313"/>
        <v>1.5698408589574209</v>
      </c>
      <c r="AP498" s="58" t="str">
        <f t="shared" si="314"/>
        <v>-0.0467099413338117+0.160038494596157i</v>
      </c>
      <c r="AQ498" s="49">
        <f t="shared" si="315"/>
        <v>-15.560467846972191</v>
      </c>
      <c r="AR498" s="61">
        <f t="shared" si="316"/>
        <v>106.27077788959966</v>
      </c>
      <c r="AS498" s="58" t="str">
        <f t="shared" si="317"/>
        <v>-8.59105773306337E-06-0.000120055310709422i</v>
      </c>
      <c r="AT498" s="64">
        <f t="shared" si="318"/>
        <v>-78.390190246393601</v>
      </c>
      <c r="AU498" s="61">
        <f t="shared" si="319"/>
        <v>-94.093061163113759</v>
      </c>
    </row>
    <row r="499" spans="14:47" x14ac:dyDescent="0.25">
      <c r="N499" s="10">
        <v>81</v>
      </c>
      <c r="O499" s="50">
        <f t="shared" si="320"/>
        <v>645654.22903465747</v>
      </c>
      <c r="P499" s="48" t="str">
        <f t="shared" si="288"/>
        <v>304.285714285714</v>
      </c>
      <c r="Q499" s="17" t="str">
        <f t="shared" si="289"/>
        <v>1+211241.557540609i</v>
      </c>
      <c r="R499" s="17">
        <f t="shared" si="297"/>
        <v>211241.55754297596</v>
      </c>
      <c r="S499" s="17">
        <f t="shared" si="298"/>
        <v>1.5707915928778984</v>
      </c>
      <c r="T499" s="17" t="str">
        <f t="shared" si="290"/>
        <v>1+4.38130637862003i</v>
      </c>
      <c r="U499" s="17">
        <f t="shared" si="299"/>
        <v>4.493978814295474</v>
      </c>
      <c r="V499" s="17">
        <f t="shared" si="300"/>
        <v>1.346397847345906</v>
      </c>
      <c r="W499" s="31" t="str">
        <f t="shared" si="291"/>
        <v>1-13.6915824331876i</v>
      </c>
      <c r="X499" s="17">
        <f t="shared" si="301"/>
        <v>13.728052648674222</v>
      </c>
      <c r="Y499" s="17">
        <f t="shared" si="302"/>
        <v>-1.4978882088255496</v>
      </c>
      <c r="Z499" s="31" t="str">
        <f t="shared" si="292"/>
        <v>-25.1746745330618+120.779597992651i</v>
      </c>
      <c r="AA499" s="17">
        <f t="shared" si="303"/>
        <v>123.37534408913304</v>
      </c>
      <c r="AB499" s="17">
        <f t="shared" si="304"/>
        <v>1.7762889851813861</v>
      </c>
      <c r="AC499" s="66" t="str">
        <f t="shared" si="305"/>
        <v>-0.000674890713611036+0.000251705170443375i</v>
      </c>
      <c r="AD499" s="64">
        <f t="shared" si="306"/>
        <v>-62.849724353845545</v>
      </c>
      <c r="AE499" s="61">
        <f t="shared" si="307"/>
        <v>159.54665083730029</v>
      </c>
      <c r="AF499" s="31" t="str">
        <f t="shared" si="293"/>
        <v>-0.000495863624968664</v>
      </c>
      <c r="AG499" s="31" t="str">
        <f t="shared" si="294"/>
        <v>0.895409207304643i</v>
      </c>
      <c r="AH499" s="31">
        <f t="shared" si="308"/>
        <v>0.89540920730464302</v>
      </c>
      <c r="AI499" s="31">
        <f t="shared" si="309"/>
        <v>1.5707963267948966</v>
      </c>
      <c r="AJ499" s="31" t="str">
        <f t="shared" si="295"/>
        <v>1+3.49361146537298i</v>
      </c>
      <c r="AK499" s="31">
        <f t="shared" si="310"/>
        <v>3.6339126394267574</v>
      </c>
      <c r="AL499" s="31">
        <f t="shared" si="311"/>
        <v>1.2920136992430087</v>
      </c>
      <c r="AM499" s="31" t="str">
        <f t="shared" si="296"/>
        <v>1+1070.98600366267i</v>
      </c>
      <c r="AN499" s="31">
        <f t="shared" si="312"/>
        <v>1070.9864705220775</v>
      </c>
      <c r="AO499" s="31">
        <f t="shared" si="313"/>
        <v>1.569862608047901</v>
      </c>
      <c r="AP499" s="58" t="str">
        <f t="shared" si="314"/>
        <v>-0.0447668481634516+0.156951758383796i</v>
      </c>
      <c r="AQ499" s="49">
        <f t="shared" si="315"/>
        <v>-15.744996056710441</v>
      </c>
      <c r="AR499" s="61">
        <f t="shared" si="316"/>
        <v>105.91956981683565</v>
      </c>
      <c r="AS499" s="58" t="str">
        <f t="shared" si="317"/>
        <v>-9.29283899223204E-06-0.000117193331365341i</v>
      </c>
      <c r="AT499" s="64">
        <f t="shared" si="318"/>
        <v>-78.594720410556008</v>
      </c>
      <c r="AU499" s="61">
        <f t="shared" si="319"/>
        <v>-94.533779345864048</v>
      </c>
    </row>
    <row r="500" spans="14:47" x14ac:dyDescent="0.25">
      <c r="N500" s="10">
        <v>82</v>
      </c>
      <c r="O500" s="50">
        <f t="shared" si="320"/>
        <v>660693.44800759677</v>
      </c>
      <c r="P500" s="48" t="str">
        <f t="shared" si="288"/>
        <v>304.285714285714</v>
      </c>
      <c r="Q500" s="17" t="str">
        <f t="shared" si="289"/>
        <v>1+216162.005509777i</v>
      </c>
      <c r="R500" s="17">
        <f t="shared" si="297"/>
        <v>216162.00551209011</v>
      </c>
      <c r="S500" s="17">
        <f t="shared" si="298"/>
        <v>1.570791700635005</v>
      </c>
      <c r="T500" s="17" t="str">
        <f t="shared" si="290"/>
        <v>1+4.48336011427684i</v>
      </c>
      <c r="U500" s="17">
        <f t="shared" si="299"/>
        <v>4.5935300058112647</v>
      </c>
      <c r="V500" s="17">
        <f t="shared" si="300"/>
        <v>1.3513415586024073</v>
      </c>
      <c r="W500" s="31" t="str">
        <f t="shared" si="291"/>
        <v>1-14.0105003571151i</v>
      </c>
      <c r="X500" s="17">
        <f t="shared" si="301"/>
        <v>14.046142540096989</v>
      </c>
      <c r="Y500" s="17">
        <f t="shared" si="302"/>
        <v>-1.4995421235699591</v>
      </c>
      <c r="Z500" s="31" t="str">
        <f t="shared" si="292"/>
        <v>-26.4082489395097+123.592916236366i</v>
      </c>
      <c r="AA500" s="17">
        <f t="shared" si="303"/>
        <v>126.38277001181964</v>
      </c>
      <c r="AB500" s="17">
        <f t="shared" si="304"/>
        <v>1.7813020676405054</v>
      </c>
      <c r="AC500" s="66" t="str">
        <f t="shared" si="305"/>
        <v>-0.000672911194274787+0.00025228874621065i</v>
      </c>
      <c r="AD500" s="64">
        <f t="shared" si="306"/>
        <v>-62.86964076973571</v>
      </c>
      <c r="AE500" s="61">
        <f t="shared" si="307"/>
        <v>159.44790765161406</v>
      </c>
      <c r="AF500" s="31" t="str">
        <f t="shared" si="293"/>
        <v>-0.000495863624968664</v>
      </c>
      <c r="AG500" s="31" t="str">
        <f t="shared" si="294"/>
        <v>0.916265967058505i</v>
      </c>
      <c r="AH500" s="31">
        <f t="shared" si="308"/>
        <v>0.91626596705850505</v>
      </c>
      <c r="AI500" s="31">
        <f t="shared" si="309"/>
        <v>1.5707963267948966</v>
      </c>
      <c r="AJ500" s="31" t="str">
        <f t="shared" si="295"/>
        <v>1+3.57498813026786i</v>
      </c>
      <c r="AK500" s="31">
        <f t="shared" si="310"/>
        <v>3.7122149899428085</v>
      </c>
      <c r="AL500" s="31">
        <f t="shared" si="311"/>
        <v>1.29804616573714</v>
      </c>
      <c r="AM500" s="31" t="str">
        <f t="shared" si="296"/>
        <v>1+1095.93247237878i</v>
      </c>
      <c r="AN500" s="31">
        <f t="shared" si="312"/>
        <v>1095.9329286111745</v>
      </c>
      <c r="AO500" s="31">
        <f t="shared" si="313"/>
        <v>1.5698838620694935</v>
      </c>
      <c r="AP500" s="58" t="str">
        <f t="shared" si="314"/>
        <v>-0.042898217173704+0.153901795905712i</v>
      </c>
      <c r="AQ500" s="49">
        <f t="shared" si="315"/>
        <v>-15.930168978908279</v>
      </c>
      <c r="AR500" s="61">
        <f t="shared" si="316"/>
        <v>105.57515271240275</v>
      </c>
      <c r="AS500" s="58" t="str">
        <f t="shared" si="317"/>
        <v>-9.96100057800309E-06-0.000114384978709373i</v>
      </c>
      <c r="AT500" s="64">
        <f t="shared" si="318"/>
        <v>-78.799809748644009</v>
      </c>
      <c r="AU500" s="61">
        <f t="shared" si="319"/>
        <v>-94.976939635983214</v>
      </c>
    </row>
    <row r="501" spans="14:47" x14ac:dyDescent="0.25">
      <c r="N501" s="10">
        <v>83</v>
      </c>
      <c r="O501" s="50">
        <f t="shared" si="320"/>
        <v>676082.97539198259</v>
      </c>
      <c r="P501" s="48" t="str">
        <f t="shared" si="288"/>
        <v>304.285714285714</v>
      </c>
      <c r="Q501" s="17" t="str">
        <f t="shared" si="289"/>
        <v>1+221197.065435508i</v>
      </c>
      <c r="R501" s="17">
        <f t="shared" si="297"/>
        <v>221197.06543776841</v>
      </c>
      <c r="S501" s="17">
        <f t="shared" si="298"/>
        <v>1.5707918059392605</v>
      </c>
      <c r="T501" s="17" t="str">
        <f t="shared" si="290"/>
        <v>1+4.58779098681053i</v>
      </c>
      <c r="U501" s="17">
        <f t="shared" si="299"/>
        <v>4.6955112755332546</v>
      </c>
      <c r="V501" s="17">
        <f t="shared" si="300"/>
        <v>1.3561832951886237</v>
      </c>
      <c r="W501" s="31" t="str">
        <f t="shared" si="291"/>
        <v>1-14.3368468337829i</v>
      </c>
      <c r="X501" s="17">
        <f t="shared" si="301"/>
        <v>14.371679690813831</v>
      </c>
      <c r="Y501" s="17">
        <f t="shared" si="302"/>
        <v>-1.5011587680244323</v>
      </c>
      <c r="Z501" s="31" t="str">
        <f t="shared" si="292"/>
        <v>-27.6999599166465+126.471765080216i</v>
      </c>
      <c r="AA501" s="17">
        <f t="shared" si="303"/>
        <v>129.46966881045603</v>
      </c>
      <c r="AB501" s="17">
        <f t="shared" si="304"/>
        <v>1.7864125416373169</v>
      </c>
      <c r="AC501" s="66" t="str">
        <f t="shared" si="305"/>
        <v>-0.000670897983155771+0.000252977754043262i</v>
      </c>
      <c r="AD501" s="64">
        <f t="shared" si="306"/>
        <v>-62.889508351396053</v>
      </c>
      <c r="AE501" s="61">
        <f t="shared" si="307"/>
        <v>159.33987719448572</v>
      </c>
      <c r="AF501" s="31" t="str">
        <f t="shared" si="293"/>
        <v>-0.000495863624968664</v>
      </c>
      <c r="AG501" s="31" t="str">
        <f t="shared" si="294"/>
        <v>0.937608543156316i</v>
      </c>
      <c r="AH501" s="31">
        <f t="shared" si="308"/>
        <v>0.93760854315631603</v>
      </c>
      <c r="AI501" s="31">
        <f t="shared" si="309"/>
        <v>1.5707963267948966</v>
      </c>
      <c r="AJ501" s="31" t="str">
        <f t="shared" si="295"/>
        <v>1+3.65826030118997i</v>
      </c>
      <c r="AK501" s="31">
        <f t="shared" si="310"/>
        <v>3.7924752380552906</v>
      </c>
      <c r="AL501" s="31">
        <f t="shared" si="311"/>
        <v>1.3039610540069206</v>
      </c>
      <c r="AM501" s="31" t="str">
        <f t="shared" si="296"/>
        <v>1+1121.46001899813i</v>
      </c>
      <c r="AN501" s="31">
        <f t="shared" si="312"/>
        <v>1121.4604648454113</v>
      </c>
      <c r="AO501" s="31">
        <f t="shared" si="313"/>
        <v>1.5699046322912855</v>
      </c>
      <c r="AP501" s="58" t="str">
        <f t="shared" si="314"/>
        <v>-0.0411017180724185+0.150889643503925i</v>
      </c>
      <c r="AQ501" s="49">
        <f t="shared" si="315"/>
        <v>-16.115961817026367</v>
      </c>
      <c r="AR501" s="61">
        <f t="shared" si="316"/>
        <v>105.23744462430113</v>
      </c>
      <c r="AS501" s="58" t="str">
        <f t="shared" si="317"/>
        <v>-0.0000105966633629888-0.000111629377831156i</v>
      </c>
      <c r="AT501" s="64">
        <f t="shared" si="318"/>
        <v>-79.005470168422448</v>
      </c>
      <c r="AU501" s="61">
        <f t="shared" si="319"/>
        <v>-95.4226781812132</v>
      </c>
    </row>
    <row r="502" spans="14:47" x14ac:dyDescent="0.25">
      <c r="N502" s="10">
        <v>84</v>
      </c>
      <c r="O502" s="50">
        <f t="shared" si="320"/>
        <v>691830.97091893724</v>
      </c>
      <c r="P502" s="48" t="str">
        <f t="shared" si="288"/>
        <v>304.285714285714</v>
      </c>
      <c r="Q502" s="17" t="str">
        <f t="shared" si="289"/>
        <v>1+226349.406973223i</v>
      </c>
      <c r="R502" s="17">
        <f t="shared" si="297"/>
        <v>226349.40697543195</v>
      </c>
      <c r="S502" s="17">
        <f t="shared" si="298"/>
        <v>1.5707919088464983</v>
      </c>
      <c r="T502" s="17" t="str">
        <f t="shared" si="290"/>
        <v>1+4.69465436685202i</v>
      </c>
      <c r="U502" s="17">
        <f t="shared" si="299"/>
        <v>4.7999770441328922</v>
      </c>
      <c r="V502" s="17">
        <f t="shared" si="300"/>
        <v>1.3609247158263242</v>
      </c>
      <c r="W502" s="31" t="str">
        <f t="shared" si="291"/>
        <v>1-14.6707948964126i</v>
      </c>
      <c r="X502" s="17">
        <f t="shared" si="301"/>
        <v>14.704836717645183</v>
      </c>
      <c r="Y502" s="17">
        <f t="shared" si="302"/>
        <v>-1.5027389655349701</v>
      </c>
      <c r="Z502" s="31" t="str">
        <f t="shared" si="292"/>
        <v>-29.0525473566371+129.417670927963i</v>
      </c>
      <c r="AA502" s="17">
        <f t="shared" si="303"/>
        <v>132.63854664586822</v>
      </c>
      <c r="AB502" s="17">
        <f t="shared" si="304"/>
        <v>1.7916221600877524</v>
      </c>
      <c r="AC502" s="66" t="str">
        <f t="shared" si="305"/>
        <v>-0.000668847662129905+0.000253770789268084i</v>
      </c>
      <c r="AD502" s="64">
        <f t="shared" si="306"/>
        <v>-62.909363705951861</v>
      </c>
      <c r="AE502" s="61">
        <f t="shared" si="307"/>
        <v>159.22250689153742</v>
      </c>
      <c r="AF502" s="31" t="str">
        <f t="shared" si="293"/>
        <v>-0.000495863624968664</v>
      </c>
      <c r="AG502" s="31" t="str">
        <f t="shared" si="294"/>
        <v>0.959448251714425i</v>
      </c>
      <c r="AH502" s="31">
        <f t="shared" si="308"/>
        <v>0.95944825171442505</v>
      </c>
      <c r="AI502" s="31">
        <f t="shared" si="309"/>
        <v>1.5707963267948966</v>
      </c>
      <c r="AJ502" s="31" t="str">
        <f t="shared" si="295"/>
        <v>1+3.74347213014658i</v>
      </c>
      <c r="AK502" s="31">
        <f t="shared" si="310"/>
        <v>3.8747365831994527</v>
      </c>
      <c r="AL502" s="31">
        <f t="shared" si="311"/>
        <v>1.3097598440414566</v>
      </c>
      <c r="AM502" s="31" t="str">
        <f t="shared" si="296"/>
        <v>1+1147.58217856383i</v>
      </c>
      <c r="AN502" s="31">
        <f t="shared" si="312"/>
        <v>1147.5826142623919</v>
      </c>
      <c r="AO502" s="31">
        <f t="shared" si="313"/>
        <v>1.5699249297258515</v>
      </c>
      <c r="AP502" s="58" t="str">
        <f t="shared" si="314"/>
        <v>-0.0393750499221462+0.147916223652962i</v>
      </c>
      <c r="AQ502" s="49">
        <f t="shared" si="315"/>
        <v>-16.30235055803281</v>
      </c>
      <c r="AR502" s="61">
        <f t="shared" si="316"/>
        <v>104.90636138637521</v>
      </c>
      <c r="AS502" s="58" t="str">
        <f t="shared" si="317"/>
        <v>-0.0000112009067352908-0.000108925657877581i</v>
      </c>
      <c r="AT502" s="64">
        <f t="shared" si="318"/>
        <v>-79.211714263984675</v>
      </c>
      <c r="AU502" s="61">
        <f t="shared" si="319"/>
        <v>-95.87113172208737</v>
      </c>
    </row>
    <row r="503" spans="14:47" x14ac:dyDescent="0.25">
      <c r="N503" s="10">
        <v>85</v>
      </c>
      <c r="O503" s="50">
        <f t="shared" si="320"/>
        <v>707945.78438413853</v>
      </c>
      <c r="P503" s="48" t="str">
        <f t="shared" si="288"/>
        <v>304.285714285714</v>
      </c>
      <c r="Q503" s="17" t="str">
        <f t="shared" si="289"/>
        <v>1+231621.761962604i</v>
      </c>
      <c r="R503" s="17">
        <f t="shared" si="297"/>
        <v>231621.7619647627</v>
      </c>
      <c r="S503" s="17">
        <f t="shared" si="298"/>
        <v>1.5707920094112815</v>
      </c>
      <c r="T503" s="17" t="str">
        <f t="shared" si="290"/>
        <v>1+4.80400691477992i</v>
      </c>
      <c r="U503" s="17">
        <f t="shared" si="299"/>
        <v>4.9069830280176516</v>
      </c>
      <c r="V503" s="17">
        <f t="shared" si="300"/>
        <v>1.3655674813478609</v>
      </c>
      <c r="W503" s="31" t="str">
        <f t="shared" si="291"/>
        <v>1-15.0125216086873i</v>
      </c>
      <c r="X503" s="17">
        <f t="shared" si="301"/>
        <v>15.045790276728674</v>
      </c>
      <c r="Y503" s="17">
        <f t="shared" si="302"/>
        <v>-1.5042835223591375</v>
      </c>
      <c r="Z503" s="31" t="str">
        <f t="shared" si="292"/>
        <v>-30.4688802787864+132.432195737881i</v>
      </c>
      <c r="AA503" s="17">
        <f t="shared" si="303"/>
        <v>135.89201276528152</v>
      </c>
      <c r="AB503" s="17">
        <f t="shared" si="304"/>
        <v>1.7969326670009382</v>
      </c>
      <c r="AC503" s="66" t="str">
        <f t="shared" si="305"/>
        <v>-0.000666756808064342+0.000254666394056239i</v>
      </c>
      <c r="AD503" s="64">
        <f t="shared" si="306"/>
        <v>-62.929243381105195</v>
      </c>
      <c r="AE503" s="61">
        <f t="shared" si="307"/>
        <v>159.09574577880917</v>
      </c>
      <c r="AF503" s="31" t="str">
        <f t="shared" si="293"/>
        <v>-0.000495863624968664</v>
      </c>
      <c r="AG503" s="31" t="str">
        <f t="shared" si="294"/>
        <v>0.981796672435392i</v>
      </c>
      <c r="AH503" s="31">
        <f t="shared" si="308"/>
        <v>0.98179667243539204</v>
      </c>
      <c r="AI503" s="31">
        <f t="shared" si="309"/>
        <v>1.5707963267948966</v>
      </c>
      <c r="AJ503" s="31" t="str">
        <f t="shared" si="295"/>
        <v>1+3.83066879757731i</v>
      </c>
      <c r="AK503" s="31">
        <f t="shared" si="310"/>
        <v>3.959043247646127</v>
      </c>
      <c r="AL503" s="31">
        <f t="shared" si="311"/>
        <v>1.3154440498829429</v>
      </c>
      <c r="AM503" s="31" t="str">
        <f t="shared" si="296"/>
        <v>1+1174.31280139065i</v>
      </c>
      <c r="AN503" s="31">
        <f t="shared" si="312"/>
        <v>1174.3132271715056</v>
      </c>
      <c r="AO503" s="31">
        <f t="shared" si="313"/>
        <v>1.5699447651350931</v>
      </c>
      <c r="AP503" s="58" t="str">
        <f t="shared" si="314"/>
        <v>-0.0377159448383268+0.144982350412663i</v>
      </c>
      <c r="AQ503" s="49">
        <f t="shared" si="315"/>
        <v>-16.489311961834552</v>
      </c>
      <c r="AR503" s="61">
        <f t="shared" si="316"/>
        <v>104.58181686700892</v>
      </c>
      <c r="AS503" s="58" t="str">
        <f t="shared" si="317"/>
        <v>-0.0000117747693878574-0.000106272952857214i</v>
      </c>
      <c r="AT503" s="64">
        <f t="shared" si="318"/>
        <v>-79.41855534293974</v>
      </c>
      <c r="AU503" s="61">
        <f t="shared" si="319"/>
        <v>-96.322437354181901</v>
      </c>
    </row>
    <row r="504" spans="14:47" x14ac:dyDescent="0.25">
      <c r="N504" s="10">
        <v>86</v>
      </c>
      <c r="O504" s="50">
        <f t="shared" si="320"/>
        <v>724435.96007499192</v>
      </c>
      <c r="P504" s="48" t="str">
        <f t="shared" si="288"/>
        <v>304.285714285714</v>
      </c>
      <c r="Q504" s="17" t="str">
        <f t="shared" si="289"/>
        <v>1+237016.925876054i</v>
      </c>
      <c r="R504" s="17">
        <f t="shared" si="297"/>
        <v>237016.92587816357</v>
      </c>
      <c r="S504" s="17">
        <f t="shared" si="298"/>
        <v>1.5707921076869309</v>
      </c>
      <c r="T504" s="17" t="str">
        <f t="shared" si="290"/>
        <v>1+4.91590661076259i</v>
      </c>
      <c r="U504" s="17">
        <f t="shared" si="299"/>
        <v>5.016586270138224</v>
      </c>
      <c r="V504" s="17">
        <f t="shared" si="300"/>
        <v>1.3701132524267958</v>
      </c>
      <c r="W504" s="31" t="str">
        <f t="shared" si="291"/>
        <v>1-15.3622081586331i</v>
      </c>
      <c r="X504" s="17">
        <f t="shared" si="301"/>
        <v>15.394721157240017</v>
      </c>
      <c r="Y504" s="17">
        <f t="shared" si="302"/>
        <v>-1.5057932279465762</v>
      </c>
      <c r="Z504" s="31" t="str">
        <f t="shared" si="292"/>
        <v>-31.9519629151132+135.516937850927i</v>
      </c>
      <c r="AA504" s="17">
        <f t="shared" si="303"/>
        <v>139.23278485551018</v>
      </c>
      <c r="AB504" s="17">
        <f t="shared" si="304"/>
        <v>1.8023457947820987</v>
      </c>
      <c r="AC504" s="66" t="str">
        <f t="shared" si="305"/>
        <v>-0.000664621991538076+0.000255663051545107i</v>
      </c>
      <c r="AD504" s="64">
        <f t="shared" si="306"/>
        <v>-62.949183902583684</v>
      </c>
      <c r="AE504" s="61">
        <f t="shared" si="307"/>
        <v>158.95954451119175</v>
      </c>
      <c r="AF504" s="31" t="str">
        <f t="shared" si="293"/>
        <v>-0.000495863624968664</v>
      </c>
      <c r="AG504" s="31" t="str">
        <f t="shared" si="294"/>
        <v>1.0046656547477i</v>
      </c>
      <c r="AH504" s="31">
        <f t="shared" si="308"/>
        <v>1.0046656547477</v>
      </c>
      <c r="AI504" s="31">
        <f t="shared" si="309"/>
        <v>1.5707963267948966</v>
      </c>
      <c r="AJ504" s="31" t="str">
        <f t="shared" si="295"/>
        <v>1+3.91989653630941i</v>
      </c>
      <c r="AK504" s="31">
        <f t="shared" si="310"/>
        <v>4.0454405020183533</v>
      </c>
      <c r="AL504" s="31">
        <f t="shared" si="311"/>
        <v>1.3210152155035608</v>
      </c>
      <c r="AM504" s="31" t="str">
        <f t="shared" si="296"/>
        <v>1+1201.66606040863i</v>
      </c>
      <c r="AN504" s="31">
        <f t="shared" si="312"/>
        <v>1201.6664764975335</v>
      </c>
      <c r="AO504" s="31">
        <f t="shared" si="313"/>
        <v>1.5699641490359442</v>
      </c>
      <c r="AP504" s="58" t="str">
        <f t="shared" si="314"/>
        <v>-0.0361221712557227+0.142088734829773i</v>
      </c>
      <c r="AQ504" s="49">
        <f t="shared" si="315"/>
        <v>-16.676823549531072</v>
      </c>
      <c r="AR504" s="61">
        <f t="shared" si="316"/>
        <v>104.26372320568838</v>
      </c>
      <c r="AS504" s="58" t="str">
        <f t="shared" si="317"/>
        <v>-0.0000123192501381054-0.000103670402449362i</v>
      </c>
      <c r="AT504" s="64">
        <f t="shared" si="318"/>
        <v>-79.626007452114777</v>
      </c>
      <c r="AU504" s="61">
        <f t="shared" si="319"/>
        <v>-96.776732283119841</v>
      </c>
    </row>
    <row r="505" spans="14:47" x14ac:dyDescent="0.25">
      <c r="N505" s="10">
        <v>87</v>
      </c>
      <c r="O505" s="50">
        <f t="shared" si="320"/>
        <v>741310.24130091805</v>
      </c>
      <c r="P505" s="48" t="str">
        <f t="shared" si="288"/>
        <v>304.285714285714</v>
      </c>
      <c r="Q505" s="17" t="str">
        <f t="shared" si="289"/>
        <v>1+242537.759300892i</v>
      </c>
      <c r="R505" s="17">
        <f t="shared" si="297"/>
        <v>242537.75930295355</v>
      </c>
      <c r="S505" s="17">
        <f t="shared" si="298"/>
        <v>1.5707922037255533</v>
      </c>
      <c r="T505" s="17" t="str">
        <f t="shared" si="290"/>
        <v>1+5.03041278549997i</v>
      </c>
      <c r="U505" s="17">
        <f t="shared" si="299"/>
        <v>5.1288451714320225</v>
      </c>
      <c r="V505" s="17">
        <f t="shared" si="300"/>
        <v>1.3745636874653373</v>
      </c>
      <c r="W505" s="31" t="str">
        <f t="shared" si="291"/>
        <v>1-15.7200399546874i</v>
      </c>
      <c r="X505" s="17">
        <f t="shared" si="301"/>
        <v>15.751814377301688</v>
      </c>
      <c r="Y505" s="17">
        <f t="shared" si="302"/>
        <v>-1.5072688552201714</v>
      </c>
      <c r="Z505" s="31" t="str">
        <f t="shared" si="292"/>
        <v>-33.5049410827293+138.6735328382i</v>
      </c>
      <c r="AA505" s="17">
        <f t="shared" si="303"/>
        <v>142.66369470466023</v>
      </c>
      <c r="AB505" s="17">
        <f t="shared" si="304"/>
        <v>1.8078632613533492</v>
      </c>
      <c r="AC505" s="66" t="str">
        <f t="shared" si="305"/>
        <v>-0.000662439775977868+0.000256759179786366i</v>
      </c>
      <c r="AD505" s="64">
        <f t="shared" si="306"/>
        <v>-62.969221811136968</v>
      </c>
      <c r="AE505" s="61">
        <f t="shared" si="307"/>
        <v>158.81385539024097</v>
      </c>
      <c r="AF505" s="31" t="str">
        <f t="shared" si="293"/>
        <v>-0.000495863624968664</v>
      </c>
      <c r="AG505" s="31" t="str">
        <f t="shared" si="294"/>
        <v>1.02806732408848i</v>
      </c>
      <c r="AH505" s="31">
        <f t="shared" si="308"/>
        <v>1.0280673240884799</v>
      </c>
      <c r="AI505" s="31">
        <f t="shared" si="309"/>
        <v>1.5707963267948966</v>
      </c>
      <c r="AJ505" s="31" t="str">
        <f t="shared" si="295"/>
        <v>1+4.01120265607101i</v>
      </c>
      <c r="AK505" s="31">
        <f t="shared" si="310"/>
        <v>4.1339746912712378</v>
      </c>
      <c r="AL505" s="31">
        <f t="shared" si="311"/>
        <v>1.3264749108915344</v>
      </c>
      <c r="AM505" s="31" t="str">
        <f t="shared" si="296"/>
        <v>1+1229.65645867777i</v>
      </c>
      <c r="AN505" s="31">
        <f t="shared" si="312"/>
        <v>1229.656865295337</v>
      </c>
      <c r="AO505" s="31">
        <f t="shared" si="313"/>
        <v>1.5699830917059476</v>
      </c>
      <c r="AP505" s="58" t="str">
        <f t="shared" si="314"/>
        <v>-0.0345915367880545+0.139235990265955i</v>
      </c>
      <c r="AQ505" s="49">
        <f t="shared" si="315"/>
        <v>-16.864863590633266</v>
      </c>
      <c r="AR505" s="61">
        <f t="shared" si="316"/>
        <v>103.95199103757443</v>
      </c>
      <c r="AS505" s="58" t="str">
        <f t="shared" si="317"/>
        <v>-0.00001283530877682-0.000101117152813087i</v>
      </c>
      <c r="AT505" s="64">
        <f t="shared" si="318"/>
        <v>-79.83408540177021</v>
      </c>
      <c r="AU505" s="61">
        <f t="shared" si="319"/>
        <v>-97.234153572184525</v>
      </c>
    </row>
    <row r="506" spans="14:47" x14ac:dyDescent="0.25">
      <c r="N506" s="10">
        <v>88</v>
      </c>
      <c r="O506" s="50">
        <f t="shared" si="320"/>
        <v>758577.57502918423</v>
      </c>
      <c r="P506" s="48" t="str">
        <f t="shared" si="288"/>
        <v>304.285714285714</v>
      </c>
      <c r="Q506" s="17" t="str">
        <f t="shared" si="289"/>
        <v>1+248187.189456079i</v>
      </c>
      <c r="R506" s="17">
        <f t="shared" si="297"/>
        <v>248187.18945809361</v>
      </c>
      <c r="S506" s="17">
        <f t="shared" si="298"/>
        <v>1.5707922975780697</v>
      </c>
      <c r="T506" s="17" t="str">
        <f t="shared" si="290"/>
        <v>1+5.14758615168163i</v>
      </c>
      <c r="U506" s="17">
        <f t="shared" si="299"/>
        <v>5.2438195229226281</v>
      </c>
      <c r="V506" s="17">
        <f t="shared" si="300"/>
        <v>1.3789204406320446</v>
      </c>
      <c r="W506" s="31" t="str">
        <f t="shared" si="291"/>
        <v>1-16.0862067240051i</v>
      </c>
      <c r="X506" s="17">
        <f t="shared" si="301"/>
        <v>16.117259282130657</v>
      </c>
      <c r="Y506" s="17">
        <f t="shared" si="302"/>
        <v>-1.5087111608574064</v>
      </c>
      <c r="Z506" s="31" t="str">
        <f t="shared" si="292"/>
        <v>-35.1311088565403+141.903654368145i</v>
      </c>
      <c r="AA506" s="17">
        <f t="shared" si="303"/>
        <v>146.18769418977797</v>
      </c>
      <c r="AB506" s="17">
        <f t="shared" si="304"/>
        <v>1.8134867670865651</v>
      </c>
      <c r="AC506" s="66" t="str">
        <f t="shared" si="305"/>
        <v>-0.000660206717230901+0.000257953125529353i</v>
      </c>
      <c r="AD506" s="64">
        <f t="shared" si="306"/>
        <v>-62.989393698934542</v>
      </c>
      <c r="AE506" s="61">
        <f t="shared" si="307"/>
        <v>158.65863241135813</v>
      </c>
      <c r="AF506" s="31" t="str">
        <f t="shared" si="293"/>
        <v>-0.000495863624968664</v>
      </c>
      <c r="AG506" s="31" t="str">
        <f t="shared" si="294"/>
        <v>1.05201408833257i</v>
      </c>
      <c r="AH506" s="31">
        <f t="shared" si="308"/>
        <v>1.0520140883325699</v>
      </c>
      <c r="AI506" s="31">
        <f t="shared" si="309"/>
        <v>1.5707963267948966</v>
      </c>
      <c r="AJ506" s="31" t="str">
        <f t="shared" si="295"/>
        <v>1+4.10463556857541i</v>
      </c>
      <c r="AK506" s="31">
        <f t="shared" si="310"/>
        <v>4.2246932611509651</v>
      </c>
      <c r="AL506" s="31">
        <f t="shared" si="311"/>
        <v>1.33182472834309</v>
      </c>
      <c r="AM506" s="31" t="str">
        <f t="shared" si="296"/>
        <v>1+1258.29883707773i</v>
      </c>
      <c r="AN506" s="31">
        <f t="shared" si="312"/>
        <v>1258.2992344395541</v>
      </c>
      <c r="AO506" s="31">
        <f t="shared" si="313"/>
        <v>1.5700016031887032</v>
      </c>
      <c r="AP506" s="58" t="str">
        <f t="shared" si="314"/>
        <v>-0.0331218907057813+0.136424637632836i</v>
      </c>
      <c r="AQ506" s="49">
        <f t="shared" si="315"/>
        <v>-17.053411089379068</v>
      </c>
      <c r="AR506" s="61">
        <f t="shared" si="316"/>
        <v>103.64652970626922</v>
      </c>
      <c r="AS506" s="58" t="str">
        <f t="shared" si="317"/>
        <v>-0.0000133238669452549-0.0000986123573919878i</v>
      </c>
      <c r="AT506" s="64">
        <f t="shared" si="318"/>
        <v>-80.042804788313603</v>
      </c>
      <c r="AU506" s="61">
        <f t="shared" si="319"/>
        <v>-97.694837882372653</v>
      </c>
    </row>
    <row r="507" spans="14:47" x14ac:dyDescent="0.25">
      <c r="N507" s="10">
        <v>89</v>
      </c>
      <c r="O507" s="50">
        <f t="shared" si="320"/>
        <v>776247.11662869214</v>
      </c>
      <c r="P507" s="48" t="str">
        <f t="shared" si="288"/>
        <v>304.285714285714</v>
      </c>
      <c r="Q507" s="17" t="str">
        <f t="shared" si="289"/>
        <v>1+253968.211744262i</v>
      </c>
      <c r="R507" s="17">
        <f t="shared" si="297"/>
        <v>253968.21174623075</v>
      </c>
      <c r="S507" s="17">
        <f t="shared" si="298"/>
        <v>1.5707923892942419</v>
      </c>
      <c r="T507" s="17" t="str">
        <f t="shared" si="290"/>
        <v>1+5.26748883617727i</v>
      </c>
      <c r="U507" s="17">
        <f t="shared" si="299"/>
        <v>5.3615705384944965</v>
      </c>
      <c r="V507" s="17">
        <f t="shared" si="300"/>
        <v>1.3831851600432314</v>
      </c>
      <c r="W507" s="31" t="str">
        <f t="shared" si="291"/>
        <v>1-16.460902613054i</v>
      </c>
      <c r="X507" s="17">
        <f t="shared" si="301"/>
        <v>16.491249644476554</v>
      </c>
      <c r="Y507" s="17">
        <f t="shared" si="302"/>
        <v>-1.5101208855714825</v>
      </c>
      <c r="Z507" s="31" t="str">
        <f t="shared" si="292"/>
        <v>-36.833915556418+145.209015093953i</v>
      </c>
      <c r="AA507" s="17">
        <f t="shared" si="303"/>
        <v>149.80786160870599</v>
      </c>
      <c r="AB507" s="17">
        <f t="shared" si="304"/>
        <v>1.8192179915428555</v>
      </c>
      <c r="AC507" s="66" t="str">
        <f t="shared" si="305"/>
        <v>-0.000657919363596676+0.000259243157851337i</v>
      </c>
      <c r="AD507" s="64">
        <f t="shared" si="306"/>
        <v>-63.009736245216203</v>
      </c>
      <c r="AE507" s="61">
        <f t="shared" si="307"/>
        <v>158.49383133029758</v>
      </c>
      <c r="AF507" s="31" t="str">
        <f t="shared" si="293"/>
        <v>-0.000495863624968664</v>
      </c>
      <c r="AG507" s="31" t="str">
        <f t="shared" si="294"/>
        <v>1.07651864437134i</v>
      </c>
      <c r="AH507" s="31">
        <f t="shared" si="308"/>
        <v>1.0765186443713399</v>
      </c>
      <c r="AI507" s="31">
        <f t="shared" si="309"/>
        <v>1.5707963267948966</v>
      </c>
      <c r="AJ507" s="31" t="str">
        <f t="shared" si="295"/>
        <v>1+4.20024481318955i</v>
      </c>
      <c r="AK507" s="31">
        <f t="shared" si="310"/>
        <v>4.3176447851491568</v>
      </c>
      <c r="AL507" s="31">
        <f t="shared" si="311"/>
        <v>1.3370662789563574</v>
      </c>
      <c r="AM507" s="31" t="str">
        <f t="shared" si="296"/>
        <v>1+1287.60838217667i</v>
      </c>
      <c r="AN507" s="31">
        <f t="shared" si="312"/>
        <v>1287.6087704934373</v>
      </c>
      <c r="AO507" s="31">
        <f t="shared" si="313"/>
        <v>1.5700196932991932</v>
      </c>
      <c r="AP507" s="58" t="str">
        <f t="shared" si="314"/>
        <v>-0.0317111260567491+0.133655110517352i</v>
      </c>
      <c r="AQ507" s="49">
        <f t="shared" si="315"/>
        <v>-17.242445770272859</v>
      </c>
      <c r="AR507" s="61">
        <f t="shared" si="316"/>
        <v>103.34724746500689</v>
      </c>
      <c r="AS507" s="58" t="str">
        <f t="shared" si="317"/>
        <v>-0.0000137858090392974-0.0000961551777109931i</v>
      </c>
      <c r="AT507" s="64">
        <f t="shared" si="318"/>
        <v>-80.252182015489069</v>
      </c>
      <c r="AU507" s="61">
        <f t="shared" si="319"/>
        <v>-98.158921204695503</v>
      </c>
    </row>
    <row r="508" spans="14:47" x14ac:dyDescent="0.25">
      <c r="N508" s="10">
        <v>90</v>
      </c>
      <c r="O508" s="50">
        <f t="shared" si="320"/>
        <v>794328.23472428333</v>
      </c>
      <c r="P508" s="48" t="str">
        <f t="shared" si="288"/>
        <v>304.285714285714</v>
      </c>
      <c r="Q508" s="17" t="str">
        <f t="shared" si="289"/>
        <v>1+259883.891339979i</v>
      </c>
      <c r="R508" s="17">
        <f t="shared" si="297"/>
        <v>259883.8913419029</v>
      </c>
      <c r="S508" s="17">
        <f t="shared" si="298"/>
        <v>1.5707924789226995</v>
      </c>
      <c r="T508" s="17" t="str">
        <f t="shared" si="290"/>
        <v>1+5.39018441297732i</v>
      </c>
      <c r="U508" s="17">
        <f t="shared" si="299"/>
        <v>5.4821608883636079</v>
      </c>
      <c r="V508" s="17">
        <f t="shared" si="300"/>
        <v>1.3873594860815737</v>
      </c>
      <c r="W508" s="31" t="str">
        <f t="shared" si="291"/>
        <v>1-16.8443262905541i</v>
      </c>
      <c r="X508" s="17">
        <f t="shared" si="301"/>
        <v>16.873983767405136</v>
      </c>
      <c r="Y508" s="17">
        <f t="shared" si="302"/>
        <v>-1.5114987543918139</v>
      </c>
      <c r="Z508" s="31" t="str">
        <f t="shared" si="292"/>
        <v>-38.6169730636725+148.591367561633i</v>
      </c>
      <c r="AA508" s="17">
        <f t="shared" si="303"/>
        <v>153.52740837530192</v>
      </c>
      <c r="AB508" s="17">
        <f t="shared" si="304"/>
        <v>1.8250585900136436</v>
      </c>
      <c r="AC508" s="66" t="str">
        <f t="shared" si="305"/>
        <v>-0.000655574256341757+0.000260627461648787i</v>
      </c>
      <c r="AD508" s="64">
        <f t="shared" si="306"/>
        <v>-63.030286251042895</v>
      </c>
      <c r="AE508" s="61">
        <f t="shared" si="307"/>
        <v>158.31940974893948</v>
      </c>
      <c r="AF508" s="31" t="str">
        <f t="shared" si="293"/>
        <v>-0.000495863624968664</v>
      </c>
      <c r="AG508" s="31" t="str">
        <f t="shared" si="294"/>
        <v>1.10159398484477i</v>
      </c>
      <c r="AH508" s="31">
        <f t="shared" si="308"/>
        <v>1.10159398484477</v>
      </c>
      <c r="AI508" s="31">
        <f t="shared" si="309"/>
        <v>1.5707963267948966</v>
      </c>
      <c r="AJ508" s="31" t="str">
        <f t="shared" si="295"/>
        <v>1+4.29808108320046i</v>
      </c>
      <c r="AK508" s="31">
        <f t="shared" si="310"/>
        <v>4.4128789919694871</v>
      </c>
      <c r="AL508" s="31">
        <f t="shared" si="311"/>
        <v>1.3422011893226582</v>
      </c>
      <c r="AM508" s="31" t="str">
        <f t="shared" si="296"/>
        <v>1+1317.60063428334i</v>
      </c>
      <c r="AN508" s="31">
        <f t="shared" si="312"/>
        <v>1317.6010137609412</v>
      </c>
      <c r="AO508" s="31">
        <f t="shared" si="313"/>
        <v>1.5700373716289866</v>
      </c>
      <c r="AP508" s="58" t="str">
        <f t="shared" si="314"/>
        <v>-0.0303571814540317+0.130927760183266i</v>
      </c>
      <c r="AQ508" s="49">
        <f t="shared" si="315"/>
        <v>-17.431948062963663</v>
      </c>
      <c r="AR508" s="61">
        <f t="shared" si="316"/>
        <v>103.05405166652581</v>
      </c>
      <c r="AS508" s="58" t="str">
        <f t="shared" si="317"/>
        <v>-0.0000142219831395671-0.0000937447841618124i</v>
      </c>
      <c r="AT508" s="64">
        <f t="shared" si="318"/>
        <v>-80.462234314006565</v>
      </c>
      <c r="AU508" s="61">
        <f t="shared" si="319"/>
        <v>-98.626538584534671</v>
      </c>
    </row>
    <row r="509" spans="14:47" x14ac:dyDescent="0.25">
      <c r="N509" s="10">
        <v>91</v>
      </c>
      <c r="O509" s="50">
        <f t="shared" si="320"/>
        <v>812830.51616410096</v>
      </c>
      <c r="P509" s="48" t="str">
        <f t="shared" si="288"/>
        <v>304.285714285714</v>
      </c>
      <c r="Q509" s="17" t="str">
        <f t="shared" si="289"/>
        <v>1+265937.364814853i</v>
      </c>
      <c r="R509" s="17">
        <f t="shared" si="297"/>
        <v>265937.36481673317</v>
      </c>
      <c r="S509" s="17">
        <f t="shared" si="298"/>
        <v>1.5707925665109641</v>
      </c>
      <c r="T509" s="17" t="str">
        <f t="shared" si="290"/>
        <v>1+5.51573793690064i</v>
      </c>
      <c r="U509" s="17">
        <f t="shared" si="299"/>
        <v>5.6056547332639859</v>
      </c>
      <c r="V509" s="17">
        <f t="shared" si="300"/>
        <v>1.3914450498454483</v>
      </c>
      <c r="W509" s="31" t="str">
        <f t="shared" si="291"/>
        <v>1-17.2366810528145i</v>
      </c>
      <c r="X509" s="17">
        <f t="shared" si="301"/>
        <v>17.265664589480895</v>
      </c>
      <c r="Y509" s="17">
        <f t="shared" si="302"/>
        <v>-1.5128454769435444</v>
      </c>
      <c r="Z509" s="31" t="str">
        <f t="shared" si="292"/>
        <v>-40.4840634823349+152.052505139232i</v>
      </c>
      <c r="AA509" s="17">
        <f t="shared" si="303"/>
        <v>157.34968609805961</v>
      </c>
      <c r="AB509" s="17">
        <f t="shared" si="304"/>
        <v>1.8310101898587663</v>
      </c>
      <c r="AC509" s="66" t="str">
        <f t="shared" si="305"/>
        <v>-0.00065316793072168+0.000262104131006408i</v>
      </c>
      <c r="AD509" s="64">
        <f t="shared" si="306"/>
        <v>-63.051080672993997</v>
      </c>
      <c r="AE509" s="61">
        <f t="shared" si="307"/>
        <v>158.13532722023774</v>
      </c>
      <c r="AF509" s="31" t="str">
        <f t="shared" si="293"/>
        <v>-0.000495863624968664</v>
      </c>
      <c r="AG509" s="31" t="str">
        <f t="shared" si="294"/>
        <v>1.12725340503029i</v>
      </c>
      <c r="AH509" s="31">
        <f t="shared" si="308"/>
        <v>1.12725340503029</v>
      </c>
      <c r="AI509" s="31">
        <f t="shared" si="309"/>
        <v>1.5707963267948966</v>
      </c>
      <c r="AJ509" s="31" t="str">
        <f t="shared" si="295"/>
        <v>1+4.3981962526935i</v>
      </c>
      <c r="AK509" s="31">
        <f t="shared" si="310"/>
        <v>4.5104467935235801</v>
      </c>
      <c r="AL509" s="31">
        <f t="shared" si="311"/>
        <v>1.3472310984101157</v>
      </c>
      <c r="AM509" s="31" t="str">
        <f t="shared" si="296"/>
        <v>1+1348.29149568682i</v>
      </c>
      <c r="AN509" s="31">
        <f t="shared" si="312"/>
        <v>1348.291866526459</v>
      </c>
      <c r="AO509" s="31">
        <f t="shared" si="313"/>
        <v>1.5700546475513233</v>
      </c>
      <c r="AP509" s="58" t="str">
        <f t="shared" si="314"/>
        <v>-0.0290580425547487+0.128242860437017i</v>
      </c>
      <c r="AQ509" s="49">
        <f t="shared" si="315"/>
        <v>-17.62189908657167</v>
      </c>
      <c r="AR509" s="61">
        <f t="shared" si="316"/>
        <v>102.76684894191708</v>
      </c>
      <c r="AS509" s="58" t="str">
        <f t="shared" si="317"/>
        <v>-0.0000146332019663127-0.0000913803567740352i</v>
      </c>
      <c r="AT509" s="64">
        <f t="shared" si="318"/>
        <v>-80.672979759565663</v>
      </c>
      <c r="AU509" s="61">
        <f t="shared" si="319"/>
        <v>-99.097823837845198</v>
      </c>
    </row>
    <row r="510" spans="14:47" x14ac:dyDescent="0.25">
      <c r="N510" s="10">
        <v>92</v>
      </c>
      <c r="O510" s="50">
        <f t="shared" si="320"/>
        <v>831763.77110267128</v>
      </c>
      <c r="P510" s="48" t="str">
        <f t="shared" si="288"/>
        <v>304.285714285714</v>
      </c>
      <c r="Q510" s="17" t="str">
        <f t="shared" si="289"/>
        <v>1+272131.841800649i</v>
      </c>
      <c r="R510" s="17">
        <f t="shared" si="297"/>
        <v>272131.84180248639</v>
      </c>
      <c r="S510" s="17">
        <f t="shared" si="298"/>
        <v>1.5707926521054763</v>
      </c>
      <c r="T510" s="17" t="str">
        <f t="shared" si="290"/>
        <v>1+5.64421597808752i</v>
      </c>
      <c r="U510" s="17">
        <f t="shared" si="299"/>
        <v>5.732117759371179</v>
      </c>
      <c r="V510" s="17">
        <f t="shared" si="300"/>
        <v>1.3954434717226567</v>
      </c>
      <c r="W510" s="31" t="str">
        <f t="shared" si="291"/>
        <v>1-17.6381749315235i</v>
      </c>
      <c r="X510" s="17">
        <f t="shared" si="301"/>
        <v>17.66649979240438</v>
      </c>
      <c r="Y510" s="17">
        <f t="shared" si="302"/>
        <v>-1.5141617477257556</v>
      </c>
      <c r="Z510" s="31" t="str">
        <f t="shared" si="292"/>
        <v>-42.4391471615086+155.59426296771i</v>
      </c>
      <c r="AA510" s="17">
        <f t="shared" si="303"/>
        <v>161.27819406311903</v>
      </c>
      <c r="AB510" s="17">
        <f t="shared" si="304"/>
        <v>1.8370743866376782</v>
      </c>
      <c r="AC510" s="66" t="str">
        <f t="shared" si="305"/>
        <v>-0.000650696917534963+0.000263671162463607i</v>
      </c>
      <c r="AD510" s="64">
        <f t="shared" si="306"/>
        <v>-63.072156655653956</v>
      </c>
      <c r="AE510" s="61">
        <f t="shared" si="307"/>
        <v>157.94154537222462</v>
      </c>
      <c r="AF510" s="31" t="str">
        <f t="shared" si="293"/>
        <v>-0.000495863624968664</v>
      </c>
      <c r="AG510" s="31" t="str">
        <f t="shared" si="294"/>
        <v>1.15351050989211i</v>
      </c>
      <c r="AH510" s="31">
        <f t="shared" si="308"/>
        <v>1.1535105098921099</v>
      </c>
      <c r="AI510" s="31">
        <f t="shared" si="309"/>
        <v>1.5707963267948966</v>
      </c>
      <c r="AJ510" s="31" t="str">
        <f t="shared" si="295"/>
        <v>1+4.50064340405672i</v>
      </c>
      <c r="AK510" s="31">
        <f t="shared" si="310"/>
        <v>4.6104003134737948</v>
      </c>
      <c r="AL510" s="31">
        <f t="shared" si="311"/>
        <v>1.352157654634107</v>
      </c>
      <c r="AM510" s="31" t="str">
        <f t="shared" si="296"/>
        <v>1+1379.69723908806i</v>
      </c>
      <c r="AN510" s="31">
        <f t="shared" si="312"/>
        <v>1379.6976014863603</v>
      </c>
      <c r="AO510" s="31">
        <f t="shared" si="313"/>
        <v>1.570071530226085</v>
      </c>
      <c r="AP510" s="58" t="str">
        <f t="shared" si="314"/>
        <v>-0.0278117432529574+0.125600612348236i</v>
      </c>
      <c r="AQ510" s="49">
        <f t="shared" si="315"/>
        <v>-17.812280633563432</v>
      </c>
      <c r="AR510" s="61">
        <f t="shared" si="316"/>
        <v>102.48554536875926</v>
      </c>
      <c r="AS510" s="58" t="str">
        <f t="shared" si="317"/>
        <v>-0.0000150202438580271-0.0000890610859691476i</v>
      </c>
      <c r="AT510" s="64">
        <f t="shared" si="318"/>
        <v>-80.884437289217388</v>
      </c>
      <c r="AU510" s="61">
        <f t="shared" si="319"/>
        <v>-99.572909259016143</v>
      </c>
    </row>
    <row r="511" spans="14:47" x14ac:dyDescent="0.25">
      <c r="N511" s="10">
        <v>93</v>
      </c>
      <c r="O511" s="50">
        <f t="shared" si="320"/>
        <v>851138.03820237669</v>
      </c>
      <c r="P511" s="48" t="str">
        <f t="shared" si="288"/>
        <v>304.285714285714</v>
      </c>
      <c r="Q511" s="17" t="str">
        <f t="shared" si="289"/>
        <v>1+278470.606691059i</v>
      </c>
      <c r="R511" s="17">
        <f t="shared" si="297"/>
        <v>278470.60669285455</v>
      </c>
      <c r="S511" s="17">
        <f t="shared" si="298"/>
        <v>1.5707927357516196</v>
      </c>
      <c r="T511" s="17" t="str">
        <f t="shared" si="290"/>
        <v>1+5.77568665729602i</v>
      </c>
      <c r="U511" s="17">
        <f t="shared" si="299"/>
        <v>5.8616172139834646</v>
      </c>
      <c r="V511" s="17">
        <f t="shared" si="300"/>
        <v>1.3993563600822816</v>
      </c>
      <c r="W511" s="31" t="str">
        <f t="shared" si="291"/>
        <v>1-18.0490208040501i</v>
      </c>
      <c r="X511" s="17">
        <f t="shared" si="301"/>
        <v>18.076701911162704</v>
      </c>
      <c r="Y511" s="17">
        <f t="shared" si="302"/>
        <v>-1.5154482463880796</v>
      </c>
      <c r="Z511" s="31" t="str">
        <f t="shared" si="292"/>
        <v>-44.4863710957998+159.218518933946i</v>
      </c>
      <c r="AA511" s="17">
        <f t="shared" si="303"/>
        <v>165.31658714355473</v>
      </c>
      <c r="AB511" s="17">
        <f t="shared" si="304"/>
        <v>1.8432527400305345</v>
      </c>
      <c r="AC511" s="66" t="str">
        <f t="shared" si="305"/>
        <v>-0.000648157745234905+0.000265326448201409i</v>
      </c>
      <c r="AD511" s="64">
        <f t="shared" si="306"/>
        <v>-63.093551562723114</v>
      </c>
      <c r="AE511" s="61">
        <f t="shared" si="307"/>
        <v>157.73802805091464</v>
      </c>
      <c r="AF511" s="31" t="str">
        <f t="shared" si="293"/>
        <v>-0.000495863624968664</v>
      </c>
      <c r="AG511" s="31" t="str">
        <f t="shared" si="294"/>
        <v>1.18037922129479i</v>
      </c>
      <c r="AH511" s="31">
        <f t="shared" si="308"/>
        <v>1.1803792212947899</v>
      </c>
      <c r="AI511" s="31">
        <f t="shared" si="309"/>
        <v>1.5707963267948966</v>
      </c>
      <c r="AJ511" s="31" t="str">
        <f t="shared" si="295"/>
        <v>1+4.60547685612584i</v>
      </c>
      <c r="AK511" s="31">
        <f t="shared" si="310"/>
        <v>4.712792916340665</v>
      </c>
      <c r="AL511" s="31">
        <f t="shared" si="311"/>
        <v>1.3569825131087325</v>
      </c>
      <c r="AM511" s="31" t="str">
        <f t="shared" si="296"/>
        <v>1+1411.83451622791i</v>
      </c>
      <c r="AN511" s="31">
        <f t="shared" si="312"/>
        <v>1411.8348703770198</v>
      </c>
      <c r="AO511" s="31">
        <f t="shared" si="313"/>
        <v>1.5700880286046506</v>
      </c>
      <c r="AP511" s="58" t="str">
        <f t="shared" si="314"/>
        <v>-0.026616366608956+0.123001148817216i</v>
      </c>
      <c r="AQ511" s="49">
        <f t="shared" si="315"/>
        <v>-18.003075153268622</v>
      </c>
      <c r="AR511" s="61">
        <f t="shared" si="316"/>
        <v>102.21004662887582</v>
      </c>
      <c r="AS511" s="58" t="str">
        <f t="shared" si="317"/>
        <v>-0.0000153838537727583-0.0000867861732950506i</v>
      </c>
      <c r="AT511" s="64">
        <f t="shared" si="318"/>
        <v>-81.096626715991746</v>
      </c>
      <c r="AU511" s="61">
        <f t="shared" si="319"/>
        <v>-100.05192532020951</v>
      </c>
    </row>
    <row r="512" spans="14:47" x14ac:dyDescent="0.25">
      <c r="N512" s="10">
        <v>94</v>
      </c>
      <c r="O512" s="50">
        <f t="shared" si="320"/>
        <v>870963.58995608077</v>
      </c>
      <c r="P512" s="48" t="str">
        <f t="shared" si="288"/>
        <v>304.285714285714</v>
      </c>
      <c r="Q512" s="17" t="str">
        <f t="shared" si="289"/>
        <v>1+284957.02038313i</v>
      </c>
      <c r="R512" s="17">
        <f t="shared" si="297"/>
        <v>284957.02038488467</v>
      </c>
      <c r="S512" s="17">
        <f t="shared" si="298"/>
        <v>1.5707928174937442</v>
      </c>
      <c r="T512" s="17" t="str">
        <f t="shared" si="290"/>
        <v>1+5.91021968202046i</v>
      </c>
      <c r="U512" s="17">
        <f t="shared" si="299"/>
        <v>5.9942219419822971</v>
      </c>
      <c r="V512" s="17">
        <f t="shared" si="300"/>
        <v>1.4031853100785701</v>
      </c>
      <c r="W512" s="31" t="str">
        <f t="shared" si="291"/>
        <v>1-18.469436506314i</v>
      </c>
      <c r="X512" s="17">
        <f t="shared" si="301"/>
        <v>18.496488446750217</v>
      </c>
      <c r="Y512" s="17">
        <f t="shared" si="302"/>
        <v>-1.5167056380054369</v>
      </c>
      <c r="Z512" s="31" t="str">
        <f t="shared" si="292"/>
        <v>-46.6300777216492+162.927194666428i</v>
      </c>
      <c r="AA512" s="17">
        <f t="shared" si="303"/>
        <v>169.46868415786784</v>
      </c>
      <c r="AB512" s="17">
        <f t="shared" si="304"/>
        <v>1.8495467695466845</v>
      </c>
      <c r="AC512" s="66" t="str">
        <f t="shared" si="305"/>
        <v>-0.000645546942624505+0.000267067769175983i</v>
      </c>
      <c r="AD512" s="64">
        <f t="shared" si="306"/>
        <v>-63.11530300658977</v>
      </c>
      <c r="AE512" s="61">
        <f t="shared" si="307"/>
        <v>157.52474148191394</v>
      </c>
      <c r="AF512" s="31" t="str">
        <f t="shared" si="293"/>
        <v>-0.000495863624968664</v>
      </c>
      <c r="AG512" s="31" t="str">
        <f t="shared" si="294"/>
        <v>1.20787378538478i</v>
      </c>
      <c r="AH512" s="31">
        <f t="shared" si="308"/>
        <v>1.2078737853847801</v>
      </c>
      <c r="AI512" s="31">
        <f t="shared" si="309"/>
        <v>1.5707963267948966</v>
      </c>
      <c r="AJ512" s="31" t="str">
        <f t="shared" si="295"/>
        <v>1+4.71275219298477i</v>
      </c>
      <c r="AK512" s="31">
        <f t="shared" si="310"/>
        <v>4.8176792371932322</v>
      </c>
      <c r="AL512" s="31">
        <f t="shared" si="311"/>
        <v>1.3617073330732197</v>
      </c>
      <c r="AM512" s="31" t="str">
        <f t="shared" si="296"/>
        <v>1+1444.72036671611i</v>
      </c>
      <c r="AN512" s="31">
        <f t="shared" si="312"/>
        <v>1444.720712803804</v>
      </c>
      <c r="AO512" s="31">
        <f t="shared" si="313"/>
        <v>1.5701041514346428</v>
      </c>
      <c r="AP512" s="58" t="str">
        <f t="shared" si="314"/>
        <v>-0.025470045536475+0.120444538983399i</v>
      </c>
      <c r="AQ512" s="49">
        <f t="shared" si="315"/>
        <v>-18.194265735124226</v>
      </c>
      <c r="AR512" s="61">
        <f t="shared" si="316"/>
        <v>101.94025815606396</v>
      </c>
      <c r="AS512" s="58" t="str">
        <f t="shared" si="317"/>
        <v>-0.0000157247443111477-0.0000845548321387883i</v>
      </c>
      <c r="AT512" s="64">
        <f t="shared" si="318"/>
        <v>-81.309568741714003</v>
      </c>
      <c r="AU512" s="61">
        <f t="shared" si="319"/>
        <v>-100.53500036202207</v>
      </c>
    </row>
    <row r="513" spans="14:47" x14ac:dyDescent="0.25">
      <c r="N513" s="10">
        <v>95</v>
      </c>
      <c r="O513" s="50">
        <f t="shared" si="320"/>
        <v>891250.93813374708</v>
      </c>
      <c r="P513" s="48" t="str">
        <f t="shared" si="288"/>
        <v>304.285714285714</v>
      </c>
      <c r="Q513" s="17" t="str">
        <f t="shared" si="289"/>
        <v>1+291594.522059262i</v>
      </c>
      <c r="R513" s="17">
        <f t="shared" si="297"/>
        <v>291594.52206097665</v>
      </c>
      <c r="S513" s="17">
        <f t="shared" si="298"/>
        <v>1.570792897375191</v>
      </c>
      <c r="T513" s="17" t="str">
        <f t="shared" si="290"/>
        <v>1+6.04788638345134i</v>
      </c>
      <c r="U513" s="17">
        <f t="shared" si="299"/>
        <v>6.1300024230938224</v>
      </c>
      <c r="V513" s="17">
        <f t="shared" si="300"/>
        <v>1.4069319025609013</v>
      </c>
      <c r="W513" s="31" t="str">
        <f t="shared" si="291"/>
        <v>1-18.8996449482855i</v>
      </c>
      <c r="X513" s="17">
        <f t="shared" si="301"/>
        <v>18.926081981520991</v>
      </c>
      <c r="Y513" s="17">
        <f t="shared" si="302"/>
        <v>-1.5179345733506682</v>
      </c>
      <c r="Z513" s="31" t="str">
        <f t="shared" si="292"/>
        <v>-48.8748141282221+166.722256554118i</v>
      </c>
      <c r="AA513" s="17">
        <f t="shared" si="303"/>
        <v>173.73847670152227</v>
      </c>
      <c r="AB513" s="17">
        <f t="shared" si="304"/>
        <v>1.8559579500191374</v>
      </c>
      <c r="AC513" s="66" t="str">
        <f t="shared" si="305"/>
        <v>-0.000642861042160313+0.000268892788228812i</v>
      </c>
      <c r="AD513" s="64">
        <f t="shared" si="306"/>
        <v>-63.137448876188756</v>
      </c>
      <c r="AE513" s="61">
        <f t="shared" si="307"/>
        <v>157.30165445049278</v>
      </c>
      <c r="AF513" s="31" t="str">
        <f t="shared" si="293"/>
        <v>-0.000495863624968664</v>
      </c>
      <c r="AG513" s="31" t="str">
        <f t="shared" si="294"/>
        <v>1.23600878014387i</v>
      </c>
      <c r="AH513" s="31">
        <f t="shared" si="308"/>
        <v>1.2360087801438699</v>
      </c>
      <c r="AI513" s="31">
        <f t="shared" si="309"/>
        <v>1.5707963267948966</v>
      </c>
      <c r="AJ513" s="31" t="str">
        <f t="shared" si="295"/>
        <v>1+4.82252629343708i</v>
      </c>
      <c r="AK513" s="31">
        <f t="shared" si="310"/>
        <v>4.9251152119409323</v>
      </c>
      <c r="AL513" s="31">
        <f t="shared" si="311"/>
        <v>1.3663337754869822</v>
      </c>
      <c r="AM513" s="31" t="str">
        <f t="shared" si="296"/>
        <v>1+1478.37222706588i</v>
      </c>
      <c r="AN513" s="31">
        <f t="shared" si="312"/>
        <v>1478.3725652756582</v>
      </c>
      <c r="AO513" s="31">
        <f t="shared" si="313"/>
        <v>1.5701199072645662</v>
      </c>
      <c r="AP513" s="58" t="str">
        <f t="shared" si="314"/>
        <v>-0.0243709632683155+0.117930792470575i</v>
      </c>
      <c r="AQ513" s="49">
        <f t="shared" si="315"/>
        <v>-18.385836091723196</v>
      </c>
      <c r="AR513" s="61">
        <f t="shared" si="316"/>
        <v>101.67608527415234</v>
      </c>
      <c r="AS513" s="58" t="str">
        <f t="shared" si="317"/>
        <v>-0.0000160435967603263-0.0000823662884154647i</v>
      </c>
      <c r="AT513" s="64">
        <f t="shared" si="318"/>
        <v>-81.523284967911962</v>
      </c>
      <c r="AU513" s="61">
        <f t="shared" si="319"/>
        <v>-101.02226027535487</v>
      </c>
    </row>
    <row r="514" spans="14:47" x14ac:dyDescent="0.25">
      <c r="N514" s="10">
        <v>96</v>
      </c>
      <c r="O514" s="50">
        <f t="shared" si="320"/>
        <v>912010.83935591124</v>
      </c>
      <c r="P514" s="48" t="str">
        <f t="shared" si="288"/>
        <v>304.285714285714</v>
      </c>
      <c r="Q514" s="17" t="str">
        <f t="shared" si="289"/>
        <v>1+298386.631010698i</v>
      </c>
      <c r="R514" s="17">
        <f t="shared" si="297"/>
        <v>298386.63101237372</v>
      </c>
      <c r="S514" s="17">
        <f t="shared" si="298"/>
        <v>1.5707929754383141</v>
      </c>
      <c r="T514" s="17" t="str">
        <f t="shared" si="290"/>
        <v>1+6.18875975429595i</v>
      </c>
      <c r="U514" s="17">
        <f t="shared" si="299"/>
        <v>6.2690308099732022</v>
      </c>
      <c r="V514" s="17">
        <f t="shared" si="300"/>
        <v>1.4105977030840382</v>
      </c>
      <c r="W514" s="31" t="str">
        <f t="shared" si="291"/>
        <v>1-19.3398742321749i</v>
      </c>
      <c r="X514" s="17">
        <f t="shared" si="301"/>
        <v>19.365710297232649</v>
      </c>
      <c r="Y514" s="17">
        <f t="shared" si="302"/>
        <v>-1.5191356891648293</v>
      </c>
      <c r="Z514" s="31" t="str">
        <f t="shared" si="292"/>
        <v>-51.2253417023938+170.605716789063i</v>
      </c>
      <c r="AA514" s="17">
        <f t="shared" si="303"/>
        <v>178.13013847644359</v>
      </c>
      <c r="AB514" s="17">
        <f t="shared" si="304"/>
        <v>1.8624877068845003</v>
      </c>
      <c r="AC514" s="66" t="str">
        <f t="shared" si="305"/>
        <v>-0.000640096583890087+0.000270799043207187i</v>
      </c>
      <c r="AD514" s="64">
        <f t="shared" si="306"/>
        <v>-63.160027362972791</v>
      </c>
      <c r="AE514" s="61">
        <f t="shared" si="307"/>
        <v>157.06873849982819</v>
      </c>
      <c r="AF514" s="31" t="str">
        <f t="shared" si="293"/>
        <v>-0.000495863624968664</v>
      </c>
      <c r="AG514" s="31" t="str">
        <f t="shared" si="294"/>
        <v>1.26479912311871i</v>
      </c>
      <c r="AH514" s="31">
        <f t="shared" si="308"/>
        <v>1.2647991231187099</v>
      </c>
      <c r="AI514" s="31">
        <f t="shared" si="309"/>
        <v>1.5707963267948966</v>
      </c>
      <c r="AJ514" s="31" t="str">
        <f t="shared" si="295"/>
        <v>1+4.93485736116384i</v>
      </c>
      <c r="AK514" s="31">
        <f t="shared" si="310"/>
        <v>5.0351581082457519</v>
      </c>
      <c r="AL514" s="31">
        <f t="shared" si="311"/>
        <v>1.370863500786903</v>
      </c>
      <c r="AM514" s="31" t="str">
        <f t="shared" si="296"/>
        <v>1+1512.80793993901i</v>
      </c>
      <c r="AN514" s="31">
        <f t="shared" si="312"/>
        <v>1512.8082704501956</v>
      </c>
      <c r="AO514" s="31">
        <f t="shared" si="313"/>
        <v>1.5701353044483388</v>
      </c>
      <c r="AP514" s="58" t="str">
        <f t="shared" si="314"/>
        <v>-0.0233173536200388+0.115459863465864i</v>
      </c>
      <c r="AQ514" s="49">
        <f t="shared" si="315"/>
        <v>-18.577770541742229</v>
      </c>
      <c r="AR514" s="61">
        <f t="shared" si="316"/>
        <v>101.41743332575987</v>
      </c>
      <c r="AS514" s="58" t="str">
        <f t="shared" si="317"/>
        <v>-0.0000163410621578444-0.0000802197812313456i</v>
      </c>
      <c r="AT514" s="64">
        <f t="shared" si="318"/>
        <v>-81.737797904715009</v>
      </c>
      <c r="AU514" s="61">
        <f t="shared" si="319"/>
        <v>-101.5138281744119</v>
      </c>
    </row>
    <row r="515" spans="14:47" x14ac:dyDescent="0.25">
      <c r="N515" s="10">
        <v>97</v>
      </c>
      <c r="O515" s="50">
        <f t="shared" si="320"/>
        <v>933254.30079699249</v>
      </c>
      <c r="P515" s="48" t="str">
        <f t="shared" si="288"/>
        <v>304.285714285714</v>
      </c>
      <c r="Q515" s="17" t="str">
        <f t="shared" si="289"/>
        <v>1+305336.948503511i</v>
      </c>
      <c r="R515" s="17">
        <f t="shared" si="297"/>
        <v>305336.94850514858</v>
      </c>
      <c r="S515" s="17">
        <f t="shared" si="298"/>
        <v>1.5707930517245035</v>
      </c>
      <c r="T515" s="17" t="str">
        <f t="shared" si="290"/>
        <v>1+6.33291448748021i</v>
      </c>
      <c r="U515" s="17">
        <f t="shared" si="299"/>
        <v>6.4113809671346722</v>
      </c>
      <c r="V515" s="17">
        <f t="shared" si="300"/>
        <v>1.414184261013077</v>
      </c>
      <c r="W515" s="31" t="str">
        <f t="shared" si="291"/>
        <v>1-19.7903577733757i</v>
      </c>
      <c r="X515" s="17">
        <f t="shared" si="301"/>
        <v>19.815606495845941</v>
      </c>
      <c r="Y515" s="17">
        <f t="shared" si="302"/>
        <v>-1.5203096084249617</v>
      </c>
      <c r="Z515" s="31" t="str">
        <f t="shared" si="292"/>
        <v>-53.6866462282897+174.579634433283i</v>
      </c>
      <c r="AA515" s="17">
        <f t="shared" si="303"/>
        <v>182.64803514437338</v>
      </c>
      <c r="AB515" s="17">
        <f t="shared" si="304"/>
        <v>1.8691374112491717</v>
      </c>
      <c r="AC515" s="66" t="str">
        <f t="shared" si="305"/>
        <v>-0.000637250120048675+0.000272783940132847i</v>
      </c>
      <c r="AD515" s="64">
        <f t="shared" si="306"/>
        <v>-63.183076984813702</v>
      </c>
      <c r="AE515" s="61">
        <f t="shared" si="307"/>
        <v>156.82596814706449</v>
      </c>
      <c r="AF515" s="31" t="str">
        <f t="shared" si="293"/>
        <v>-0.000495863624968664</v>
      </c>
      <c r="AG515" s="31" t="str">
        <f t="shared" si="294"/>
        <v>1.29426007933021i</v>
      </c>
      <c r="AH515" s="31">
        <f t="shared" si="308"/>
        <v>1.2942600793302099</v>
      </c>
      <c r="AI515" s="31">
        <f t="shared" si="309"/>
        <v>1.5707963267948966</v>
      </c>
      <c r="AJ515" s="31" t="str">
        <f t="shared" si="295"/>
        <v>1+5.04980495558405i</v>
      </c>
      <c r="AK515" s="31">
        <f t="shared" si="310"/>
        <v>5.1478665570740301</v>
      </c>
      <c r="AL515" s="31">
        <f t="shared" si="311"/>
        <v>1.3752981668003388</v>
      </c>
      <c r="AM515" s="31" t="str">
        <f t="shared" si="296"/>
        <v>1+1548.04576360627i</v>
      </c>
      <c r="AN515" s="31">
        <f t="shared" si="312"/>
        <v>1548.0460865941036</v>
      </c>
      <c r="AO515" s="31">
        <f t="shared" si="313"/>
        <v>1.5701503511497221</v>
      </c>
      <c r="AP515" s="58" t="str">
        <f t="shared" si="314"/>
        <v>-0.0223075010703269+0.113031654630945i</v>
      </c>
      <c r="AQ515" s="49">
        <f t="shared" si="315"/>
        <v>-18.770053992809292</v>
      </c>
      <c r="AR515" s="61">
        <f t="shared" si="316"/>
        <v>101.16420779212469</v>
      </c>
      <c r="AS515" s="58" t="str">
        <f t="shared" si="317"/>
        <v>-0.0000166177623749126-0.0000781145635193515i</v>
      </c>
      <c r="AT515" s="64">
        <f t="shared" si="318"/>
        <v>-81.953130977623005</v>
      </c>
      <c r="AU515" s="61">
        <f t="shared" si="319"/>
        <v>-102.00982406081086</v>
      </c>
    </row>
    <row r="516" spans="14:47" x14ac:dyDescent="0.25">
      <c r="N516" s="10">
        <v>98</v>
      </c>
      <c r="O516" s="50">
        <f t="shared" si="320"/>
        <v>954992.58602143743</v>
      </c>
      <c r="P516" s="48" t="str">
        <f t="shared" si="288"/>
        <v>304.285714285714</v>
      </c>
      <c r="Q516" s="17" t="str">
        <f t="shared" si="289"/>
        <v>1+312449.159688032i</v>
      </c>
      <c r="R516" s="17">
        <f t="shared" si="297"/>
        <v>312449.15968963224</v>
      </c>
      <c r="S516" s="17">
        <f t="shared" si="298"/>
        <v>1.5707931262742072</v>
      </c>
      <c r="T516" s="17" t="str">
        <f t="shared" si="290"/>
        <v>1+6.48042701575176i</v>
      </c>
      <c r="U516" s="17">
        <f t="shared" si="299"/>
        <v>6.5571285107495996</v>
      </c>
      <c r="V516" s="17">
        <f t="shared" si="300"/>
        <v>1.4176931087176545</v>
      </c>
      <c r="W516" s="31" t="str">
        <f t="shared" si="291"/>
        <v>1-20.2513344242243i</v>
      </c>
      <c r="X516" s="17">
        <f t="shared" si="301"/>
        <v>20.276009123142849</v>
      </c>
      <c r="Y516" s="17">
        <f t="shared" si="302"/>
        <v>-1.5214569406091518</v>
      </c>
      <c r="Z516" s="31" t="str">
        <f t="shared" si="292"/>
        <v>-56.2639484628021+178.646116510514i</v>
      </c>
      <c r="AA516" s="17">
        <f t="shared" si="303"/>
        <v>187.29673473104913</v>
      </c>
      <c r="AB516" s="17">
        <f t="shared" si="304"/>
        <v>1.8759083747438345</v>
      </c>
      <c r="AC516" s="66" t="str">
        <f t="shared" si="305"/>
        <v>-0.000634318220335078+0.000274844746460724i</v>
      </c>
      <c r="AD516" s="64">
        <f t="shared" si="306"/>
        <v>-63.206636607648662</v>
      </c>
      <c r="AE516" s="61">
        <f t="shared" si="307"/>
        <v>156.57332111677263</v>
      </c>
      <c r="AF516" s="31" t="str">
        <f t="shared" si="293"/>
        <v>-0.000495863624968664</v>
      </c>
      <c r="AG516" s="31" t="str">
        <f t="shared" si="294"/>
        <v>1.32440726936734i</v>
      </c>
      <c r="AH516" s="31">
        <f t="shared" si="308"/>
        <v>1.3244072693673401</v>
      </c>
      <c r="AI516" s="31">
        <f t="shared" si="309"/>
        <v>1.5707963267948966</v>
      </c>
      <c r="AJ516" s="31" t="str">
        <f t="shared" si="295"/>
        <v>1+5.16743002343379i</v>
      </c>
      <c r="AK516" s="31">
        <f t="shared" si="310"/>
        <v>5.2633005849072445</v>
      </c>
      <c r="AL516" s="31">
        <f t="shared" si="311"/>
        <v>1.3796394268072865</v>
      </c>
      <c r="AM516" s="31" t="str">
        <f t="shared" si="296"/>
        <v>1+1584.10438162821i</v>
      </c>
      <c r="AN516" s="31">
        <f t="shared" si="312"/>
        <v>1584.1046972639447</v>
      </c>
      <c r="AO516" s="31">
        <f t="shared" si="313"/>
        <v>1.5701650553466493</v>
      </c>
      <c r="AP516" s="58" t="str">
        <f t="shared" si="314"/>
        <v>-0.0213397406756196+0.110646020844997i</v>
      </c>
      <c r="AQ516" s="49">
        <f t="shared" si="315"/>
        <v>-18.962671924375183</v>
      </c>
      <c r="AR516" s="61">
        <f t="shared" si="316"/>
        <v>100.91631440438267</v>
      </c>
      <c r="AS516" s="58" t="str">
        <f t="shared" si="317"/>
        <v>-0.0000168742912182601-0.0000760499026450847i</v>
      </c>
      <c r="AT516" s="64">
        <f t="shared" si="318"/>
        <v>-82.169308532023848</v>
      </c>
      <c r="AU516" s="61">
        <f t="shared" si="319"/>
        <v>-102.51036447884469</v>
      </c>
    </row>
    <row r="517" spans="14:47" x14ac:dyDescent="0.25">
      <c r="N517" s="10">
        <v>99</v>
      </c>
      <c r="O517" s="50">
        <f t="shared" si="320"/>
        <v>977237.22095581202</v>
      </c>
      <c r="P517" s="48" t="str">
        <f t="shared" si="288"/>
        <v>304.285714285714</v>
      </c>
      <c r="Q517" s="17" t="str">
        <f t="shared" si="289"/>
        <v>1+319727.035552773i</v>
      </c>
      <c r="R517" s="17">
        <f t="shared" si="297"/>
        <v>319727.03555433685</v>
      </c>
      <c r="S517" s="17">
        <f t="shared" si="298"/>
        <v>1.5707931991269524</v>
      </c>
      <c r="T517" s="17" t="str">
        <f t="shared" si="290"/>
        <v>1+6.63137555220565i</v>
      </c>
      <c r="U517" s="17">
        <f t="shared" si="299"/>
        <v>6.7063508493360828</v>
      </c>
      <c r="V517" s="17">
        <f t="shared" si="300"/>
        <v>1.4211257608502046</v>
      </c>
      <c r="W517" s="31" t="str">
        <f t="shared" si="291"/>
        <v>1-20.7230486006427i</v>
      </c>
      <c r="X517" s="17">
        <f t="shared" si="301"/>
        <v>20.747162295229661</v>
      </c>
      <c r="Y517" s="17">
        <f t="shared" si="302"/>
        <v>-1.522578281958729</v>
      </c>
      <c r="Z517" s="31" t="str">
        <f t="shared" si="292"/>
        <v>-58.9627152095156+182.80731912338i</v>
      </c>
      <c r="AA517" s="17">
        <f t="shared" si="303"/>
        <v>192.08101860922056</v>
      </c>
      <c r="AB517" s="17">
        <f t="shared" si="304"/>
        <v>1.8828018441697809</v>
      </c>
      <c r="AC517" s="66" t="str">
        <f t="shared" si="305"/>
        <v>-0.000631297477892066+0.000276978584474113i</v>
      </c>
      <c r="AD517" s="64">
        <f t="shared" si="306"/>
        <v>-63.230745464680503</v>
      </c>
      <c r="AE517" s="61">
        <f t="shared" si="307"/>
        <v>156.31077859131597</v>
      </c>
      <c r="AF517" s="31" t="str">
        <f t="shared" si="293"/>
        <v>-0.000495863624968664</v>
      </c>
      <c r="AG517" s="31" t="str">
        <f t="shared" si="294"/>
        <v>1.35525667766929i</v>
      </c>
      <c r="AH517" s="31">
        <f t="shared" si="308"/>
        <v>1.35525667766929</v>
      </c>
      <c r="AI517" s="31">
        <f t="shared" si="309"/>
        <v>1.5707963267948966</v>
      </c>
      <c r="AJ517" s="31" t="str">
        <f t="shared" si="295"/>
        <v>1+5.28779493108097i</v>
      </c>
      <c r="AK517" s="31">
        <f t="shared" si="310"/>
        <v>5.381521646631704</v>
      </c>
      <c r="AL517" s="31">
        <f t="shared" si="311"/>
        <v>1.3838889277451705</v>
      </c>
      <c r="AM517" s="31" t="str">
        <f t="shared" si="296"/>
        <v>1+1621.00291276138i</v>
      </c>
      <c r="AN517" s="31">
        <f t="shared" si="312"/>
        <v>1621.0032212123695</v>
      </c>
      <c r="AO517" s="31">
        <f t="shared" si="313"/>
        <v>1.5701794248354544</v>
      </c>
      <c r="AP517" s="58" t="str">
        <f t="shared" si="314"/>
        <v>-0.02041245783564+0.108302772779961i</v>
      </c>
      <c r="AQ517" s="49">
        <f t="shared" si="315"/>
        <v>-19.155610370637195</v>
      </c>
      <c r="AR517" s="61">
        <f t="shared" si="316"/>
        <v>100.67365924666746</v>
      </c>
      <c r="AS517" s="58" t="str">
        <f t="shared" si="317"/>
        <v>-0.0000171112155499974-0.00007402508098166i</v>
      </c>
      <c r="AT517" s="64">
        <f t="shared" si="318"/>
        <v>-82.386355835317687</v>
      </c>
      <c r="AU517" s="61">
        <f t="shared" si="319"/>
        <v>-103.01556216201652</v>
      </c>
    </row>
    <row r="518" spans="14:47" x14ac:dyDescent="0.25">
      <c r="N518" s="10">
        <v>100</v>
      </c>
      <c r="O518" s="50">
        <f t="shared" si="320"/>
        <v>1000000</v>
      </c>
      <c r="P518" s="48" t="str">
        <f t="shared" si="288"/>
        <v>304.285714285714</v>
      </c>
      <c r="Q518" s="17" t="str">
        <f t="shared" si="289"/>
        <v>1+327174.434923852i</v>
      </c>
      <c r="R518" s="17">
        <f t="shared" si="297"/>
        <v>327174.43492538016</v>
      </c>
      <c r="S518" s="17">
        <f t="shared" si="298"/>
        <v>1.5707932703213667</v>
      </c>
      <c r="T518" s="17" t="str">
        <f t="shared" si="290"/>
        <v>1+6.78584013175396i</v>
      </c>
      <c r="U518" s="17">
        <f t="shared" si="299"/>
        <v>6.859127225363487</v>
      </c>
      <c r="V518" s="17">
        <f t="shared" si="300"/>
        <v>1.4244837137032231</v>
      </c>
      <c r="W518" s="31" t="str">
        <f t="shared" si="291"/>
        <v>1-21.2057504117311i</v>
      </c>
      <c r="X518" s="17">
        <f t="shared" si="301"/>
        <v>21.22931582799205</v>
      </c>
      <c r="Y518" s="17">
        <f t="shared" si="302"/>
        <v>-1.5236742157374554</v>
      </c>
      <c r="Z518" s="31" t="str">
        <f t="shared" si="292"/>
        <v>-61.7886709145296+187.065448596587i</v>
      </c>
      <c r="AA518" s="17">
        <f t="shared" si="303"/>
        <v>197.00589308958851</v>
      </c>
      <c r="AB518" s="17">
        <f t="shared" si="304"/>
        <v>1.8898189959422012</v>
      </c>
      <c r="AC518" s="66" t="str">
        <f t="shared" si="305"/>
        <v>-0.000628184516007535+0.000279182424867031i</v>
      </c>
      <c r="AD518" s="64">
        <f t="shared" si="306"/>
        <v>-63.25544317293668</v>
      </c>
      <c r="AE518" s="61">
        <f t="shared" si="307"/>
        <v>156.03832547754914</v>
      </c>
      <c r="AF518" s="31" t="str">
        <f t="shared" si="293"/>
        <v>-0.000495863624968664</v>
      </c>
      <c r="AG518" s="31" t="str">
        <f t="shared" si="294"/>
        <v>1.38682466100068i</v>
      </c>
      <c r="AH518" s="31">
        <f t="shared" si="308"/>
        <v>1.38682466100068</v>
      </c>
      <c r="AI518" s="31">
        <f t="shared" si="309"/>
        <v>1.5707963267948966</v>
      </c>
      <c r="AJ518" s="31" t="str">
        <f t="shared" si="295"/>
        <v>1+5.41096349759284i</v>
      </c>
      <c r="AK518" s="31">
        <f t="shared" si="310"/>
        <v>5.5025926591273437</v>
      </c>
      <c r="AL518" s="31">
        <f t="shared" si="311"/>
        <v>1.3880483085497399</v>
      </c>
      <c r="AM518" s="31" t="str">
        <f t="shared" si="296"/>
        <v>1+1658.76092109541i</v>
      </c>
      <c r="AN518" s="31">
        <f t="shared" si="312"/>
        <v>1658.7612225251992</v>
      </c>
      <c r="AO518" s="31">
        <f t="shared" si="313"/>
        <v>1.5701934672350071</v>
      </c>
      <c r="AP518" s="58" t="str">
        <f t="shared" si="314"/>
        <v>-0.0195240879254031+0.106001680309485i</v>
      </c>
      <c r="AQ518" s="49">
        <f t="shared" si="315"/>
        <v>-19.348855903566403</v>
      </c>
      <c r="AR518" s="61">
        <f t="shared" si="316"/>
        <v>100.43614885140646</v>
      </c>
      <c r="AS518" s="58" t="str">
        <f t="shared" si="317"/>
        <v>-0.0000173290764248739-0.0000720393964515305i</v>
      </c>
      <c r="AT518" s="64">
        <f t="shared" si="318"/>
        <v>-82.604299076503068</v>
      </c>
      <c r="AU518" s="61">
        <f t="shared" si="319"/>
        <v>-103.52552567104435</v>
      </c>
    </row>
    <row r="519" spans="14:47" x14ac:dyDescent="0.25">
      <c r="N519" s="10">
        <v>1</v>
      </c>
      <c r="O519" s="50">
        <f>10^(6+(N519/100))</f>
        <v>1023292.9922807553</v>
      </c>
      <c r="P519" s="48" t="str">
        <f t="shared" si="288"/>
        <v>304.285714285714</v>
      </c>
      <c r="Q519" s="17" t="str">
        <f t="shared" si="289"/>
        <v>1+334795.306510994i</v>
      </c>
      <c r="R519" s="17">
        <f t="shared" si="297"/>
        <v>334795.30651248747</v>
      </c>
      <c r="S519" s="17">
        <f t="shared" si="298"/>
        <v>1.5707933398951983</v>
      </c>
      <c r="T519" s="17" t="str">
        <f t="shared" si="290"/>
        <v>1+6.94390265356134i</v>
      </c>
      <c r="U519" s="17">
        <f t="shared" si="299"/>
        <v>7.0155387577958841</v>
      </c>
      <c r="V519" s="17">
        <f t="shared" si="300"/>
        <v>1.4277684446407204</v>
      </c>
      <c r="W519" s="31" t="str">
        <f t="shared" si="291"/>
        <v>1-21.6996957923792i</v>
      </c>
      <c r="X519" s="17">
        <f t="shared" si="301"/>
        <v>21.722725369570909</v>
      </c>
      <c r="Y519" s="17">
        <f t="shared" si="302"/>
        <v>-1.524745312487588</v>
      </c>
      <c r="Z519" s="31" t="str">
        <f t="shared" si="292"/>
        <v>-64.7478098087772+191.422762646743i</v>
      </c>
      <c r="AA519" s="17">
        <f t="shared" si="303"/>
        <v>202.07660164983201</v>
      </c>
      <c r="AB519" s="17">
        <f t="shared" si="304"/>
        <v>1.8969609303373587</v>
      </c>
      <c r="AC519" s="66" t="str">
        <f t="shared" si="305"/>
        <v>-0.000624975995553955+0.000281453080569061i</v>
      </c>
      <c r="AD519" s="64">
        <f t="shared" si="306"/>
        <v>-63.280769746988945</v>
      </c>
      <c r="AE519" s="61">
        <f t="shared" si="307"/>
        <v>155.75595068918221</v>
      </c>
      <c r="AF519" s="31" t="str">
        <f t="shared" si="293"/>
        <v>-0.000495863624968664</v>
      </c>
      <c r="AG519" s="31" t="str">
        <f t="shared" si="294"/>
        <v>1.41912795712413i</v>
      </c>
      <c r="AH519" s="31">
        <f t="shared" si="308"/>
        <v>1.41912795712413</v>
      </c>
      <c r="AI519" s="31">
        <f t="shared" si="309"/>
        <v>1.5707963267948966</v>
      </c>
      <c r="AJ519" s="31" t="str">
        <f t="shared" si="295"/>
        <v>1+5.53700102857372i</v>
      </c>
      <c r="AK519" s="31">
        <f t="shared" si="310"/>
        <v>5.6265780355760135</v>
      </c>
      <c r="AL519" s="31">
        <f t="shared" si="311"/>
        <v>1.3921191986256349</v>
      </c>
      <c r="AM519" s="31" t="str">
        <f t="shared" si="296"/>
        <v>1+1697.39842642611i</v>
      </c>
      <c r="AN519" s="31">
        <f t="shared" si="312"/>
        <v>1697.3987209945208</v>
      </c>
      <c r="AO519" s="31">
        <f t="shared" si="313"/>
        <v>1.5702071899907513</v>
      </c>
      <c r="AP519" s="58" t="str">
        <f t="shared" si="314"/>
        <v>-0.0186731158083251+0.103742475753734i</v>
      </c>
      <c r="AQ519" s="49">
        <f t="shared" si="315"/>
        <v>-19.542395616080142</v>
      </c>
      <c r="AR519" s="61">
        <f t="shared" si="316"/>
        <v>100.20369028718343</v>
      </c>
      <c r="AS519" s="58" t="str">
        <f t="shared" si="317"/>
        <v>-0.0000175283902443473-0.0000700921630334979i</v>
      </c>
      <c r="AT519" s="64">
        <f t="shared" si="318"/>
        <v>-82.82316536306908</v>
      </c>
      <c r="AU519" s="61">
        <f t="shared" si="319"/>
        <v>-104.04035902363435</v>
      </c>
    </row>
    <row r="520" spans="14:47" x14ac:dyDescent="0.25">
      <c r="N520" s="10">
        <v>2</v>
      </c>
      <c r="O520" s="50">
        <f t="shared" ref="O520:O560" si="321">10^(6+(N520/100))</f>
        <v>1047128.5480509007</v>
      </c>
      <c r="P520" s="48" t="str">
        <f t="shared" si="288"/>
        <v>304.285714285714</v>
      </c>
      <c r="Q520" s="17" t="str">
        <f t="shared" si="289"/>
        <v>1+342593.691001187i</v>
      </c>
      <c r="R520" s="17">
        <f t="shared" si="297"/>
        <v>342593.69100264652</v>
      </c>
      <c r="S520" s="17">
        <f t="shared" si="298"/>
        <v>1.5707934078853363</v>
      </c>
      <c r="T520" s="17" t="str">
        <f t="shared" si="290"/>
        <v>1+7.10564692446905i</v>
      </c>
      <c r="U520" s="17">
        <f t="shared" si="299"/>
        <v>7.1756684855988491</v>
      </c>
      <c r="V520" s="17">
        <f t="shared" si="300"/>
        <v>1.430981411599227</v>
      </c>
      <c r="W520" s="31" t="str">
        <f t="shared" si="291"/>
        <v>1-22.2051466389658i</v>
      </c>
      <c r="X520" s="17">
        <f t="shared" si="301"/>
        <v>22.227652535928623</v>
      </c>
      <c r="Y520" s="17">
        <f t="shared" si="302"/>
        <v>-1.5257921302826991</v>
      </c>
      <c r="Z520" s="31" t="str">
        <f t="shared" si="292"/>
        <v>-67.8464086225915+195.881571579434i</v>
      </c>
      <c r="AA520" s="17">
        <f t="shared" si="303"/>
        <v>207.29863783298862</v>
      </c>
      <c r="AB520" s="17">
        <f t="shared" si="304"/>
        <v>1.9042286655524203</v>
      </c>
      <c r="AC520" s="66" t="str">
        <f t="shared" si="305"/>
        <v>-0.000621668623178973+0.000283787200872425i</v>
      </c>
      <c r="AD520" s="64">
        <f t="shared" si="306"/>
        <v>-63.30676560963208</v>
      </c>
      <c r="AE520" s="61">
        <f t="shared" si="307"/>
        <v>155.46364744405096</v>
      </c>
      <c r="AF520" s="31" t="str">
        <f t="shared" si="293"/>
        <v>-0.000495863624968664</v>
      </c>
      <c r="AG520" s="31" t="str">
        <f t="shared" si="294"/>
        <v>1.45218369367482i</v>
      </c>
      <c r="AH520" s="31">
        <f t="shared" si="308"/>
        <v>1.45218369367482</v>
      </c>
      <c r="AI520" s="31">
        <f t="shared" si="309"/>
        <v>1.5707963267948966</v>
      </c>
      <c r="AJ520" s="31" t="str">
        <f t="shared" si="295"/>
        <v>1+5.66597435079081i</v>
      </c>
      <c r="AK520" s="31">
        <f t="shared" si="310"/>
        <v>5.7535437205099376</v>
      </c>
      <c r="AL520" s="31">
        <f t="shared" si="311"/>
        <v>1.3961032164402747</v>
      </c>
      <c r="AM520" s="31" t="str">
        <f t="shared" si="296"/>
        <v>1+1736.93591487021i</v>
      </c>
      <c r="AN520" s="31">
        <f t="shared" si="312"/>
        <v>1736.9362027334259</v>
      </c>
      <c r="AO520" s="31">
        <f t="shared" si="313"/>
        <v>1.570220600378653</v>
      </c>
      <c r="AP520" s="58" t="str">
        <f t="shared" si="314"/>
        <v>-0.017858075244073+0.101524856962894i</v>
      </c>
      <c r="AQ520" s="49">
        <f t="shared" si="315"/>
        <v>-19.736217105396513</v>
      </c>
      <c r="AR520" s="61">
        <f t="shared" si="316"/>
        <v>99.976191239527992</v>
      </c>
      <c r="AS520" s="58" t="str">
        <f t="shared" si="317"/>
        <v>-0.0000177096499268637-0.0000681827112330491i</v>
      </c>
      <c r="AT520" s="64">
        <f t="shared" si="318"/>
        <v>-83.042982715028586</v>
      </c>
      <c r="AU520" s="61">
        <f t="shared" si="319"/>
        <v>-104.56016131642106</v>
      </c>
    </row>
    <row r="521" spans="14:47" x14ac:dyDescent="0.25">
      <c r="N521" s="10">
        <v>3</v>
      </c>
      <c r="O521" s="50">
        <f t="shared" si="321"/>
        <v>1071519.3052376076</v>
      </c>
      <c r="P521" s="48" t="str">
        <f t="shared" si="288"/>
        <v>304.285714285714</v>
      </c>
      <c r="Q521" s="17" t="str">
        <f t="shared" si="289"/>
        <v>1+350573.723201113i</v>
      </c>
      <c r="R521" s="17">
        <f t="shared" si="297"/>
        <v>350573.72320253926</v>
      </c>
      <c r="S521" s="17">
        <f t="shared" si="298"/>
        <v>1.5707934743278296</v>
      </c>
      <c r="T521" s="17" t="str">
        <f t="shared" si="290"/>
        <v>1+7.27115870343047i</v>
      </c>
      <c r="U521" s="17">
        <f t="shared" si="299"/>
        <v>7.339601412234364</v>
      </c>
      <c r="V521" s="17">
        <f t="shared" si="300"/>
        <v>1.4341240526539303</v>
      </c>
      <c r="W521" s="31" t="str">
        <f t="shared" si="291"/>
        <v>1-22.7223709482202i</v>
      </c>
      <c r="X521" s="17">
        <f t="shared" si="301"/>
        <v>22.744365049579233</v>
      </c>
      <c r="Y521" s="17">
        <f t="shared" si="302"/>
        <v>-1.5268152149771639</v>
      </c>
      <c r="Z521" s="31" t="str">
        <f t="shared" si="292"/>
        <v>-71.0910398994931+200.444239514176i</v>
      </c>
      <c r="AA521" s="17">
        <f t="shared" si="303"/>
        <v>212.67775884752891</v>
      </c>
      <c r="AB521" s="17">
        <f t="shared" si="304"/>
        <v>1.9116231315888574</v>
      </c>
      <c r="AC521" s="66" t="str">
        <f t="shared" si="305"/>
        <v>-0.000618259160256276+0.000286181265925638i</v>
      </c>
      <c r="AD521" s="64">
        <f t="shared" si="306"/>
        <v>-63.333471599317065</v>
      </c>
      <c r="AE521" s="61">
        <f t="shared" si="307"/>
        <v>155.16141357541761</v>
      </c>
      <c r="AF521" s="31" t="str">
        <f t="shared" si="293"/>
        <v>-0.000495863624968664</v>
      </c>
      <c r="AG521" s="31" t="str">
        <f t="shared" si="294"/>
        <v>1.48600939724183i</v>
      </c>
      <c r="AH521" s="31">
        <f t="shared" si="308"/>
        <v>1.48600939724183</v>
      </c>
      <c r="AI521" s="31">
        <f t="shared" si="309"/>
        <v>1.5707963267948966</v>
      </c>
      <c r="AJ521" s="31" t="str">
        <f t="shared" si="295"/>
        <v>1+5.79795184760673i</v>
      </c>
      <c r="AK521" s="31">
        <f t="shared" si="310"/>
        <v>5.8835572256217832</v>
      </c>
      <c r="AL521" s="31">
        <f t="shared" si="311"/>
        <v>1.4000019682348595</v>
      </c>
      <c r="AM521" s="31" t="str">
        <f t="shared" si="296"/>
        <v>1+1777.39434972745i</v>
      </c>
      <c r="AN521" s="31">
        <f t="shared" si="312"/>
        <v>1777.3946310381002</v>
      </c>
      <c r="AO521" s="31">
        <f t="shared" si="313"/>
        <v>1.5702337055090581</v>
      </c>
      <c r="AP521" s="58" t="str">
        <f t="shared" si="314"/>
        <v>-0.0170775482038557+0.0993484902427132i</v>
      </c>
      <c r="AQ521" s="49">
        <f t="shared" si="315"/>
        <v>-19.930308456605839</v>
      </c>
      <c r="AR521" s="61">
        <f t="shared" si="316"/>
        <v>99.753560084991477</v>
      </c>
      <c r="AS521" s="58" t="str">
        <f t="shared" si="317"/>
        <v>-0.0000178733260937087-0.0000663103885140742i</v>
      </c>
      <c r="AT521" s="64">
        <f t="shared" si="318"/>
        <v>-83.263780055922908</v>
      </c>
      <c r="AU521" s="61">
        <f t="shared" si="319"/>
        <v>-105.08502633959093</v>
      </c>
    </row>
    <row r="522" spans="14:47" x14ac:dyDescent="0.25">
      <c r="N522" s="10">
        <v>4</v>
      </c>
      <c r="O522" s="50">
        <f t="shared" si="321"/>
        <v>1096478.196143186</v>
      </c>
      <c r="P522" s="48" t="str">
        <f t="shared" si="288"/>
        <v>304.285714285714</v>
      </c>
      <c r="Q522" s="17" t="str">
        <f t="shared" si="289"/>
        <v>1+358739.634229471i</v>
      </c>
      <c r="R522" s="17">
        <f t="shared" si="297"/>
        <v>358739.63423086482</v>
      </c>
      <c r="S522" s="17">
        <f t="shared" si="298"/>
        <v>1.5707935392579071</v>
      </c>
      <c r="T522" s="17" t="str">
        <f t="shared" si="290"/>
        <v>1+7.44052574698161i</v>
      </c>
      <c r="U522" s="17">
        <f t="shared" si="299"/>
        <v>7.5074245511690796</v>
      </c>
      <c r="V522" s="17">
        <f t="shared" si="300"/>
        <v>1.4371977856457072</v>
      </c>
      <c r="W522" s="31" t="str">
        <f t="shared" si="291"/>
        <v>1-23.2516429593176i</v>
      </c>
      <c r="X522" s="17">
        <f t="shared" si="301"/>
        <v>23.273136881554741</v>
      </c>
      <c r="Y522" s="17">
        <f t="shared" si="302"/>
        <v>-1.5278151004522322</v>
      </c>
      <c r="Z522" s="31" t="str">
        <f t="shared" si="292"/>
        <v>-74.4885859374357+205.113185637901i</v>
      </c>
      <c r="AA522" s="17">
        <f t="shared" si="303"/>
        <v>218.2199999025909</v>
      </c>
      <c r="AB522" s="17">
        <f t="shared" si="304"/>
        <v>1.9191451639724686</v>
      </c>
      <c r="AC522" s="66" t="str">
        <f t="shared" si="305"/>
        <v>-0.000614744432601129+0.000288631581662338i</v>
      </c>
      <c r="AD522" s="64">
        <f t="shared" si="306"/>
        <v>-63.360928974134353</v>
      </c>
      <c r="AE522" s="61">
        <f t="shared" si="307"/>
        <v>154.84925185631769</v>
      </c>
      <c r="AF522" s="31" t="str">
        <f t="shared" si="293"/>
        <v>-0.000495863624968664</v>
      </c>
      <c r="AG522" s="31" t="str">
        <f t="shared" si="294"/>
        <v>1.52062300266091i</v>
      </c>
      <c r="AH522" s="31">
        <f t="shared" si="308"/>
        <v>1.52062300266091</v>
      </c>
      <c r="AI522" s="31">
        <f t="shared" si="309"/>
        <v>1.5707963267948966</v>
      </c>
      <c r="AJ522" s="31" t="str">
        <f t="shared" si="295"/>
        <v>1+5.93300349523722i</v>
      </c>
      <c r="AK522" s="31">
        <f t="shared" si="310"/>
        <v>6.0166876663573845</v>
      </c>
      <c r="AL522" s="31">
        <f t="shared" si="311"/>
        <v>1.4038170468463891</v>
      </c>
      <c r="AM522" s="31" t="str">
        <f t="shared" si="296"/>
        <v>1+1818.7951825955i</v>
      </c>
      <c r="AN522" s="31">
        <f t="shared" si="312"/>
        <v>1818.7954575027391</v>
      </c>
      <c r="AO522" s="31">
        <f t="shared" si="313"/>
        <v>1.5702465123304621</v>
      </c>
      <c r="AP522" s="58" t="str">
        <f t="shared" si="314"/>
        <v>-0.0163301641049405+0.0972130131259141i</v>
      </c>
      <c r="AQ522" s="49">
        <f t="shared" si="315"/>
        <v>-20.124658226487313</v>
      </c>
      <c r="AR522" s="61">
        <f t="shared" si="316"/>
        <v>99.535705958855601</v>
      </c>
      <c r="AS522" s="58" t="str">
        <f t="shared" si="317"/>
        <v>-0.0000180198682697192-0.0000644745596899507i</v>
      </c>
      <c r="AT522" s="64">
        <f t="shared" si="318"/>
        <v>-83.485587200621666</v>
      </c>
      <c r="AU522" s="61">
        <f t="shared" si="319"/>
        <v>-105.61504218482666</v>
      </c>
    </row>
    <row r="523" spans="14:47" x14ac:dyDescent="0.25">
      <c r="N523" s="10">
        <v>5</v>
      </c>
      <c r="O523" s="50">
        <f t="shared" si="321"/>
        <v>1122018.4543019643</v>
      </c>
      <c r="P523" s="48" t="str">
        <f t="shared" si="288"/>
        <v>304.285714285714</v>
      </c>
      <c r="Q523" s="17" t="str">
        <f t="shared" si="289"/>
        <v>1+367095.753760379i</v>
      </c>
      <c r="R523" s="17">
        <f t="shared" si="297"/>
        <v>367095.75376174104</v>
      </c>
      <c r="S523" s="17">
        <f t="shared" si="298"/>
        <v>1.5707936027099958</v>
      </c>
      <c r="T523" s="17" t="str">
        <f t="shared" si="290"/>
        <v>1+7.61383785577081i</v>
      </c>
      <c r="U523" s="17">
        <f t="shared" si="299"/>
        <v>7.6792269724216817</v>
      </c>
      <c r="V523" s="17">
        <f t="shared" si="300"/>
        <v>1.4402040078650267</v>
      </c>
      <c r="W523" s="31" t="str">
        <f t="shared" si="291"/>
        <v>1-23.7932432992838i</v>
      </c>
      <c r="X523" s="17">
        <f t="shared" si="301"/>
        <v>23.814248396682888</v>
      </c>
      <c r="Y523" s="17">
        <f t="shared" si="302"/>
        <v>-1.5287923088586115</v>
      </c>
      <c r="Z523" s="31" t="str">
        <f t="shared" si="292"/>
        <v>-78.0462533870825+209.890885487645i</v>
      </c>
      <c r="AA523" s="17">
        <f t="shared" si="303"/>
        <v>223.93168931294289</v>
      </c>
      <c r="AB523" s="17">
        <f t="shared" si="304"/>
        <v>1.9267954973254546</v>
      </c>
      <c r="AC523" s="66" t="str">
        <f t="shared" si="305"/>
        <v>-0.00061112134094961+0.000291134275238089i</v>
      </c>
      <c r="AD523" s="64">
        <f t="shared" si="306"/>
        <v>-63.389179412143015</v>
      </c>
      <c r="AE523" s="61">
        <f t="shared" si="307"/>
        <v>154.52717033584179</v>
      </c>
      <c r="AF523" s="31" t="str">
        <f t="shared" si="293"/>
        <v>-0.000495863624968664</v>
      </c>
      <c r="AG523" s="31" t="str">
        <f t="shared" si="294"/>
        <v>1.55604286252383i</v>
      </c>
      <c r="AH523" s="31">
        <f t="shared" si="308"/>
        <v>1.5560428625238301</v>
      </c>
      <c r="AI523" s="31">
        <f t="shared" si="309"/>
        <v>1.5707963267948966</v>
      </c>
      <c r="AJ523" s="31" t="str">
        <f t="shared" si="295"/>
        <v>1+6.07120089985347i</v>
      </c>
      <c r="AK523" s="31">
        <f t="shared" si="310"/>
        <v>6.1530057993131777</v>
      </c>
      <c r="AL523" s="31">
        <f t="shared" si="311"/>
        <v>1.4075500306347839</v>
      </c>
      <c r="AM523" s="31" t="str">
        <f t="shared" si="296"/>
        <v>1+1861.16036474397i</v>
      </c>
      <c r="AN523" s="31">
        <f t="shared" si="312"/>
        <v>1861.1606333935574</v>
      </c>
      <c r="AO523" s="31">
        <f t="shared" si="313"/>
        <v>1.5702590276331947</v>
      </c>
      <c r="AP523" s="58" t="str">
        <f t="shared" si="314"/>
        <v>-0.0156145989753038+0.0951180369936639i</v>
      </c>
      <c r="AQ523" s="49">
        <f t="shared" si="315"/>
        <v>-20.319255427597017</v>
      </c>
      <c r="AR523" s="61">
        <f t="shared" si="316"/>
        <v>99.322538816815694</v>
      </c>
      <c r="AS523" s="58" t="str">
        <f t="shared" si="317"/>
        <v>-0.000018149706098042-0.000062674607271871i</v>
      </c>
      <c r="AT523" s="64">
        <f t="shared" si="318"/>
        <v>-83.708434839740022</v>
      </c>
      <c r="AU523" s="61">
        <f t="shared" si="319"/>
        <v>-106.1502908473425</v>
      </c>
    </row>
    <row r="524" spans="14:47" x14ac:dyDescent="0.25">
      <c r="N524" s="10">
        <v>6</v>
      </c>
      <c r="O524" s="50">
        <f t="shared" si="321"/>
        <v>1148153.6214968837</v>
      </c>
      <c r="P524" s="48" t="str">
        <f t="shared" si="288"/>
        <v>304.285714285714</v>
      </c>
      <c r="Q524" s="17" t="str">
        <f t="shared" si="289"/>
        <v>1+375646.512319017i</v>
      </c>
      <c r="R524" s="17">
        <f t="shared" si="297"/>
        <v>375646.51232034806</v>
      </c>
      <c r="S524" s="17">
        <f t="shared" si="298"/>
        <v>1.5707936647177385</v>
      </c>
      <c r="T524" s="17" t="str">
        <f t="shared" si="290"/>
        <v>1+7.79118692217219i</v>
      </c>
      <c r="U524" s="17">
        <f t="shared" si="299"/>
        <v>7.8550998501754874</v>
      </c>
      <c r="V524" s="17">
        <f t="shared" si="300"/>
        <v>1.4431440957888757</v>
      </c>
      <c r="W524" s="31" t="str">
        <f t="shared" si="291"/>
        <v>1-24.3474591317881i</v>
      </c>
      <c r="X524" s="17">
        <f t="shared" si="301"/>
        <v>24.367986502255203</v>
      </c>
      <c r="Y524" s="17">
        <f t="shared" si="302"/>
        <v>-1.5297473508555068</v>
      </c>
      <c r="Z524" s="31" t="str">
        <f t="shared" si="292"/>
        <v>-81.7715885380792+214.77987226311i</v>
      </c>
      <c r="AA524" s="17">
        <f t="shared" si="303"/>
        <v>229.81946440934627</v>
      </c>
      <c r="AB524" s="17">
        <f t="shared" si="304"/>
        <v>1.9345747588084747</v>
      </c>
      <c r="AC524" s="66" t="str">
        <f t="shared" si="305"/>
        <v>-0.000607386872194629+0.000293685291051895i</v>
      </c>
      <c r="AD524" s="64">
        <f t="shared" si="306"/>
        <v>-63.418265007841654</v>
      </c>
      <c r="AE524" s="61">
        <f t="shared" si="307"/>
        <v>154.19518268610821</v>
      </c>
      <c r="AF524" s="31" t="str">
        <f t="shared" si="293"/>
        <v>-0.000495863624968664</v>
      </c>
      <c r="AG524" s="31" t="str">
        <f t="shared" si="294"/>
        <v>1.59228775690912i</v>
      </c>
      <c r="AH524" s="31">
        <f t="shared" si="308"/>
        <v>1.5922877569091201</v>
      </c>
      <c r="AI524" s="31">
        <f t="shared" si="309"/>
        <v>1.5707963267948966</v>
      </c>
      <c r="AJ524" s="31" t="str">
        <f t="shared" si="295"/>
        <v>1+6.21261733554866i</v>
      </c>
      <c r="AK524" s="31">
        <f t="shared" si="310"/>
        <v>6.2925840604603556</v>
      </c>
      <c r="AL524" s="31">
        <f t="shared" si="311"/>
        <v>1.411202482509349</v>
      </c>
      <c r="AM524" s="31" t="str">
        <f t="shared" si="296"/>
        <v>1+1904.5123587532i</v>
      </c>
      <c r="AN524" s="31">
        <f t="shared" si="312"/>
        <v>1904.5126212875768</v>
      </c>
      <c r="AO524" s="31">
        <f t="shared" si="313"/>
        <v>1.5702712580530189</v>
      </c>
      <c r="AP524" s="58" t="str">
        <f t="shared" si="314"/>
        <v>-0.0149295745584753+0.0930631495516048i</v>
      </c>
      <c r="AQ524" s="49">
        <f t="shared" si="315"/>
        <v>-20.514089512649068</v>
      </c>
      <c r="AR524" s="61">
        <f t="shared" si="316"/>
        <v>99.113969490966099</v>
      </c>
      <c r="AS524" s="58" t="str">
        <f t="shared" si="317"/>
        <v>-0.0000182632505680003-0.000060909931772217i</v>
      </c>
      <c r="AT524" s="64">
        <f t="shared" si="318"/>
        <v>-83.932354520490719</v>
      </c>
      <c r="AU524" s="61">
        <f t="shared" si="319"/>
        <v>-106.69084782292572</v>
      </c>
    </row>
    <row r="525" spans="14:47" x14ac:dyDescent="0.25">
      <c r="N525" s="10">
        <v>7</v>
      </c>
      <c r="O525" s="50">
        <f t="shared" si="321"/>
        <v>1174897.5549395324</v>
      </c>
      <c r="P525" s="48" t="str">
        <f t="shared" si="288"/>
        <v>304.285714285714</v>
      </c>
      <c r="Q525" s="17" t="str">
        <f t="shared" si="289"/>
        <v>1+384396.443630757i</v>
      </c>
      <c r="R525" s="17">
        <f t="shared" si="297"/>
        <v>384396.44363205775</v>
      </c>
      <c r="S525" s="17">
        <f t="shared" si="298"/>
        <v>1.5707937253140125</v>
      </c>
      <c r="T525" s="17" t="str">
        <f t="shared" si="290"/>
        <v>1+7.97266697900827i</v>
      </c>
      <c r="U525" s="17">
        <f t="shared" si="299"/>
        <v>8.0351365114831044</v>
      </c>
      <c r="V525" s="17">
        <f t="shared" si="300"/>
        <v>1.4460194048670663</v>
      </c>
      <c r="W525" s="31" t="str">
        <f t="shared" si="291"/>
        <v>1-24.9145843094009i</v>
      </c>
      <c r="X525" s="17">
        <f t="shared" si="301"/>
        <v>24.934644800161994</v>
      </c>
      <c r="Y525" s="17">
        <f t="shared" si="302"/>
        <v>-1.5306807258460644</v>
      </c>
      <c r="Z525" s="31" t="str">
        <f t="shared" si="292"/>
        <v>-85.6724933257458+219.782738169796i</v>
      </c>
      <c r="AA525" s="17">
        <f t="shared" si="303"/>
        <v>235.89028829111015</v>
      </c>
      <c r="AB525" s="17">
        <f t="shared" si="304"/>
        <v>1.9424834614531994</v>
      </c>
      <c r="AC525" s="66" t="str">
        <f t="shared" si="305"/>
        <v>-0.000603538111364821+0.000296280387432592i</v>
      </c>
      <c r="AD525" s="64">
        <f t="shared" si="306"/>
        <v>-63.44822826458276</v>
      </c>
      <c r="AE525" s="61">
        <f t="shared" si="307"/>
        <v>153.85330855854468</v>
      </c>
      <c r="AF525" s="31" t="str">
        <f t="shared" si="293"/>
        <v>-0.000495863624968664</v>
      </c>
      <c r="AG525" s="31" t="str">
        <f t="shared" si="294"/>
        <v>1.62937690333954i</v>
      </c>
      <c r="AH525" s="31">
        <f t="shared" si="308"/>
        <v>1.62937690333954</v>
      </c>
      <c r="AI525" s="31">
        <f t="shared" si="309"/>
        <v>1.5707963267948966</v>
      </c>
      <c r="AJ525" s="31" t="str">
        <f t="shared" si="295"/>
        <v>1+6.35732778318889i</v>
      </c>
      <c r="AK525" s="31">
        <f t="shared" si="310"/>
        <v>6.4354966042183088</v>
      </c>
      <c r="AL525" s="31">
        <f t="shared" si="311"/>
        <v>1.4147759490490071</v>
      </c>
      <c r="AM525" s="31" t="str">
        <f t="shared" si="296"/>
        <v>1+1948.87415042424i</v>
      </c>
      <c r="AN525" s="31">
        <f t="shared" si="312"/>
        <v>1948.8744069826057</v>
      </c>
      <c r="AO525" s="31">
        <f t="shared" si="313"/>
        <v>1.5702832100746511</v>
      </c>
      <c r="AP525" s="58" t="str">
        <f t="shared" si="314"/>
        <v>-0.0142738573678366+0.091047917165183i</v>
      </c>
      <c r="AQ525" s="49">
        <f t="shared" si="315"/>
        <v>-20.709150359207946</v>
      </c>
      <c r="AR525" s="61">
        <f t="shared" si="316"/>
        <v>98.909909740408708</v>
      </c>
      <c r="AS525" s="58" t="str">
        <f t="shared" si="317"/>
        <v>-0.000018360895254956-0.0000591799519606754i</v>
      </c>
      <c r="AT525" s="64">
        <f t="shared" si="318"/>
        <v>-84.157378623790692</v>
      </c>
      <c r="AU525" s="61">
        <f t="shared" si="319"/>
        <v>-107.23678170104658</v>
      </c>
    </row>
    <row r="526" spans="14:47" x14ac:dyDescent="0.25">
      <c r="N526" s="10">
        <v>8</v>
      </c>
      <c r="O526" s="50">
        <f t="shared" si="321"/>
        <v>1202264.4346174158</v>
      </c>
      <c r="P526" s="48" t="str">
        <f t="shared" si="288"/>
        <v>304.285714285714</v>
      </c>
      <c r="Q526" s="17" t="str">
        <f t="shared" si="289"/>
        <v>1+393350.187024998i</v>
      </c>
      <c r="R526" s="17">
        <f t="shared" si="297"/>
        <v>393350.18702626915</v>
      </c>
      <c r="S526" s="17">
        <f t="shared" si="298"/>
        <v>1.5707937845309472</v>
      </c>
      <c r="T526" s="17" t="str">
        <f t="shared" si="290"/>
        <v>1+8.15837424940734i</v>
      </c>
      <c r="U526" s="17">
        <f t="shared" si="299"/>
        <v>8.2194324860900689</v>
      </c>
      <c r="V526" s="17">
        <f t="shared" si="300"/>
        <v>1.4488312693544505</v>
      </c>
      <c r="W526" s="31" t="str">
        <f t="shared" si="291"/>
        <v>1-25.494919529398i</v>
      </c>
      <c r="X526" s="17">
        <f t="shared" si="301"/>
        <v>25.514523742576099</v>
      </c>
      <c r="Y526" s="17">
        <f t="shared" si="302"/>
        <v>-1.5315929222091824</v>
      </c>
      <c r="Z526" s="31" t="str">
        <f t="shared" si="292"/>
        <v>-89.7572420921395+224.902135793428i</v>
      </c>
      <c r="AA526" s="17">
        <f t="shared" si="303"/>
        <v>242.15146745876325</v>
      </c>
      <c r="AB526" s="17">
        <f t="shared" si="304"/>
        <v>1.9505219974085761</v>
      </c>
      <c r="AC526" s="66" t="str">
        <f t="shared" si="305"/>
        <v>-0.00059957225432493+0.000298915134073319i</v>
      </c>
      <c r="AD526" s="64">
        <f t="shared" si="306"/>
        <v>-63.479112082736542</v>
      </c>
      <c r="AE526" s="61">
        <f t="shared" si="307"/>
        <v>153.50157394795298</v>
      </c>
      <c r="AF526" s="31" t="str">
        <f t="shared" si="293"/>
        <v>-0.000495863624968664</v>
      </c>
      <c r="AG526" s="31" t="str">
        <f t="shared" si="294"/>
        <v>1.66732996697147i</v>
      </c>
      <c r="AH526" s="31">
        <f t="shared" si="308"/>
        <v>1.6673299669714701</v>
      </c>
      <c r="AI526" s="31">
        <f t="shared" si="309"/>
        <v>1.5707963267948966</v>
      </c>
      <c r="AJ526" s="31" t="str">
        <f t="shared" si="295"/>
        <v>1+6.50540897016893i</v>
      </c>
      <c r="AK526" s="31">
        <f t="shared" si="310"/>
        <v>6.5818193433999976</v>
      </c>
      <c r="AL526" s="31">
        <f t="shared" si="311"/>
        <v>1.4182719597109088</v>
      </c>
      <c r="AM526" s="31" t="str">
        <f t="shared" si="296"/>
        <v>1+1994.26926096624i</v>
      </c>
      <c r="AN526" s="31">
        <f t="shared" si="312"/>
        <v>1994.2695116846248</v>
      </c>
      <c r="AO526" s="31">
        <f t="shared" si="313"/>
        <v>1.5702948900351972</v>
      </c>
      <c r="AP526" s="58" t="str">
        <f t="shared" si="314"/>
        <v>-0.0136462576988649+0.0890718870591808i</v>
      </c>
      <c r="AQ526" s="49">
        <f t="shared" si="315"/>
        <v>-20.904428254708417</v>
      </c>
      <c r="AR526" s="61">
        <f t="shared" si="316"/>
        <v>98.710272296793093</v>
      </c>
      <c r="AS526" s="58" t="str">
        <f t="shared" si="317"/>
        <v>-0.0000184430175708512-0.0000574841050707039i</v>
      </c>
      <c r="AT526" s="64">
        <f t="shared" si="318"/>
        <v>-84.383540337444956</v>
      </c>
      <c r="AU526" s="61">
        <f t="shared" si="319"/>
        <v>-107.7881537552539</v>
      </c>
    </row>
    <row r="527" spans="14:47" x14ac:dyDescent="0.25">
      <c r="N527" s="10">
        <v>9</v>
      </c>
      <c r="O527" s="50">
        <f t="shared" si="321"/>
        <v>1230268.770812382</v>
      </c>
      <c r="P527" s="48" t="str">
        <f t="shared" si="288"/>
        <v>304.285714285714</v>
      </c>
      <c r="Q527" s="17" t="str">
        <f t="shared" si="289"/>
        <v>1+402512.489895003i</v>
      </c>
      <c r="R527" s="17">
        <f t="shared" si="297"/>
        <v>402512.48989624513</v>
      </c>
      <c r="S527" s="17">
        <f t="shared" si="298"/>
        <v>1.5707938423999397</v>
      </c>
      <c r="T527" s="17" t="str">
        <f t="shared" si="290"/>
        <v>1+8.34840719782227i</v>
      </c>
      <c r="U527" s="17">
        <f t="shared" si="299"/>
        <v>8.4080855574054851</v>
      </c>
      <c r="V527" s="17">
        <f t="shared" si="300"/>
        <v>1.4515810021857616</v>
      </c>
      <c r="W527" s="31" t="str">
        <f t="shared" si="291"/>
        <v>1-26.0887724931946i</v>
      </c>
      <c r="X527" s="17">
        <f t="shared" si="301"/>
        <v>26.107930791268529</v>
      </c>
      <c r="Y527" s="17">
        <f t="shared" si="302"/>
        <v>-1.5324844175276591</v>
      </c>
      <c r="Z527" s="31" t="str">
        <f t="shared" si="292"/>
        <v>-94.0344991370456+230.140779506389i</v>
      </c>
      <c r="AA527" s="17">
        <f t="shared" si="303"/>
        <v>248.61067036586221</v>
      </c>
      <c r="AB527" s="17">
        <f t="shared" si="304"/>
        <v>1.9586906311269041</v>
      </c>
      <c r="AC527" s="66" t="str">
        <f t="shared" si="305"/>
        <v>-0.00059548662116802+0.000301584910299793i</v>
      </c>
      <c r="AD527" s="64">
        <f t="shared" si="306"/>
        <v>-63.510959743417146</v>
      </c>
      <c r="AE527" s="61">
        <f t="shared" si="307"/>
        <v>153.14001156267386</v>
      </c>
      <c r="AF527" s="31" t="str">
        <f t="shared" si="293"/>
        <v>-0.000495863624968664</v>
      </c>
      <c r="AG527" s="31" t="str">
        <f t="shared" si="294"/>
        <v>1.7061670710216i</v>
      </c>
      <c r="AH527" s="31">
        <f t="shared" si="308"/>
        <v>1.7061670710215999</v>
      </c>
      <c r="AI527" s="31">
        <f t="shared" si="309"/>
        <v>1.5707963267948966</v>
      </c>
      <c r="AJ527" s="31" t="str">
        <f t="shared" si="295"/>
        <v>1+6.65693941109421i</v>
      </c>
      <c r="AK527" s="31">
        <f t="shared" si="310"/>
        <v>6.7316299900528795</v>
      </c>
      <c r="AL527" s="31">
        <f t="shared" si="311"/>
        <v>1.4216920261222381</v>
      </c>
      <c r="AM527" s="31" t="str">
        <f t="shared" si="296"/>
        <v>1+2040.72175946766i</v>
      </c>
      <c r="AN527" s="31">
        <f t="shared" si="312"/>
        <v>2040.7220044789985</v>
      </c>
      <c r="AO527" s="31">
        <f t="shared" si="313"/>
        <v>1.5703063041275145</v>
      </c>
      <c r="AP527" s="58" t="str">
        <f t="shared" si="314"/>
        <v>-0.0130456286070901+0.0871345893864908i</v>
      </c>
      <c r="AQ527" s="49">
        <f t="shared" si="315"/>
        <v>-21.099913881815485</v>
      </c>
      <c r="AR527" s="61">
        <f t="shared" si="316"/>
        <v>98.514970905086216</v>
      </c>
      <c r="AS527" s="58" t="str">
        <f t="shared" si="317"/>
        <v>-0.0000185099800238852-0.0000558218469538979i</v>
      </c>
      <c r="AT527" s="64">
        <f t="shared" si="318"/>
        <v>-84.610873625232642</v>
      </c>
      <c r="AU527" s="61">
        <f t="shared" si="319"/>
        <v>-108.34501753223994</v>
      </c>
    </row>
    <row r="528" spans="14:47" x14ac:dyDescent="0.25">
      <c r="N528" s="10">
        <v>10</v>
      </c>
      <c r="O528" s="50">
        <f t="shared" si="321"/>
        <v>1258925.4117941677</v>
      </c>
      <c r="P528" s="48" t="str">
        <f t="shared" si="288"/>
        <v>304.285714285714</v>
      </c>
      <c r="Q528" s="17" t="str">
        <f t="shared" si="289"/>
        <v>1+411888.210215034i</v>
      </c>
      <c r="R528" s="17">
        <f t="shared" si="297"/>
        <v>411888.21021624794</v>
      </c>
      <c r="S528" s="17">
        <f t="shared" si="298"/>
        <v>1.5707938989516732</v>
      </c>
      <c r="T528" s="17" t="str">
        <f t="shared" si="290"/>
        <v>1+8.54286658223773i</v>
      </c>
      <c r="U528" s="17">
        <f t="shared" si="299"/>
        <v>8.6011958146477614</v>
      </c>
      <c r="V528" s="17">
        <f t="shared" si="300"/>
        <v>1.4542698948899688</v>
      </c>
      <c r="W528" s="31" t="str">
        <f t="shared" si="291"/>
        <v>1-26.6964580694929i</v>
      </c>
      <c r="X528" s="17">
        <f t="shared" si="301"/>
        <v>26.715180580639775</v>
      </c>
      <c r="Y528" s="17">
        <f t="shared" si="302"/>
        <v>-1.5333556788126521</v>
      </c>
      <c r="Z528" s="31" t="str">
        <f t="shared" si="292"/>
        <v>-98.5133370961189+235.501446906918i</v>
      </c>
      <c r="AA528" s="17">
        <f t="shared" si="303"/>
        <v>255.27594693011224</v>
      </c>
      <c r="AB528" s="17">
        <f t="shared" si="304"/>
        <v>1.9669894925185949</v>
      </c>
      <c r="AC528" s="66" t="str">
        <f t="shared" si="305"/>
        <v>-0.000591278670260734+0.000304284904259673i</v>
      </c>
      <c r="AD528" s="64">
        <f t="shared" si="306"/>
        <v>-63.543814887595929</v>
      </c>
      <c r="AE528" s="61">
        <f t="shared" si="307"/>
        <v>152.76866119902161</v>
      </c>
      <c r="AF528" s="31" t="str">
        <f t="shared" si="293"/>
        <v>-0.000495863624968664</v>
      </c>
      <c r="AG528" s="31" t="str">
        <f t="shared" si="294"/>
        <v>1.74590880743659i</v>
      </c>
      <c r="AH528" s="31">
        <f t="shared" si="308"/>
        <v>1.74590880743659</v>
      </c>
      <c r="AI528" s="31">
        <f t="shared" si="309"/>
        <v>1.5707963267948966</v>
      </c>
      <c r="AJ528" s="31" t="str">
        <f t="shared" si="295"/>
        <v>1+6.81199944941027i</v>
      </c>
      <c r="AK528" s="31">
        <f t="shared" si="310"/>
        <v>6.8850080972186092</v>
      </c>
      <c r="AL528" s="31">
        <f t="shared" si="311"/>
        <v>1.4250376414502035</v>
      </c>
      <c r="AM528" s="31" t="str">
        <f t="shared" si="296"/>
        <v>1+2088.25627565811i</v>
      </c>
      <c r="AN528" s="31">
        <f t="shared" si="312"/>
        <v>2088.2565150923101</v>
      </c>
      <c r="AO528" s="31">
        <f t="shared" si="313"/>
        <v>1.5703174584034936</v>
      </c>
      <c r="AP528" s="58" t="str">
        <f t="shared" si="314"/>
        <v>-0.0124708648588445+0.0852355391712419i</v>
      </c>
      <c r="AQ528" s="49">
        <f t="shared" si="315"/>
        <v>-21.295598304135048</v>
      </c>
      <c r="AR528" s="61">
        <f t="shared" si="316"/>
        <v>98.323920359856686</v>
      </c>
      <c r="AS528" s="58" t="str">
        <f t="shared" si="317"/>
        <v>-0.0000185621314855041-0.0000541926521797374i</v>
      </c>
      <c r="AT528" s="64">
        <f t="shared" si="318"/>
        <v>-84.839413191730983</v>
      </c>
      <c r="AU528" s="61">
        <f t="shared" si="319"/>
        <v>-108.90741844112173</v>
      </c>
    </row>
    <row r="529" spans="14:47" x14ac:dyDescent="0.25">
      <c r="N529" s="10">
        <v>11</v>
      </c>
      <c r="O529" s="50">
        <f t="shared" si="321"/>
        <v>1288249.5516931366</v>
      </c>
      <c r="P529" s="48" t="str">
        <f t="shared" si="288"/>
        <v>304.285714285714</v>
      </c>
      <c r="Q529" s="17" t="str">
        <f t="shared" si="289"/>
        <v>1+421482.319116107i</v>
      </c>
      <c r="R529" s="17">
        <f t="shared" si="297"/>
        <v>421482.31911729334</v>
      </c>
      <c r="S529" s="17">
        <f t="shared" si="298"/>
        <v>1.570793954216132</v>
      </c>
      <c r="T529" s="17" t="str">
        <f t="shared" si="290"/>
        <v>1+8.74185550759332i</v>
      </c>
      <c r="U529" s="17">
        <f t="shared" si="299"/>
        <v>8.7988657061941602</v>
      </c>
      <c r="V529" s="17">
        <f t="shared" si="300"/>
        <v>1.4568992175412012</v>
      </c>
      <c r="W529" s="31" t="str">
        <f t="shared" si="291"/>
        <v>1-27.3182984612292i</v>
      </c>
      <c r="X529" s="17">
        <f t="shared" si="301"/>
        <v>27.336595084552826</v>
      </c>
      <c r="Y529" s="17">
        <f t="shared" si="302"/>
        <v>-1.5342071627244391</v>
      </c>
      <c r="Z529" s="31" t="str">
        <f t="shared" si="292"/>
        <v>-103.203256185159+240.986980291828i</v>
      </c>
      <c r="AA529" s="17">
        <f t="shared" si="303"/>
        <v>262.15574904509236</v>
      </c>
      <c r="AB529" s="17">
        <f t="shared" si="304"/>
        <v>1.9754185701074825</v>
      </c>
      <c r="AC529" s="66" t="str">
        <f t="shared" si="305"/>
        <v>-0.000586946012893198+0.000307010113121274i</v>
      </c>
      <c r="AD529" s="64">
        <f t="shared" si="306"/>
        <v>-63.577721490437938</v>
      </c>
      <c r="AE529" s="61">
        <f t="shared" si="307"/>
        <v>152.38757011799484</v>
      </c>
      <c r="AF529" s="31" t="str">
        <f t="shared" si="293"/>
        <v>-0.000495863624968664</v>
      </c>
      <c r="AG529" s="31" t="str">
        <f t="shared" si="294"/>
        <v>1.78657624781111i</v>
      </c>
      <c r="AH529" s="31">
        <f t="shared" si="308"/>
        <v>1.78657624781111</v>
      </c>
      <c r="AI529" s="31">
        <f t="shared" si="309"/>
        <v>1.5707963267948966</v>
      </c>
      <c r="AJ529" s="31" t="str">
        <f t="shared" si="295"/>
        <v>1+6.9706713000019i</v>
      </c>
      <c r="AK529" s="31">
        <f t="shared" si="310"/>
        <v>7.0420351016357614</v>
      </c>
      <c r="AL529" s="31">
        <f t="shared" si="311"/>
        <v>1.428310279845429</v>
      </c>
      <c r="AM529" s="31" t="str">
        <f t="shared" si="296"/>
        <v>1+2136.89801296725i</v>
      </c>
      <c r="AN529" s="31">
        <f t="shared" si="312"/>
        <v>2136.898246951263</v>
      </c>
      <c r="AO529" s="31">
        <f t="shared" si="313"/>
        <v>1.5703283587772683</v>
      </c>
      <c r="AP529" s="58" t="str">
        <f t="shared" si="314"/>
        <v>-0.0119209018612461+0.0833742381314303i</v>
      </c>
      <c r="AQ529" s="49">
        <f t="shared" si="315"/>
        <v>-21.491472952283132</v>
      </c>
      <c r="AR529" s="61">
        <f t="shared" si="316"/>
        <v>98.137036537350212</v>
      </c>
      <c r="AS529" s="58" t="str">
        <f t="shared" si="317"/>
        <v>-0.000018599808462581-0.0000525960140781798i</v>
      </c>
      <c r="AT529" s="64">
        <f t="shared" si="318"/>
        <v>-85.06919444272107</v>
      </c>
      <c r="AU529" s="61">
        <f t="shared" si="319"/>
        <v>-109.47539334465499</v>
      </c>
    </row>
    <row r="530" spans="14:47" x14ac:dyDescent="0.25">
      <c r="N530" s="10">
        <v>12</v>
      </c>
      <c r="O530" s="50">
        <f t="shared" si="321"/>
        <v>1318256.7385564097</v>
      </c>
      <c r="P530" s="48" t="str">
        <f t="shared" si="288"/>
        <v>304.285714285714</v>
      </c>
      <c r="Q530" s="17" t="str">
        <f t="shared" si="289"/>
        <v>1+431299.903521754i</v>
      </c>
      <c r="R530" s="17">
        <f t="shared" si="297"/>
        <v>431299.90352291329</v>
      </c>
      <c r="S530" s="17">
        <f t="shared" si="298"/>
        <v>1.5707940082226182</v>
      </c>
      <c r="T530" s="17" t="str">
        <f t="shared" si="290"/>
        <v>1+8.94547948045117i</v>
      </c>
      <c r="U530" s="17">
        <f t="shared" si="299"/>
        <v>9.0012000941637176</v>
      </c>
      <c r="V530" s="17">
        <f t="shared" si="300"/>
        <v>1.4594702187434574</v>
      </c>
      <c r="W530" s="31" t="str">
        <f t="shared" si="291"/>
        <v>1-27.9546233764099i</v>
      </c>
      <c r="X530" s="17">
        <f t="shared" si="301"/>
        <v>27.972503787057082</v>
      </c>
      <c r="Y530" s="17">
        <f t="shared" si="302"/>
        <v>-1.5350393157894646</v>
      </c>
      <c r="Z530" s="31" t="str">
        <f t="shared" si="292"/>
        <v>-108.114204351342+246.600288163528i</v>
      </c>
      <c r="AA530" s="17">
        <f t="shared" si="303"/>
        <v>269.25895213503821</v>
      </c>
      <c r="AB530" s="17">
        <f t="shared" si="304"/>
        <v>1.9839777042214672</v>
      </c>
      <c r="AC530" s="66" t="str">
        <f t="shared" si="305"/>
        <v>-0.000582486428474766+0.000309755344369748i</v>
      </c>
      <c r="AD530" s="64">
        <f t="shared" si="306"/>
        <v>-63.612723830713989</v>
      </c>
      <c r="AE530" s="61">
        <f t="shared" si="307"/>
        <v>151.99679342211093</v>
      </c>
      <c r="AF530" s="31" t="str">
        <f t="shared" si="293"/>
        <v>-0.000495863624968664</v>
      </c>
      <c r="AG530" s="31" t="str">
        <f t="shared" si="294"/>
        <v>1.82819095456035i</v>
      </c>
      <c r="AH530" s="31">
        <f t="shared" si="308"/>
        <v>1.8281909545603501</v>
      </c>
      <c r="AI530" s="31">
        <f t="shared" si="309"/>
        <v>1.5707963267948966</v>
      </c>
      <c r="AJ530" s="31" t="str">
        <f t="shared" si="295"/>
        <v>1+7.13303909278453i</v>
      </c>
      <c r="AK530" s="31">
        <f t="shared" si="310"/>
        <v>7.2027943674099406</v>
      </c>
      <c r="AL530" s="31">
        <f t="shared" si="311"/>
        <v>1.4315113959541452</v>
      </c>
      <c r="AM530" s="31" t="str">
        <f t="shared" si="296"/>
        <v>1+2186.67276188806i</v>
      </c>
      <c r="AN530" s="31">
        <f t="shared" si="312"/>
        <v>2186.672990545947</v>
      </c>
      <c r="AO530" s="31">
        <f t="shared" si="313"/>
        <v>1.5703390110283508</v>
      </c>
      <c r="AP530" s="58" t="str">
        <f t="shared" si="314"/>
        <v>-0.0113947145772467+0.0815501763862072i</v>
      </c>
      <c r="AQ530" s="49">
        <f t="shared" si="315"/>
        <v>-21.687529610319608</v>
      </c>
      <c r="AR530" s="61">
        <f t="shared" si="316"/>
        <v>97.954236423618767</v>
      </c>
      <c r="AS530" s="58" t="str">
        <f t="shared" si="317"/>
        <v>-0.0000186233363723335-0.0000510314447225591i</v>
      </c>
      <c r="AT530" s="64">
        <f t="shared" si="318"/>
        <v>-85.30025344103359</v>
      </c>
      <c r="AU530" s="61">
        <f t="shared" si="319"/>
        <v>-110.04897015427028</v>
      </c>
    </row>
    <row r="531" spans="14:47" x14ac:dyDescent="0.25">
      <c r="N531" s="10">
        <v>13</v>
      </c>
      <c r="O531" s="50">
        <f t="shared" si="321"/>
        <v>1348962.8825916562</v>
      </c>
      <c r="P531" s="48" t="str">
        <f t="shared" ref="P531:P560" si="322">COMPLEX(Adc,0)</f>
        <v>304.285714285714</v>
      </c>
      <c r="Q531" s="17" t="str">
        <f t="shared" ref="Q531:Q560" si="323">IMSUM(COMPLEX(1,0),IMDIV(COMPLEX(0,2*PI()*O531),COMPLEX(wp_lf,0)))</f>
        <v>1+441346.168845175i</v>
      </c>
      <c r="R531" s="17">
        <f t="shared" si="297"/>
        <v>441346.16884630785</v>
      </c>
      <c r="S531" s="17">
        <f t="shared" si="298"/>
        <v>1.5707940609997666</v>
      </c>
      <c r="T531" s="17" t="str">
        <f t="shared" ref="T531:T560" si="324">IMSUM(COMPLEX(1,0),IMDIV(COMPLEX(0,2*PI()*O531),COMPLEX(wz_esr,0)))</f>
        <v>1+9.15384646493695i</v>
      </c>
      <c r="U531" s="17">
        <f t="shared" si="299"/>
        <v>9.2083063102635077</v>
      </c>
      <c r="V531" s="17">
        <f t="shared" si="300"/>
        <v>1.4619841256464823</v>
      </c>
      <c r="W531" s="31" t="str">
        <f t="shared" ref="W531:W560" si="325">IMSUB(COMPLEX(1,0),IMDIV(COMPLEX(0,2*PI()*O531),COMPLEX(wz_rhp,0)))</f>
        <v>1-28.605770202928i</v>
      </c>
      <c r="X531" s="17">
        <f t="shared" si="301"/>
        <v>28.623243857094948</v>
      </c>
      <c r="Y531" s="17">
        <f t="shared" si="302"/>
        <v>-1.5358525746136802</v>
      </c>
      <c r="Z531" s="31" t="str">
        <f t="shared" ref="Z531:Z560" si="326">IMSUM(COMPLEX(1,0),IMDIV(COMPLEX(0,2*PI()*O531),COMPLEX(Q*(wsl/2),0)),IMDIV(IMPOWER(COMPLEX(0,2*PI()*O531),2),IMPOWER(COMPLEX(wsl/2,0),2)))</f>
        <v>-113.256598374149+252.344346772152i</v>
      </c>
      <c r="AA531" s="17">
        <f t="shared" si="303"/>
        <v>276.59487779629507</v>
      </c>
      <c r="AB531" s="17">
        <f t="shared" si="304"/>
        <v>1.9926665802561685</v>
      </c>
      <c r="AC531" s="66" t="str">
        <f t="shared" si="305"/>
        <v>-0.00057789788020609+0.000312515218287704i</v>
      </c>
      <c r="AD531" s="64">
        <f t="shared" si="306"/>
        <v>-63.648866455157489</v>
      </c>
      <c r="AE531" s="61">
        <f t="shared" si="307"/>
        <v>151.59639443005503</v>
      </c>
      <c r="AF531" s="31" t="str">
        <f t="shared" ref="AF531:AF560" si="327">COMPLEX(Adc_ea,0)</f>
        <v>-0.000495863624968664</v>
      </c>
      <c r="AG531" s="31" t="str">
        <f t="shared" ref="AG531:AG560" si="328">COMPLEX(0,2*PI()*O531*wp0_ea)</f>
        <v>1.87077499235267i</v>
      </c>
      <c r="AH531" s="31">
        <f t="shared" si="308"/>
        <v>1.87077499235267</v>
      </c>
      <c r="AI531" s="31">
        <f t="shared" si="309"/>
        <v>1.5707963267948966</v>
      </c>
      <c r="AJ531" s="31" t="str">
        <f t="shared" ref="AJ531:AJ560" si="329">IMSUM(COMPLEX(1,0),IMDIV(COMPLEX(0,2*PI()*O531),COMPLEX(wp1_ea,0)))</f>
        <v>1+7.29918891731106i</v>
      </c>
      <c r="AK531" s="31">
        <f t="shared" si="310"/>
        <v>7.3673712306762864</v>
      </c>
      <c r="AL531" s="31">
        <f t="shared" si="311"/>
        <v>1.4346424244947906</v>
      </c>
      <c r="AM531" s="31" t="str">
        <f t="shared" ref="AM531:AM560" si="330">IMSUM(COMPLEX(1,0),IMDIV(COMPLEX(0,2*PI()*O531),COMPLEX(wz_ea,0)))</f>
        <v>1+2237.60691365125i</v>
      </c>
      <c r="AN531" s="31">
        <f t="shared" si="312"/>
        <v>2237.6071371042494</v>
      </c>
      <c r="AO531" s="31">
        <f t="shared" si="313"/>
        <v>1.570349420804696</v>
      </c>
      <c r="AP531" s="58" t="str">
        <f t="shared" si="314"/>
        <v>-0.0108913164310093+0.0797628340529376i</v>
      </c>
      <c r="AQ531" s="49">
        <f t="shared" si="315"/>
        <v>-21.883760402551374</v>
      </c>
      <c r="AR531" s="61">
        <f t="shared" si="316"/>
        <v>97.775438138954982</v>
      </c>
      <c r="AS531" s="58" t="str">
        <f t="shared" si="317"/>
        <v>-0.0000186330308171657-0.0000494984748503001i</v>
      </c>
      <c r="AT531" s="64">
        <f t="shared" si="318"/>
        <v>-85.532626857708863</v>
      </c>
      <c r="AU531" s="61">
        <f t="shared" si="319"/>
        <v>-110.62816743099</v>
      </c>
    </row>
    <row r="532" spans="14:47" x14ac:dyDescent="0.25">
      <c r="N532" s="10">
        <v>14</v>
      </c>
      <c r="O532" s="50">
        <f t="shared" si="321"/>
        <v>1380384.2646028849</v>
      </c>
      <c r="P532" s="48" t="str">
        <f t="shared" si="322"/>
        <v>304.285714285714</v>
      </c>
      <c r="Q532" s="17" t="str">
        <f t="shared" si="323"/>
        <v>1+451626.441749226i</v>
      </c>
      <c r="R532" s="17">
        <f t="shared" ref="R532:R560" si="331">IMABS(Q532)</f>
        <v>451626.44175033312</v>
      </c>
      <c r="S532" s="17">
        <f t="shared" ref="S532:S560" si="332">IMARGUMENT(Q532)</f>
        <v>1.5707941125755605</v>
      </c>
      <c r="T532" s="17" t="str">
        <f t="shared" si="324"/>
        <v>1+9.36706693998392i</v>
      </c>
      <c r="U532" s="17">
        <f t="shared" ref="U532:U560" si="333">IMABS(T532)</f>
        <v>9.420294212928793</v>
      </c>
      <c r="V532" s="17">
        <f t="shared" ref="V532:V560" si="334">IMARGUMENT(T532)</f>
        <v>1.4644421439903321</v>
      </c>
      <c r="W532" s="31" t="str">
        <f t="shared" si="325"/>
        <v>1-29.2720841874498i</v>
      </c>
      <c r="X532" s="17">
        <f t="shared" ref="X532:X560" si="335">IMABS(W532)</f>
        <v>29.289160327280616</v>
      </c>
      <c r="Y532" s="17">
        <f t="shared" ref="Y532:Y560" si="336">IMARGUMENT(W532)</f>
        <v>-1.5366473660921718</v>
      </c>
      <c r="Z532" s="31" t="str">
        <f t="shared" si="326"/>
        <v>-118.641345960757+258.222201693608i</v>
      </c>
      <c r="AA532" s="17">
        <f t="shared" ref="AA532:AA560" si="337">IMABS(Z532)</f>
        <v>284.17331757023635</v>
      </c>
      <c r="AB532" s="17">
        <f t="shared" ref="AB532:AB560" si="338">IMARGUMENT(Z532)</f>
        <v>2.0014847220521581</v>
      </c>
      <c r="AC532" s="66" t="str">
        <f t="shared" ref="AC532:AC560" si="339">(IMDIV(IMPRODUCT(P532,T532,W532),IMPRODUCT(Q532,Z532)))</f>
        <v>-0.000573178531146371+0.000315284171704651i</v>
      </c>
      <c r="AD532" s="64">
        <f t="shared" ref="AD532:AD560" si="340">20*LOG(IMABS(AC532))</f>
        <v>-63.686194137661083</v>
      </c>
      <c r="AE532" s="61">
        <f t="shared" ref="AE532:AE560" si="341">(180/PI())*IMARGUMENT(AC532)</f>
        <v>151.18644504667941</v>
      </c>
      <c r="AF532" s="31" t="str">
        <f t="shared" si="327"/>
        <v>-0.000495863624968664</v>
      </c>
      <c r="AG532" s="31" t="str">
        <f t="shared" si="328"/>
        <v>1.91435093980857i</v>
      </c>
      <c r="AH532" s="31">
        <f t="shared" ref="AH532:AH560" si="342">IMABS(AG532)</f>
        <v>1.9143509398085701</v>
      </c>
      <c r="AI532" s="31">
        <f t="shared" ref="AI532:AI560" si="343">IMARGUMENT(AG532)</f>
        <v>1.5707963267948966</v>
      </c>
      <c r="AJ532" s="31" t="str">
        <f t="shared" si="329"/>
        <v>1+7.46920886841774i</v>
      </c>
      <c r="AK532" s="31">
        <f t="shared" ref="AK532:AK560" si="344">IMABS(AJ532)</f>
        <v>7.5358530452796257</v>
      </c>
      <c r="AL532" s="31">
        <f t="shared" ref="AL532:AL560" si="345">IMARGUMENT(AJ532)</f>
        <v>1.4377047798948248</v>
      </c>
      <c r="AM532" s="31" t="str">
        <f t="shared" si="330"/>
        <v>1+2289.72747421829i</v>
      </c>
      <c r="AN532" s="31">
        <f t="shared" ref="AN532:AN560" si="346">IMABS(AM532)</f>
        <v>2289.7276925848782</v>
      </c>
      <c r="AO532" s="31">
        <f t="shared" ref="AO532:AO560" si="347">IMARGUMENT(AM532)</f>
        <v>1.5703595936256958</v>
      </c>
      <c r="AP532" s="58" t="str">
        <f t="shared" ref="AP532:AP560" si="348">IMPRODUCT(AF532,IMDIV(AM532,IMPRODUCT(AG532,AJ532)))</f>
        <v>-0.010409758208356+0.0780116827391135i</v>
      </c>
      <c r="AQ532" s="49">
        <f t="shared" ref="AQ532:AQ560" si="349">20*LOG(IMABS(AP532))</f>
        <v>-22.080157780705719</v>
      </c>
      <c r="AR532" s="61">
        <f t="shared" ref="AR532:AR560" si="350">(180/PI())*IMARGUMENT(AP532)</f>
        <v>97.600560958872961</v>
      </c>
      <c r="AS532" s="58" t="str">
        <f t="shared" ref="AS532:AS560" si="351">IMPRODUCT(AC532,AP532)</f>
        <v>-0.0000186291988562331-0.000047996653719029i</v>
      </c>
      <c r="AT532" s="64">
        <f t="shared" ref="AT532:AT560" si="352">20*LOG(IMABS(AS532))</f>
        <v>-85.766351918366794</v>
      </c>
      <c r="AU532" s="61">
        <f t="shared" ref="AU532:AU560" si="353">(180/PI())*IMARGUMENT(AS532)</f>
        <v>-111.21299399444766</v>
      </c>
    </row>
    <row r="533" spans="14:47" x14ac:dyDescent="0.25">
      <c r="N533" s="10">
        <v>15</v>
      </c>
      <c r="O533" s="50">
        <f t="shared" si="321"/>
        <v>1412537.5446227565</v>
      </c>
      <c r="P533" s="48" t="str">
        <f t="shared" si="322"/>
        <v>304.285714285714</v>
      </c>
      <c r="Q533" s="17" t="str">
        <f t="shared" si="323"/>
        <v>1+462146.172970676i</v>
      </c>
      <c r="R533" s="17">
        <f t="shared" si="331"/>
        <v>462146.17297175789</v>
      </c>
      <c r="S533" s="17">
        <f t="shared" si="332"/>
        <v>1.5707941629773461</v>
      </c>
      <c r="T533" s="17" t="str">
        <f t="shared" si="324"/>
        <v>1+9.58525395791029i</v>
      </c>
      <c r="U533" s="17">
        <f t="shared" si="333"/>
        <v>9.6372762457882697</v>
      </c>
      <c r="V533" s="17">
        <f t="shared" si="334"/>
        <v>1.4668454581762991</v>
      </c>
      <c r="W533" s="31" t="str">
        <f t="shared" si="325"/>
        <v>1-29.9539186184697i</v>
      </c>
      <c r="X533" s="17">
        <f t="shared" si="335"/>
        <v>29.970606276849086</v>
      </c>
      <c r="Y533" s="17">
        <f t="shared" si="336"/>
        <v>-1.5374241076150901</v>
      </c>
      <c r="Z533" s="31" t="str">
        <f t="shared" si="326"/>
        <v>-124.279868882744+264.236969444377i</v>
      </c>
      <c r="AA533" s="17">
        <f t="shared" si="337"/>
        <v>292.00455789364088</v>
      </c>
      <c r="AB533" s="17">
        <f t="shared" si="338"/>
        <v>2.0104314854290317</v>
      </c>
      <c r="AC533" s="66" t="str">
        <f t="shared" si="339"/>
        <v>-0.000568326760583454+0.00031805646309613i</v>
      </c>
      <c r="AD533" s="64">
        <f t="shared" si="340"/>
        <v>-63.724751833226499</v>
      </c>
      <c r="AE533" s="61">
        <f t="shared" si="341"/>
        <v>150.76702612573678</v>
      </c>
      <c r="AF533" s="31" t="str">
        <f t="shared" si="327"/>
        <v>-0.000495863624968664</v>
      </c>
      <c r="AG533" s="31" t="str">
        <f t="shared" si="328"/>
        <v>1.95894190147218i</v>
      </c>
      <c r="AH533" s="31">
        <f t="shared" si="342"/>
        <v>1.9589419014721801</v>
      </c>
      <c r="AI533" s="31">
        <f t="shared" si="343"/>
        <v>1.5707963267948966</v>
      </c>
      <c r="AJ533" s="31" t="str">
        <f t="shared" si="329"/>
        <v>1+7.64318909293315i</v>
      </c>
      <c r="AK533" s="31">
        <f t="shared" si="344"/>
        <v>7.708329229497938</v>
      </c>
      <c r="AL533" s="31">
        <f t="shared" si="345"/>
        <v>1.4406998559837507</v>
      </c>
      <c r="AM533" s="31" t="str">
        <f t="shared" si="330"/>
        <v>1+2343.06207860029i</v>
      </c>
      <c r="AN533" s="31">
        <f t="shared" si="346"/>
        <v>2343.0622919962484</v>
      </c>
      <c r="AO533" s="31">
        <f t="shared" si="347"/>
        <v>1.5703695348851063</v>
      </c>
      <c r="AP533" s="58" t="str">
        <f t="shared" si="348"/>
        <v>-0.00994912695652902+0.0762961869340874i</v>
      </c>
      <c r="AQ533" s="49">
        <f t="shared" si="349"/>
        <v>-22.276714511477174</v>
      </c>
      <c r="AR533" s="61">
        <f t="shared" si="350"/>
        <v>97.429525331864255</v>
      </c>
      <c r="AS533" s="58" t="str">
        <f t="shared" si="351"/>
        <v>-0.0000186121402701394-0.0000465255488958075i</v>
      </c>
      <c r="AT533" s="64">
        <f t="shared" si="352"/>
        <v>-86.001466344703687</v>
      </c>
      <c r="AU533" s="61">
        <f t="shared" si="353"/>
        <v>-111.80344854239904</v>
      </c>
    </row>
    <row r="534" spans="14:47" x14ac:dyDescent="0.25">
      <c r="N534" s="10">
        <v>16</v>
      </c>
      <c r="O534" s="50">
        <f t="shared" si="321"/>
        <v>1445439.7707459298</v>
      </c>
      <c r="P534" s="48" t="str">
        <f t="shared" si="322"/>
        <v>304.285714285714</v>
      </c>
      <c r="Q534" s="17" t="str">
        <f t="shared" si="323"/>
        <v>1+472910.940210262i</v>
      </c>
      <c r="R534" s="17">
        <f t="shared" si="331"/>
        <v>472910.94021131925</v>
      </c>
      <c r="S534" s="17">
        <f t="shared" si="332"/>
        <v>1.5707942122318468</v>
      </c>
      <c r="T534" s="17" t="str">
        <f t="shared" si="324"/>
        <v>1+9.80852320436097i</v>
      </c>
      <c r="U534" s="17">
        <f t="shared" si="333"/>
        <v>9.8593674974862164</v>
      </c>
      <c r="V534" s="17">
        <f t="shared" si="334"/>
        <v>1.4691952313620005</v>
      </c>
      <c r="W534" s="31" t="str">
        <f t="shared" si="325"/>
        <v>1-30.6516350136281i</v>
      </c>
      <c r="X534" s="17">
        <f t="shared" si="335"/>
        <v>30.66794301887024</v>
      </c>
      <c r="Y534" s="17">
        <f t="shared" si="336"/>
        <v>-1.5381832072698935</v>
      </c>
      <c r="Z534" s="31" t="str">
        <f t="shared" si="326"/>
        <v>-130.184127203195+270.391839133935i</v>
      </c>
      <c r="AA534" s="17">
        <f t="shared" si="337"/>
        <v>300.09940627380354</v>
      </c>
      <c r="AB534" s="17">
        <f t="shared" si="338"/>
        <v>2.0195060519222232</v>
      </c>
      <c r="AC534" s="66" t="str">
        <f t="shared" si="339"/>
        <v>-0.000563341180602193+0.000320826179107874i</v>
      </c>
      <c r="AD534" s="64">
        <f t="shared" si="340"/>
        <v>-63.764584626615964</v>
      </c>
      <c r="AE534" s="61">
        <f t="shared" si="341"/>
        <v>150.33822782259463</v>
      </c>
      <c r="AF534" s="31" t="str">
        <f t="shared" si="327"/>
        <v>-0.000495863624968664</v>
      </c>
      <c r="AG534" s="31" t="str">
        <f t="shared" si="328"/>
        <v>2.00457152006162i</v>
      </c>
      <c r="AH534" s="31">
        <f t="shared" si="342"/>
        <v>2.0045715200616199</v>
      </c>
      <c r="AI534" s="31">
        <f t="shared" si="343"/>
        <v>1.5707963267948966</v>
      </c>
      <c r="AJ534" s="31" t="str">
        <f t="shared" si="329"/>
        <v>1+7.82122183747519i</v>
      </c>
      <c r="AK534" s="31">
        <f t="shared" si="344"/>
        <v>7.8848913138355163</v>
      </c>
      <c r="AL534" s="31">
        <f t="shared" si="345"/>
        <v>1.4436290257385411</v>
      </c>
      <c r="AM534" s="31" t="str">
        <f t="shared" si="330"/>
        <v>1+2397.63900551046i</v>
      </c>
      <c r="AN534" s="31">
        <f t="shared" si="346"/>
        <v>2397.6392140489334</v>
      </c>
      <c r="AO534" s="31">
        <f t="shared" si="347"/>
        <v>1.5703792498539071</v>
      </c>
      <c r="AP534" s="58" t="str">
        <f t="shared" si="348"/>
        <v>-0.00950854488705745+0.0746158053055387i</v>
      </c>
      <c r="AQ534" s="49">
        <f t="shared" si="349"/>
        <v>-22.473423664445122</v>
      </c>
      <c r="AR534" s="61">
        <f t="shared" si="350"/>
        <v>97.262252894147778</v>
      </c>
      <c r="AS534" s="58" t="str">
        <f t="shared" si="351"/>
        <v>-0.0000185821488147491-0.0000450847459773959i</v>
      </c>
      <c r="AT534" s="64">
        <f t="shared" si="352"/>
        <v>-86.238008291061092</v>
      </c>
      <c r="AU534" s="61">
        <f t="shared" si="353"/>
        <v>-112.39951928325755</v>
      </c>
    </row>
    <row r="535" spans="14:47" x14ac:dyDescent="0.25">
      <c r="N535" s="10">
        <v>17</v>
      </c>
      <c r="O535" s="50">
        <f t="shared" si="321"/>
        <v>1479108.3881682095</v>
      </c>
      <c r="P535" s="48" t="str">
        <f t="shared" si="322"/>
        <v>304.285714285714</v>
      </c>
      <c r="Q535" s="17" t="str">
        <f t="shared" si="323"/>
        <v>1+483926.451090063i</v>
      </c>
      <c r="R535" s="17">
        <f t="shared" si="331"/>
        <v>483926.45109109627</v>
      </c>
      <c r="S535" s="17">
        <f t="shared" si="332"/>
        <v>1.5707942603651783</v>
      </c>
      <c r="T535" s="17" t="str">
        <f t="shared" si="324"/>
        <v>1+10.0369930596457i</v>
      </c>
      <c r="U535" s="17">
        <f t="shared" si="333"/>
        <v>10.086685762894371</v>
      </c>
      <c r="V535" s="17">
        <f t="shared" si="334"/>
        <v>1.4714926055785797</v>
      </c>
      <c r="W535" s="31" t="str">
        <f t="shared" si="325"/>
        <v>1-31.365603311393i</v>
      </c>
      <c r="X535" s="17">
        <f t="shared" si="335"/>
        <v>31.381540291828689</v>
      </c>
      <c r="Y535" s="17">
        <f t="shared" si="336"/>
        <v>-1.538925064039925</v>
      </c>
      <c r="Z535" s="31" t="str">
        <f t="shared" si="326"/>
        <v>-136.366644645605+276.69007415566i</v>
      </c>
      <c r="AA535" s="17">
        <f t="shared" si="337"/>
        <v>308.46921873691929</v>
      </c>
      <c r="AB535" s="17">
        <f t="shared" si="338"/>
        <v>2.0287074227708981</v>
      </c>
      <c r="AC535" s="66" t="str">
        <f t="shared" si="339"/>
        <v>-0.000558220652734934+0.000323587242573756i</v>
      </c>
      <c r="AD535" s="64">
        <f t="shared" si="340"/>
        <v>-63.805737675680717</v>
      </c>
      <c r="AE535" s="61">
        <f t="shared" si="341"/>
        <v>149.90014993404034</v>
      </c>
      <c r="AF535" s="31" t="str">
        <f t="shared" si="327"/>
        <v>-0.000495863624968664</v>
      </c>
      <c r="AG535" s="31" t="str">
        <f t="shared" si="328"/>
        <v>2.05126398900464i</v>
      </c>
      <c r="AH535" s="31">
        <f t="shared" si="342"/>
        <v>2.05126398900464</v>
      </c>
      <c r="AI535" s="31">
        <f t="shared" si="343"/>
        <v>1.5707963267948966</v>
      </c>
      <c r="AJ535" s="31" t="str">
        <f t="shared" si="329"/>
        <v>1+8.00340149736156i</v>
      </c>
      <c r="AK535" s="31">
        <f t="shared" si="344"/>
        <v>8.065632989912773</v>
      </c>
      <c r="AL535" s="31">
        <f t="shared" si="345"/>
        <v>1.4464936410778535</v>
      </c>
      <c r="AM535" s="31" t="str">
        <f t="shared" si="330"/>
        <v>1+2453.48719235785i</v>
      </c>
      <c r="AN535" s="31">
        <f t="shared" si="346"/>
        <v>2453.4873961494081</v>
      </c>
      <c r="AO535" s="31">
        <f t="shared" si="347"/>
        <v>1.5703887436830954</v>
      </c>
      <c r="AP535" s="58" t="str">
        <f t="shared" si="348"/>
        <v>-0.00908716828509376+0.0729699919054376i</v>
      </c>
      <c r="AQ535" s="49">
        <f t="shared" si="349"/>
        <v>-22.670278600362153</v>
      </c>
      <c r="AR535" s="61">
        <f t="shared" si="350"/>
        <v>97.098666481620654</v>
      </c>
      <c r="AS535" s="58" t="str">
        <f t="shared" si="351"/>
        <v>-0.0000185395134596926-0.0000436738482396934i</v>
      </c>
      <c r="AT535" s="64">
        <f t="shared" si="352"/>
        <v>-86.47601627604287</v>
      </c>
      <c r="AU535" s="61">
        <f t="shared" si="353"/>
        <v>-113.00118358433897</v>
      </c>
    </row>
    <row r="536" spans="14:47" x14ac:dyDescent="0.25">
      <c r="N536" s="10">
        <v>18</v>
      </c>
      <c r="O536" s="50">
        <f t="shared" si="321"/>
        <v>1513561.2484362102</v>
      </c>
      <c r="P536" s="48" t="str">
        <f t="shared" si="322"/>
        <v>304.285714285714</v>
      </c>
      <c r="Q536" s="17" t="str">
        <f t="shared" si="323"/>
        <v>1+495198.546179757i</v>
      </c>
      <c r="R536" s="17">
        <f t="shared" si="331"/>
        <v>495198.5461807666</v>
      </c>
      <c r="S536" s="17">
        <f t="shared" si="332"/>
        <v>1.5707943074028614</v>
      </c>
      <c r="T536" s="17" t="str">
        <f t="shared" si="324"/>
        <v>1+10.2707846615061i</v>
      </c>
      <c r="U536" s="17">
        <f t="shared" si="333"/>
        <v>10.319351605746796</v>
      </c>
      <c r="V536" s="17">
        <f t="shared" si="334"/>
        <v>1.4737387018680801</v>
      </c>
      <c r="W536" s="31" t="str">
        <f t="shared" si="325"/>
        <v>1-32.0962020672064i</v>
      </c>
      <c r="X536" s="17">
        <f t="shared" si="335"/>
        <v>32.111776455670345</v>
      </c>
      <c r="Y536" s="17">
        <f t="shared" si="336"/>
        <v>-1.5396500679993406</v>
      </c>
      <c r="Z536" s="31" t="str">
        <f t="shared" si="326"/>
        <v>-142.840535158377+283.135013917129i</v>
      </c>
      <c r="AA536" s="17">
        <f t="shared" si="337"/>
        <v>317.12592859964064</v>
      </c>
      <c r="AB536" s="17">
        <f t="shared" si="338"/>
        <v>2.0380344132073183</v>
      </c>
      <c r="AC536" s="66" t="str">
        <f t="shared" si="339"/>
        <v>-0.00055296430456631+0.000326333422087715i</v>
      </c>
      <c r="AD536" s="64">
        <f t="shared" si="340"/>
        <v>-63.848256149378237</v>
      </c>
      <c r="AE536" s="61">
        <f t="shared" si="341"/>
        <v>149.45290222217747</v>
      </c>
      <c r="AF536" s="31" t="str">
        <f t="shared" si="327"/>
        <v>-0.000495863624968664</v>
      </c>
      <c r="AG536" s="31" t="str">
        <f t="shared" si="328"/>
        <v>2.09904406526631i</v>
      </c>
      <c r="AH536" s="31">
        <f t="shared" si="342"/>
        <v>2.0990440652663098</v>
      </c>
      <c r="AI536" s="31">
        <f t="shared" si="343"/>
        <v>1.5707963267948966</v>
      </c>
      <c r="AJ536" s="31" t="str">
        <f t="shared" si="329"/>
        <v>1+8.18982466665939i</v>
      </c>
      <c r="AK536" s="31">
        <f t="shared" si="344"/>
        <v>8.2506501604796334</v>
      </c>
      <c r="AL536" s="31">
        <f t="shared" si="345"/>
        <v>1.4492950327015928</v>
      </c>
      <c r="AM536" s="31" t="str">
        <f t="shared" si="330"/>
        <v>1+2510.63625059037i</v>
      </c>
      <c r="AN536" s="31">
        <f t="shared" si="346"/>
        <v>2510.6364497430668</v>
      </c>
      <c r="AO536" s="31">
        <f t="shared" si="347"/>
        <v>1.5703980214064188</v>
      </c>
      <c r="AP536" s="58" t="str">
        <f t="shared" si="348"/>
        <v>-0.00868418642819672+0.071358197290165i</v>
      </c>
      <c r="AQ536" s="49">
        <f t="shared" si="349"/>
        <v>-22.867272959809721</v>
      </c>
      <c r="AR536" s="61">
        <f t="shared" si="350"/>
        <v>96.938690139206983</v>
      </c>
      <c r="AS536" s="58" t="str">
        <f t="shared" si="351"/>
        <v>-0.0000184845196067179-0.0000422924762148228i</v>
      </c>
      <c r="AT536" s="64">
        <f t="shared" si="352"/>
        <v>-86.715529109187941</v>
      </c>
      <c r="AU536" s="61">
        <f t="shared" si="353"/>
        <v>-113.60840763861553</v>
      </c>
    </row>
    <row r="537" spans="14:47" x14ac:dyDescent="0.25">
      <c r="N537" s="10">
        <v>19</v>
      </c>
      <c r="O537" s="50">
        <f t="shared" si="321"/>
        <v>1548816.6189124861</v>
      </c>
      <c r="P537" s="48" t="str">
        <f t="shared" si="322"/>
        <v>304.285714285714</v>
      </c>
      <c r="Q537" s="17" t="str">
        <f t="shared" si="323"/>
        <v>1+506733.202093364i</v>
      </c>
      <c r="R537" s="17">
        <f t="shared" si="331"/>
        <v>506733.20209435077</v>
      </c>
      <c r="S537" s="17">
        <f t="shared" si="332"/>
        <v>1.5707943533698361</v>
      </c>
      <c r="T537" s="17" t="str">
        <f t="shared" si="324"/>
        <v>1+10.5100219693438i</v>
      </c>
      <c r="U537" s="17">
        <f t="shared" si="333"/>
        <v>10.557488422730536</v>
      </c>
      <c r="V537" s="17">
        <f t="shared" si="334"/>
        <v>1.4759346204391701</v>
      </c>
      <c r="W537" s="31" t="str">
        <f t="shared" si="325"/>
        <v>1-32.8438186541995i</v>
      </c>
      <c r="X537" s="17">
        <f t="shared" si="335"/>
        <v>32.859038692419823</v>
      </c>
      <c r="Y537" s="17">
        <f t="shared" si="336"/>
        <v>-1.5403586005044179</v>
      </c>
      <c r="Z537" s="31" t="str">
        <f t="shared" si="326"/>
        <v>-149.619530731256+289.730075610713i</v>
      </c>
      <c r="AA537" s="17">
        <f t="shared" si="337"/>
        <v>326.08207661512267</v>
      </c>
      <c r="AB537" s="17">
        <f t="shared" si="338"/>
        <v>2.0474856470999541</v>
      </c>
      <c r="AC537" s="66" t="str">
        <f t="shared" si="339"/>
        <v>-0.000547571546153165+0.000329058343179641i</v>
      </c>
      <c r="AD537" s="64">
        <f t="shared" si="340"/>
        <v>-63.892185160530026</v>
      </c>
      <c r="AE537" s="61">
        <f t="shared" si="341"/>
        <v>148.99660471931392</v>
      </c>
      <c r="AF537" s="31" t="str">
        <f t="shared" si="327"/>
        <v>-0.000495863624968664</v>
      </c>
      <c r="AG537" s="31" t="str">
        <f t="shared" si="328"/>
        <v>2.14793708247553i</v>
      </c>
      <c r="AH537" s="31">
        <f t="shared" si="342"/>
        <v>2.1479370824755302</v>
      </c>
      <c r="AI537" s="31">
        <f t="shared" si="343"/>
        <v>1.5707963267948966</v>
      </c>
      <c r="AJ537" s="31" t="str">
        <f t="shared" si="329"/>
        <v>1+8.38059018940063i</v>
      </c>
      <c r="AK537" s="31">
        <f t="shared" si="344"/>
        <v>8.4400409905804423</v>
      </c>
      <c r="AL537" s="31">
        <f t="shared" si="345"/>
        <v>1.4520345099725653</v>
      </c>
      <c r="AM537" s="31" t="str">
        <f t="shared" si="330"/>
        <v>1+2569.11648139515i</v>
      </c>
      <c r="AN537" s="31">
        <f t="shared" si="346"/>
        <v>2569.1166760145784</v>
      </c>
      <c r="AO537" s="31">
        <f t="shared" si="347"/>
        <v>1.5704070879430425</v>
      </c>
      <c r="AP537" s="58" t="str">
        <f t="shared" si="348"/>
        <v>-0.00829882051717621+0.0697798695593038i</v>
      </c>
      <c r="AQ537" s="49">
        <f t="shared" si="349"/>
        <v>-23.064400652217753</v>
      </c>
      <c r="AR537" s="61">
        <f t="shared" si="350"/>
        <v>96.782249127791616</v>
      </c>
      <c r="AS537" s="58" t="str">
        <f t="shared" si="351"/>
        <v>-0.0000184174502826382-0.0000409402671946814i</v>
      </c>
      <c r="AT537" s="64">
        <f t="shared" si="352"/>
        <v>-86.956585812747775</v>
      </c>
      <c r="AU537" s="61">
        <f t="shared" si="353"/>
        <v>-114.22114615289445</v>
      </c>
    </row>
    <row r="538" spans="14:47" x14ac:dyDescent="0.25">
      <c r="N538" s="10">
        <v>20</v>
      </c>
      <c r="O538" s="50">
        <f t="shared" si="321"/>
        <v>1584893.1924611153</v>
      </c>
      <c r="P538" s="48" t="str">
        <f t="shared" si="322"/>
        <v>304.285714285714</v>
      </c>
      <c r="Q538" s="17" t="str">
        <f t="shared" si="323"/>
        <v>1+518536.534658125i</v>
      </c>
      <c r="R538" s="17">
        <f t="shared" si="331"/>
        <v>518536.53465908917</v>
      </c>
      <c r="S538" s="17">
        <f t="shared" si="332"/>
        <v>1.5707943982904746</v>
      </c>
      <c r="T538" s="17" t="str">
        <f t="shared" si="324"/>
        <v>1+10.7548318299463i</v>
      </c>
      <c r="U538" s="17">
        <f t="shared" si="333"/>
        <v>10.801222509069335</v>
      </c>
      <c r="V538" s="17">
        <f t="shared" si="334"/>
        <v>1.4780814408395422</v>
      </c>
      <c r="W538" s="31" t="str">
        <f t="shared" si="325"/>
        <v>1-33.6088494685822i</v>
      </c>
      <c r="X538" s="17">
        <f t="shared" si="335"/>
        <v>33.623723211474037</v>
      </c>
      <c r="Y538" s="17">
        <f t="shared" si="336"/>
        <v>-1.5410510343812711</v>
      </c>
      <c r="Z538" s="31" t="str">
        <f t="shared" si="326"/>
        <v>-156.718010522727+296.478756025415i</v>
      </c>
      <c r="AA538" s="17">
        <f t="shared" si="337"/>
        <v>335.35084254639816</v>
      </c>
      <c r="AB538" s="17">
        <f t="shared" si="338"/>
        <v>2.0570595520041728</v>
      </c>
      <c r="AC538" s="66" t="str">
        <f t="shared" si="339"/>
        <v>-0.000542042086110065+0.000331755501133484i</v>
      </c>
      <c r="AD538" s="64">
        <f t="shared" si="340"/>
        <v>-63.93756969340896</v>
      </c>
      <c r="AE538" s="61">
        <f t="shared" si="341"/>
        <v>148.53138801065779</v>
      </c>
      <c r="AF538" s="31" t="str">
        <f t="shared" si="327"/>
        <v>-0.000495863624968664</v>
      </c>
      <c r="AG538" s="31" t="str">
        <f t="shared" si="328"/>
        <v>2.19796896435717i</v>
      </c>
      <c r="AH538" s="31">
        <f t="shared" si="342"/>
        <v>2.19796896435717</v>
      </c>
      <c r="AI538" s="31">
        <f t="shared" si="343"/>
        <v>1.5707963267948966</v>
      </c>
      <c r="AJ538" s="31" t="str">
        <f t="shared" si="329"/>
        <v>1+8.57579921199048i</v>
      </c>
      <c r="AK538" s="31">
        <f t="shared" si="344"/>
        <v>8.6339059598988293</v>
      </c>
      <c r="AL538" s="31">
        <f t="shared" si="345"/>
        <v>1.4547133608371452</v>
      </c>
      <c r="AM538" s="31" t="str">
        <f t="shared" si="330"/>
        <v>1+2628.95889176464i</v>
      </c>
      <c r="AN538" s="31">
        <f t="shared" si="346"/>
        <v>2628.9590819539899</v>
      </c>
      <c r="AO538" s="31">
        <f t="shared" si="347"/>
        <v>1.5704159481001581</v>
      </c>
      <c r="AP538" s="58" t="str">
        <f t="shared" si="348"/>
        <v>-0.00793032262128379+0.0682344553174801i</v>
      </c>
      <c r="AQ538" s="49">
        <f t="shared" si="349"/>
        <v>-23.261655845243038</v>
      </c>
      <c r="AR538" s="61">
        <f t="shared" si="350"/>
        <v>96.629269928914752</v>
      </c>
      <c r="AS538" s="58" t="str">
        <f t="shared" si="351"/>
        <v>-0.0000183385873012544-0.0000396168746602451i</v>
      </c>
      <c r="AT538" s="64">
        <f t="shared" si="352"/>
        <v>-87.199225538652001</v>
      </c>
      <c r="AU538" s="61">
        <f t="shared" si="353"/>
        <v>-114.83934206042741</v>
      </c>
    </row>
    <row r="539" spans="14:47" x14ac:dyDescent="0.25">
      <c r="N539" s="10">
        <v>21</v>
      </c>
      <c r="O539" s="50">
        <f t="shared" si="321"/>
        <v>1621810.0973589318</v>
      </c>
      <c r="P539" s="48" t="str">
        <f t="shared" si="322"/>
        <v>304.285714285714</v>
      </c>
      <c r="Q539" s="17" t="str">
        <f t="shared" si="323"/>
        <v>1+530614.802157204i</v>
      </c>
      <c r="R539" s="17">
        <f t="shared" si="331"/>
        <v>530614.8021581464</v>
      </c>
      <c r="S539" s="17">
        <f t="shared" si="332"/>
        <v>1.5707944421885949</v>
      </c>
      <c r="T539" s="17" t="str">
        <f t="shared" si="324"/>
        <v>1+11.005344044742i</v>
      </c>
      <c r="U539" s="17">
        <f t="shared" si="333"/>
        <v>11.050683125632469</v>
      </c>
      <c r="V539" s="17">
        <f t="shared" si="334"/>
        <v>1.4801802221433618</v>
      </c>
      <c r="W539" s="31" t="str">
        <f t="shared" si="325"/>
        <v>1-34.3917001398188i</v>
      </c>
      <c r="X539" s="17">
        <f t="shared" si="335"/>
        <v>34.406235459683941</v>
      </c>
      <c r="Y539" s="17">
        <f t="shared" si="336"/>
        <v>-1.5417277341100073</v>
      </c>
      <c r="Z539" s="31" t="str">
        <f t="shared" si="326"/>
        <v>-164.151031360139+303.384633400921i</v>
      </c>
      <c r="AA539" s="17">
        <f t="shared" si="337"/>
        <v>344.94607822152233</v>
      </c>
      <c r="AB539" s="17">
        <f t="shared" si="338"/>
        <v>2.0667543546752181</v>
      </c>
      <c r="AC539" s="66" t="str">
        <f t="shared" si="339"/>
        <v>-0.000536375947200886+0.000334418275471926i</v>
      </c>
      <c r="AD539" s="64">
        <f t="shared" si="340"/>
        <v>-63.984454526294421</v>
      </c>
      <c r="AE539" s="61">
        <f t="shared" si="341"/>
        <v>148.05739349159336</v>
      </c>
      <c r="AF539" s="31" t="str">
        <f t="shared" si="327"/>
        <v>-0.000495863624968664</v>
      </c>
      <c r="AG539" s="31" t="str">
        <f t="shared" si="328"/>
        <v>2.24916623847728i</v>
      </c>
      <c r="AH539" s="31">
        <f t="shared" si="342"/>
        <v>2.2491662384772799</v>
      </c>
      <c r="AI539" s="31">
        <f t="shared" si="343"/>
        <v>1.5707963267948966</v>
      </c>
      <c r="AJ539" s="31" t="str">
        <f t="shared" si="329"/>
        <v>1+8.77555523683664i</v>
      </c>
      <c r="AK539" s="31">
        <f t="shared" si="344"/>
        <v>8.832347916311436</v>
      </c>
      <c r="AL539" s="31">
        <f t="shared" si="345"/>
        <v>1.457332851782033</v>
      </c>
      <c r="AM539" s="31" t="str">
        <f t="shared" si="330"/>
        <v>1+2690.19521093693i</v>
      </c>
      <c r="AN539" s="31">
        <f t="shared" si="346"/>
        <v>2690.1953967970417</v>
      </c>
      <c r="AO539" s="31">
        <f t="shared" si="347"/>
        <v>1.5704246065755327</v>
      </c>
      <c r="AP539" s="58" t="str">
        <f t="shared" si="348"/>
        <v>-0.00757797463972924+0.0667214005634664i</v>
      </c>
      <c r="AQ539" s="49">
        <f t="shared" si="349"/>
        <v>-23.459032954502522</v>
      </c>
      <c r="AR539" s="61">
        <f t="shared" si="350"/>
        <v>96.479680247395919</v>
      </c>
      <c r="AS539" s="58" t="str">
        <f t="shared" si="351"/>
        <v>-0.000018248212388257-0.0000383219676363873i</v>
      </c>
      <c r="AT539" s="64">
        <f t="shared" si="352"/>
        <v>-87.443487480796932</v>
      </c>
      <c r="AU539" s="61">
        <f t="shared" si="353"/>
        <v>-115.46292626101074</v>
      </c>
    </row>
    <row r="540" spans="14:47" x14ac:dyDescent="0.25">
      <c r="N540" s="10">
        <v>22</v>
      </c>
      <c r="O540" s="50">
        <f t="shared" si="321"/>
        <v>1659586.9074375622</v>
      </c>
      <c r="P540" s="48" t="str">
        <f t="shared" si="322"/>
        <v>304.285714285714</v>
      </c>
      <c r="Q540" s="17" t="str">
        <f t="shared" si="323"/>
        <v>1+542974.408647908i</v>
      </c>
      <c r="R540" s="17">
        <f t="shared" si="331"/>
        <v>542974.40864882886</v>
      </c>
      <c r="S540" s="17">
        <f t="shared" si="332"/>
        <v>1.5707944850874715</v>
      </c>
      <c r="T540" s="17" t="str">
        <f t="shared" si="324"/>
        <v>1+11.2616914386232i</v>
      </c>
      <c r="U540" s="17">
        <f t="shared" si="333"/>
        <v>11.306002567608019</v>
      </c>
      <c r="V540" s="17">
        <f t="shared" si="334"/>
        <v>1.4822320031523111</v>
      </c>
      <c r="W540" s="31" t="str">
        <f t="shared" si="325"/>
        <v>1-35.1927857456977i</v>
      </c>
      <c r="X540" s="17">
        <f t="shared" si="335"/>
        <v>35.206990336332112</v>
      </c>
      <c r="Y540" s="17">
        <f t="shared" si="336"/>
        <v>-1.5423890560053533</v>
      </c>
      <c r="Z540" s="31" t="str">
        <f t="shared" si="326"/>
        <v>-171.934359677251+310.451369324829i</v>
      </c>
      <c r="AA540" s="17">
        <f t="shared" si="337"/>
        <v>354.88234212663735</v>
      </c>
      <c r="AB540" s="17">
        <f t="shared" si="338"/>
        <v>2.0765680770988864</v>
      </c>
      <c r="AC540" s="66" t="str">
        <f t="shared" si="339"/>
        <v>-0.000530573481268652+0.00033703994611678i</v>
      </c>
      <c r="AD540" s="64">
        <f t="shared" si="340"/>
        <v>-64.032884149176624</v>
      </c>
      <c r="AE540" s="61">
        <f t="shared" si="341"/>
        <v>147.57477359627467</v>
      </c>
      <c r="AF540" s="31" t="str">
        <f t="shared" si="327"/>
        <v>-0.000495863624968664</v>
      </c>
      <c r="AG540" s="31" t="str">
        <f t="shared" si="328"/>
        <v>2.30155605030826i</v>
      </c>
      <c r="AH540" s="31">
        <f t="shared" si="342"/>
        <v>2.3015560503082599</v>
      </c>
      <c r="AI540" s="31">
        <f t="shared" si="343"/>
        <v>1.5707963267948966</v>
      </c>
      <c r="AJ540" s="31" t="str">
        <f t="shared" si="329"/>
        <v>1+8.97996417722764i</v>
      </c>
      <c r="AK540" s="31">
        <f t="shared" si="344"/>
        <v>9.0354721306798176</v>
      </c>
      <c r="AL540" s="31">
        <f t="shared" si="345"/>
        <v>1.4598942278243536</v>
      </c>
      <c r="AM540" s="31" t="str">
        <f t="shared" si="330"/>
        <v>1+2752.85790721901i</v>
      </c>
      <c r="AN540" s="31">
        <f t="shared" si="346"/>
        <v>2752.8580888484294</v>
      </c>
      <c r="AO540" s="31">
        <f t="shared" si="347"/>
        <v>1.5704330679599994</v>
      </c>
      <c r="AP540" s="58" t="str">
        <f t="shared" si="348"/>
        <v>-0.00724108728122471+0.0652401515106243i</v>
      </c>
      <c r="AQ540" s="49">
        <f t="shared" si="349"/>
        <v>-23.656526633654789</v>
      </c>
      <c r="AR540" s="61">
        <f t="shared" si="350"/>
        <v>96.333409012043802</v>
      </c>
      <c r="AS540" s="58" t="str">
        <f t="shared" si="351"/>
        <v>-0.0000181466082628218-0.0000370552299725771i</v>
      </c>
      <c r="AT540" s="64">
        <f t="shared" si="352"/>
        <v>-87.689410782831416</v>
      </c>
      <c r="AU540" s="61">
        <f t="shared" si="353"/>
        <v>-116.09181739168153</v>
      </c>
    </row>
    <row r="541" spans="14:47" x14ac:dyDescent="0.25">
      <c r="N541" s="10">
        <v>23</v>
      </c>
      <c r="O541" s="50">
        <f t="shared" si="321"/>
        <v>1698243.6524617488</v>
      </c>
      <c r="P541" s="48" t="str">
        <f t="shared" si="322"/>
        <v>304.285714285714</v>
      </c>
      <c r="Q541" s="17" t="str">
        <f t="shared" si="323"/>
        <v>1+555621.907357194i</v>
      </c>
      <c r="R541" s="17">
        <f t="shared" si="331"/>
        <v>555621.90735809389</v>
      </c>
      <c r="S541" s="17">
        <f t="shared" si="332"/>
        <v>1.5707945270098509</v>
      </c>
      <c r="T541" s="17" t="str">
        <f t="shared" si="324"/>
        <v>1+11.5240099303714i</v>
      </c>
      <c r="U541" s="17">
        <f t="shared" si="333"/>
        <v>11.567316234775406</v>
      </c>
      <c r="V541" s="17">
        <f t="shared" si="334"/>
        <v>1.4842378026088081</v>
      </c>
      <c r="W541" s="31" t="str">
        <f t="shared" si="325"/>
        <v>1-36.0125310324106i</v>
      </c>
      <c r="X541" s="17">
        <f t="shared" si="335"/>
        <v>36.026412413121804</v>
      </c>
      <c r="Y541" s="17">
        <f t="shared" si="336"/>
        <v>-1.5430353483937915</v>
      </c>
      <c r="Z541" s="31" t="str">
        <f t="shared" si="326"/>
        <v>-180.084504956954+317.682710674064i</v>
      </c>
      <c r="AA541" s="17">
        <f t="shared" si="337"/>
        <v>365.17493559499985</v>
      </c>
      <c r="AB541" s="17">
        <f t="shared" si="338"/>
        <v>2.0864985330953125</v>
      </c>
      <c r="AC541" s="66" t="str">
        <f t="shared" si="339"/>
        <v>-0.000524635383328591+0.000339613711217173i</v>
      </c>
      <c r="AD541" s="64">
        <f t="shared" si="340"/>
        <v>-64.082902676841911</v>
      </c>
      <c r="AE541" s="61">
        <f t="shared" si="341"/>
        <v>147.08369199428171</v>
      </c>
      <c r="AF541" s="31" t="str">
        <f t="shared" si="327"/>
        <v>-0.000495863624968664</v>
      </c>
      <c r="AG541" s="31" t="str">
        <f t="shared" si="328"/>
        <v>2.35516617762182i</v>
      </c>
      <c r="AH541" s="31">
        <f t="shared" si="342"/>
        <v>2.35516617762182</v>
      </c>
      <c r="AI541" s="31">
        <f t="shared" si="343"/>
        <v>1.5707963267948966</v>
      </c>
      <c r="AJ541" s="31" t="str">
        <f t="shared" si="329"/>
        <v>1+9.1891344134893i</v>
      </c>
      <c r="AK541" s="31">
        <f t="shared" si="344"/>
        <v>9.2433863529105675</v>
      </c>
      <c r="AL541" s="31">
        <f t="shared" si="345"/>
        <v>1.462398712532492</v>
      </c>
      <c r="AM541" s="31" t="str">
        <f t="shared" si="330"/>
        <v>1+2816.9802052019i</v>
      </c>
      <c r="AN541" s="31">
        <f t="shared" si="346"/>
        <v>2816.9803826969296</v>
      </c>
      <c r="AO541" s="31">
        <f t="shared" si="347"/>
        <v>1.5704413367398911</v>
      </c>
      <c r="AP541" s="58" t="str">
        <f t="shared" si="348"/>
        <v>-0.00691899906300574+0.0637901553426021i</v>
      </c>
      <c r="AQ541" s="49">
        <f t="shared" si="349"/>
        <v>-23.854131764822814</v>
      </c>
      <c r="AR541" s="61">
        <f t="shared" si="350"/>
        <v>96.190386374601928</v>
      </c>
      <c r="AS541" s="58" t="str">
        <f t="shared" si="351"/>
        <v>-0.0000180340596693509-0.0000358163595504519i</v>
      </c>
      <c r="AT541" s="64">
        <f t="shared" si="352"/>
        <v>-87.937034441664736</v>
      </c>
      <c r="AU541" s="61">
        <f t="shared" si="353"/>
        <v>-116.72592163111639</v>
      </c>
    </row>
    <row r="542" spans="14:47" x14ac:dyDescent="0.25">
      <c r="N542" s="10">
        <v>24</v>
      </c>
      <c r="O542" s="50">
        <f t="shared" si="321"/>
        <v>1737800.8287493798</v>
      </c>
      <c r="P542" s="48" t="str">
        <f t="shared" si="322"/>
        <v>304.285714285714</v>
      </c>
      <c r="Q542" s="17" t="str">
        <f t="shared" si="323"/>
        <v>1+568564.004156279i</v>
      </c>
      <c r="R542" s="17">
        <f t="shared" si="331"/>
        <v>568564.00415715843</v>
      </c>
      <c r="S542" s="17">
        <f t="shared" si="332"/>
        <v>1.57079456797796</v>
      </c>
      <c r="T542" s="17" t="str">
        <f t="shared" si="324"/>
        <v>1+11.7924386047228i</v>
      </c>
      <c r="U542" s="17">
        <f t="shared" si="333"/>
        <v>11.834762703415587</v>
      </c>
      <c r="V542" s="17">
        <f t="shared" si="334"/>
        <v>1.48619861942012</v>
      </c>
      <c r="W542" s="31" t="str">
        <f t="shared" si="325"/>
        <v>1-36.8513706397588i</v>
      </c>
      <c r="X542" s="17">
        <f t="shared" si="335"/>
        <v>36.864936159294743</v>
      </c>
      <c r="Y542" s="17">
        <f t="shared" si="336"/>
        <v>-1.5436669517872461</v>
      </c>
      <c r="Z542" s="31" t="str">
        <f t="shared" si="326"/>
        <v>-188.61875475009+325.082491601522i</v>
      </c>
      <c r="AA542" s="17">
        <f t="shared" si="337"/>
        <v>375.83994065203899</v>
      </c>
      <c r="AB542" s="17">
        <f t="shared" si="338"/>
        <v>2.0965433255506394</v>
      </c>
      <c r="AC542" s="66" t="str">
        <f t="shared" si="339"/>
        <v>-0.000518562704643998+0.000342132706618987i</v>
      </c>
      <c r="AD542" s="64">
        <f t="shared" si="340"/>
        <v>-64.134553757622527</v>
      </c>
      <c r="AE542" s="61">
        <f t="shared" si="341"/>
        <v>146.58432375212212</v>
      </c>
      <c r="AF542" s="31" t="str">
        <f t="shared" si="327"/>
        <v>-0.000495863624968664</v>
      </c>
      <c r="AG542" s="31" t="str">
        <f t="shared" si="328"/>
        <v>2.41002504521706i</v>
      </c>
      <c r="AH542" s="31">
        <f t="shared" si="342"/>
        <v>2.41002504521706</v>
      </c>
      <c r="AI542" s="31">
        <f t="shared" si="343"/>
        <v>1.5707963267948966</v>
      </c>
      <c r="AJ542" s="31" t="str">
        <f t="shared" si="329"/>
        <v>1+9.40317685044947i</v>
      </c>
      <c r="AK542" s="31">
        <f t="shared" si="344"/>
        <v>9.4562008693147366</v>
      </c>
      <c r="AL542" s="31">
        <f t="shared" si="345"/>
        <v>1.464847508075221</v>
      </c>
      <c r="AM542" s="31" t="str">
        <f t="shared" si="330"/>
        <v>1+2882.59610337668i</v>
      </c>
      <c r="AN542" s="31">
        <f t="shared" si="346"/>
        <v>2882.5962768314293</v>
      </c>
      <c r="AO542" s="31">
        <f t="shared" si="347"/>
        <v>1.5704494172994203</v>
      </c>
      <c r="AP542" s="58" t="str">
        <f t="shared" si="348"/>
        <v>-0.00661107533054403+0.0623708609080297i</v>
      </c>
      <c r="AQ542" s="49">
        <f t="shared" si="349"/>
        <v>-24.051843449352805</v>
      </c>
      <c r="AR542" s="61">
        <f t="shared" si="350"/>
        <v>96.050543707070204</v>
      </c>
      <c r="AS542" s="58" t="str">
        <f t="shared" si="351"/>
        <v>-0.0000179108543526084-0.0000346050674199435i</v>
      </c>
      <c r="AT542" s="64">
        <f t="shared" si="352"/>
        <v>-88.186397206975343</v>
      </c>
      <c r="AU542" s="61">
        <f t="shared" si="353"/>
        <v>-117.36513254080762</v>
      </c>
    </row>
    <row r="543" spans="14:47" x14ac:dyDescent="0.25">
      <c r="N543" s="10">
        <v>25</v>
      </c>
      <c r="O543" s="50">
        <f t="shared" si="321"/>
        <v>1778279.4100389241</v>
      </c>
      <c r="P543" s="48" t="str">
        <f t="shared" si="322"/>
        <v>304.285714285714</v>
      </c>
      <c r="Q543" s="17" t="str">
        <f t="shared" si="323"/>
        <v>1+581807.561116203i</v>
      </c>
      <c r="R543" s="17">
        <f t="shared" si="331"/>
        <v>581807.56111706235</v>
      </c>
      <c r="S543" s="17">
        <f t="shared" si="332"/>
        <v>1.5707946080135213</v>
      </c>
      <c r="T543" s="17" t="str">
        <f t="shared" si="324"/>
        <v>1+12.0671197861138i</v>
      </c>
      <c r="U543" s="17">
        <f t="shared" si="333"/>
        <v>12.108483799899108</v>
      </c>
      <c r="V543" s="17">
        <f t="shared" si="334"/>
        <v>1.4881154328921586</v>
      </c>
      <c r="W543" s="31" t="str">
        <f t="shared" si="325"/>
        <v>1-37.7097493316057i</v>
      </c>
      <c r="X543" s="17">
        <f t="shared" si="335"/>
        <v>37.72300617199717</v>
      </c>
      <c r="Y543" s="17">
        <f t="shared" si="336"/>
        <v>-1.5442841990533547</v>
      </c>
      <c r="Z543" s="31" t="str">
        <f t="shared" si="326"/>
        <v>-197.55521134468+332.654635569003i</v>
      </c>
      <c r="AA543" s="17">
        <f t="shared" si="337"/>
        <v>386.89425957874766</v>
      </c>
      <c r="AB543" s="17">
        <f t="shared" si="338"/>
        <v>2.1066998443302554</v>
      </c>
      <c r="AC543" s="66" t="str">
        <f t="shared" si="339"/>
        <v>-0.000512356864601152+0.000344590026929147i</v>
      </c>
      <c r="AD543" s="64">
        <f t="shared" si="340"/>
        <v>-64.187880478145388</v>
      </c>
      <c r="AE543" s="61">
        <f t="shared" si="341"/>
        <v>146.07685545643372</v>
      </c>
      <c r="AF543" s="31" t="str">
        <f t="shared" si="327"/>
        <v>-0.000495863624968664</v>
      </c>
      <c r="AG543" s="31" t="str">
        <f t="shared" si="328"/>
        <v>2.46616173999172i</v>
      </c>
      <c r="AH543" s="31">
        <f t="shared" si="342"/>
        <v>2.4661617399917199</v>
      </c>
      <c r="AI543" s="31">
        <f t="shared" si="343"/>
        <v>1.5707963267948966</v>
      </c>
      <c r="AJ543" s="31" t="str">
        <f t="shared" si="329"/>
        <v>1+9.62220497624151i</v>
      </c>
      <c r="AK543" s="31">
        <f t="shared" si="344"/>
        <v>9.6740285612978685</v>
      </c>
      <c r="AL543" s="31">
        <f t="shared" si="345"/>
        <v>1.4672417952968169</v>
      </c>
      <c r="AM543" s="31" t="str">
        <f t="shared" si="330"/>
        <v>1+2949.74039216115i</v>
      </c>
      <c r="AN543" s="31">
        <f t="shared" si="346"/>
        <v>2949.7405616675874</v>
      </c>
      <c r="AO543" s="31">
        <f t="shared" si="347"/>
        <v>1.570457313923002</v>
      </c>
      <c r="AP543" s="58" t="str">
        <f t="shared" si="348"/>
        <v>-0.00631670729895929+0.0609817193578191i</v>
      </c>
      <c r="AQ543" s="49">
        <f t="shared" si="349"/>
        <v>-24.249656998900289</v>
      </c>
      <c r="AR543" s="61">
        <f t="shared" si="350"/>
        <v>95.913813597534343</v>
      </c>
      <c r="AS543" s="58" t="str">
        <f t="shared" si="351"/>
        <v>-0.0000177772839693986-0.0000334210768664115i</v>
      </c>
      <c r="AT543" s="64">
        <f t="shared" si="352"/>
        <v>-88.437537477045666</v>
      </c>
      <c r="AU543" s="61">
        <f t="shared" si="353"/>
        <v>-118.00933094603195</v>
      </c>
    </row>
    <row r="544" spans="14:47" x14ac:dyDescent="0.25">
      <c r="N544" s="10">
        <v>26</v>
      </c>
      <c r="O544" s="50">
        <f t="shared" si="321"/>
        <v>1819700.8586099846</v>
      </c>
      <c r="P544" s="48" t="str">
        <f t="shared" si="322"/>
        <v>304.285714285714</v>
      </c>
      <c r="Q544" s="17" t="str">
        <f t="shared" si="323"/>
        <v>1+595359.600146168i</v>
      </c>
      <c r="R544" s="17">
        <f t="shared" si="331"/>
        <v>595359.60014700785</v>
      </c>
      <c r="S544" s="17">
        <f t="shared" si="332"/>
        <v>1.5707946471377621</v>
      </c>
      <c r="T544" s="17" t="str">
        <f t="shared" si="324"/>
        <v>1+12.3481991141427i</v>
      </c>
      <c r="U544" s="17">
        <f t="shared" si="333"/>
        <v>12.388624675988638</v>
      </c>
      <c r="V544" s="17">
        <f t="shared" si="334"/>
        <v>1.4899892029718194</v>
      </c>
      <c r="W544" s="31" t="str">
        <f t="shared" si="325"/>
        <v>1-38.588122231696i</v>
      </c>
      <c r="X544" s="17">
        <f t="shared" si="335"/>
        <v>38.601077412014178</v>
      </c>
      <c r="Y544" s="17">
        <f t="shared" si="336"/>
        <v>-1.5448874155823693</v>
      </c>
      <c r="Z544" s="31" t="str">
        <f t="shared" si="326"/>
        <v>-206.912830163294+340.403157427469i</v>
      </c>
      <c r="AA544" s="17">
        <f t="shared" si="337"/>
        <v>398.35565625804082</v>
      </c>
      <c r="AB544" s="17">
        <f t="shared" si="338"/>
        <v>2.1169652649252919</v>
      </c>
      <c r="AC544" s="66" t="str">
        <f t="shared" si="339"/>
        <v>-0.000506019661198365+0.000346978748107239i</v>
      </c>
      <c r="AD544" s="64">
        <f t="shared" si="340"/>
        <v>-64.2429252644678</v>
      </c>
      <c r="AE544" s="61">
        <f t="shared" si="341"/>
        <v>145.56148529585505</v>
      </c>
      <c r="AF544" s="31" t="str">
        <f t="shared" si="327"/>
        <v>-0.000495863624968664</v>
      </c>
      <c r="AG544" s="31" t="str">
        <f t="shared" si="328"/>
        <v>2.52360602636444i</v>
      </c>
      <c r="AH544" s="31">
        <f t="shared" si="342"/>
        <v>2.52360602636444</v>
      </c>
      <c r="AI544" s="31">
        <f t="shared" si="343"/>
        <v>1.5707963267948966</v>
      </c>
      <c r="AJ544" s="31" t="str">
        <f t="shared" si="329"/>
        <v>1+9.84633492247695i</v>
      </c>
      <c r="AK544" s="31">
        <f t="shared" si="344"/>
        <v>9.8969849654118995</v>
      </c>
      <c r="AL544" s="31">
        <f t="shared" si="345"/>
        <v>1.4695827338159804</v>
      </c>
      <c r="AM544" s="31" t="str">
        <f t="shared" si="330"/>
        <v>1+3018.448672346i</v>
      </c>
      <c r="AN544" s="31">
        <f t="shared" si="346"/>
        <v>3018.4488379940003</v>
      </c>
      <c r="AO544" s="31">
        <f t="shared" si="347"/>
        <v>1.5704650307975268</v>
      </c>
      <c r="AP544" s="58" t="str">
        <f t="shared" si="348"/>
        <v>-0.00603531111694562+0.0596221847284983i</v>
      </c>
      <c r="AQ544" s="49">
        <f t="shared" si="349"/>
        <v>-24.447567926837358</v>
      </c>
      <c r="AR544" s="61">
        <f t="shared" si="350"/>
        <v>95.780129844627993</v>
      </c>
      <c r="AS544" s="58" t="str">
        <f t="shared" si="351"/>
        <v>-0.0000176336449298893-0.0000322641224120165i</v>
      </c>
      <c r="AT544" s="64">
        <f t="shared" si="352"/>
        <v>-88.69049319130518</v>
      </c>
      <c r="AU544" s="61">
        <f t="shared" si="353"/>
        <v>-118.65838485951693</v>
      </c>
    </row>
    <row r="545" spans="14:47" x14ac:dyDescent="0.25">
      <c r="N545" s="10">
        <v>27</v>
      </c>
      <c r="O545" s="50">
        <f t="shared" si="321"/>
        <v>1862087.1366628683</v>
      </c>
      <c r="P545" s="48" t="str">
        <f t="shared" si="322"/>
        <v>304.285714285714</v>
      </c>
      <c r="Q545" s="17" t="str">
        <f t="shared" si="323"/>
        <v>1+609227.306716645i</v>
      </c>
      <c r="R545" s="17">
        <f t="shared" si="331"/>
        <v>609227.30671746575</v>
      </c>
      <c r="S545" s="17">
        <f t="shared" si="332"/>
        <v>1.5707946853714263</v>
      </c>
      <c r="T545" s="17" t="str">
        <f t="shared" si="324"/>
        <v>1+12.6358256207897i</v>
      </c>
      <c r="U545" s="17">
        <f t="shared" si="333"/>
        <v>12.675333885898445</v>
      </c>
      <c r="V545" s="17">
        <f t="shared" si="334"/>
        <v>1.4918208704968201</v>
      </c>
      <c r="W545" s="31" t="str">
        <f t="shared" si="325"/>
        <v>1-39.4869550649677i</v>
      </c>
      <c r="X545" s="17">
        <f t="shared" si="335"/>
        <v>39.499615444998689</v>
      </c>
      <c r="Y545" s="17">
        <f t="shared" si="336"/>
        <v>-1.545476919450733</v>
      </c>
      <c r="Z545" s="31" t="str">
        <f t="shared" si="326"/>
        <v>-216.711459970043+348.332165545771i</v>
      </c>
      <c r="AA545" s="17">
        <f t="shared" si="337"/>
        <v>410.2427993714868</v>
      </c>
      <c r="AB545" s="17">
        <f t="shared" si="338"/>
        <v>2.1273365478815336</v>
      </c>
      <c r="AC545" s="66" t="str">
        <f t="shared" si="339"/>
        <v>-0.000499553279965729+0.000349291951494953i</v>
      </c>
      <c r="AD545" s="64">
        <f t="shared" si="340"/>
        <v>-64.299729780040536</v>
      </c>
      <c r="AE545" s="61">
        <f t="shared" si="341"/>
        <v>145.0384230986887</v>
      </c>
      <c r="AF545" s="31" t="str">
        <f t="shared" si="327"/>
        <v>-0.000495863624968664</v>
      </c>
      <c r="AG545" s="31" t="str">
        <f t="shared" si="328"/>
        <v>2.58238836205621i</v>
      </c>
      <c r="AH545" s="31">
        <f t="shared" si="342"/>
        <v>2.5823883620562098</v>
      </c>
      <c r="AI545" s="31">
        <f t="shared" si="343"/>
        <v>1.5707963267948966</v>
      </c>
      <c r="AJ545" s="31" t="str">
        <f t="shared" si="329"/>
        <v>1+10.0756855258199i</v>
      </c>
      <c r="AK545" s="31">
        <f t="shared" si="344"/>
        <v>10.125188334802303</v>
      </c>
      <c r="AL545" s="31">
        <f t="shared" si="345"/>
        <v>1.4718714621465383</v>
      </c>
      <c r="AM545" s="31" t="str">
        <f t="shared" si="330"/>
        <v>1+3088.7573739708i</v>
      </c>
      <c r="AN545" s="31">
        <f t="shared" si="346"/>
        <v>3088.7575358481918</v>
      </c>
      <c r="AO545" s="31">
        <f t="shared" si="347"/>
        <v>1.57047257201458</v>
      </c>
      <c r="AP545" s="58" t="str">
        <f t="shared" si="348"/>
        <v>-0.00576632695385659+0.0582917144748698i</v>
      </c>
      <c r="AQ545" s="49">
        <f t="shared" si="349"/>
        <v>-24.645571939972307</v>
      </c>
      <c r="AR545" s="61">
        <f t="shared" si="350"/>
        <v>95.64942745074454</v>
      </c>
      <c r="AS545" s="58" t="str">
        <f t="shared" si="351"/>
        <v>-0.00001748023916176-0.0000311339487554175i</v>
      </c>
      <c r="AT545" s="64">
        <f t="shared" si="352"/>
        <v>-88.94530172001285</v>
      </c>
      <c r="AU545" s="61">
        <f t="shared" si="353"/>
        <v>-119.31214945056672</v>
      </c>
    </row>
    <row r="546" spans="14:47" x14ac:dyDescent="0.25">
      <c r="N546" s="10">
        <v>28</v>
      </c>
      <c r="O546" s="50">
        <f t="shared" si="321"/>
        <v>1905460.7179632513</v>
      </c>
      <c r="P546" s="48" t="str">
        <f t="shared" si="322"/>
        <v>304.285714285714</v>
      </c>
      <c r="Q546" s="17" t="str">
        <f t="shared" si="323"/>
        <v>1+623418.033669226i</v>
      </c>
      <c r="R546" s="17">
        <f t="shared" si="331"/>
        <v>623418.03367002809</v>
      </c>
      <c r="S546" s="17">
        <f t="shared" si="332"/>
        <v>1.570794722734786</v>
      </c>
      <c r="T546" s="17" t="str">
        <f t="shared" si="324"/>
        <v>1+12.9301518094358i</v>
      </c>
      <c r="U546" s="17">
        <f t="shared" si="333"/>
        <v>12.968763465151792</v>
      </c>
      <c r="V546" s="17">
        <f t="shared" si="334"/>
        <v>1.4936113574520662</v>
      </c>
      <c r="W546" s="31" t="str">
        <f t="shared" si="325"/>
        <v>1-40.4067244044868i</v>
      </c>
      <c r="X546" s="17">
        <f t="shared" si="335"/>
        <v>40.419096688324807</v>
      </c>
      <c r="Y546" s="17">
        <f t="shared" si="336"/>
        <v>-1.5460530215813701</v>
      </c>
      <c r="Z546" s="31" t="str">
        <f t="shared" si="326"/>
        <v>-226.971884972477+356.44586398897i</v>
      </c>
      <c r="AA546" s="17">
        <f t="shared" si="337"/>
        <v>422.57530751666337</v>
      </c>
      <c r="AB546" s="17">
        <f t="shared" si="338"/>
        <v>2.1378104390565325</v>
      </c>
      <c r="AC546" s="66" t="str">
        <f t="shared" si="339"/>
        <v>-0.000492960301136117+0.000351522749171218i</v>
      </c>
      <c r="AD546" s="64">
        <f t="shared" si="340"/>
        <v>-64.358334820991544</v>
      </c>
      <c r="AE546" s="61">
        <f t="shared" si="341"/>
        <v>144.50789032367396</v>
      </c>
      <c r="AF546" s="31" t="str">
        <f t="shared" si="327"/>
        <v>-0.000495863624968664</v>
      </c>
      <c r="AG546" s="31" t="str">
        <f t="shared" si="328"/>
        <v>2.64253991423949i</v>
      </c>
      <c r="AH546" s="31">
        <f t="shared" si="342"/>
        <v>2.6425399142394901</v>
      </c>
      <c r="AI546" s="31">
        <f t="shared" si="343"/>
        <v>1.5707963267948966</v>
      </c>
      <c r="AJ546" s="31" t="str">
        <f t="shared" si="329"/>
        <v>1+10.3103783909962i</v>
      </c>
      <c r="AK546" s="31">
        <f t="shared" si="344"/>
        <v>10.358759702084097</v>
      </c>
      <c r="AL546" s="31">
        <f t="shared" si="345"/>
        <v>1.4741090978380096</v>
      </c>
      <c r="AM546" s="31" t="str">
        <f t="shared" si="330"/>
        <v>1+3160.70377563985i</v>
      </c>
      <c r="AN546" s="31">
        <f t="shared" si="346"/>
        <v>3160.7039338324626</v>
      </c>
      <c r="AO546" s="31">
        <f t="shared" si="347"/>
        <v>1.5704799415726114</v>
      </c>
      <c r="AP546" s="58" t="str">
        <f t="shared" si="348"/>
        <v>-0.00550921811043611+0.0569897699551188i</v>
      </c>
      <c r="AQ546" s="49">
        <f t="shared" si="349"/>
        <v>-24.843664930574075</v>
      </c>
      <c r="AR546" s="61">
        <f t="shared" si="350"/>
        <v>95.521642614107449</v>
      </c>
      <c r="AS546" s="58" t="str">
        <f t="shared" si="351"/>
        <v>-0.0000173173747905135-0.0000300303096547178i</v>
      </c>
      <c r="AT546" s="64">
        <f t="shared" si="352"/>
        <v>-89.201999751565623</v>
      </c>
      <c r="AU546" s="61">
        <f t="shared" si="353"/>
        <v>-119.97046706221855</v>
      </c>
    </row>
    <row r="547" spans="14:47" x14ac:dyDescent="0.25">
      <c r="N547" s="10">
        <v>29</v>
      </c>
      <c r="O547" s="50">
        <f t="shared" si="321"/>
        <v>1949844.5997580495</v>
      </c>
      <c r="P547" s="48" t="str">
        <f t="shared" si="322"/>
        <v>304.285714285714</v>
      </c>
      <c r="Q547" s="17" t="str">
        <f t="shared" si="323"/>
        <v>1+637939.305115162i</v>
      </c>
      <c r="R547" s="17">
        <f t="shared" si="331"/>
        <v>637939.30511594575</v>
      </c>
      <c r="S547" s="17">
        <f t="shared" si="332"/>
        <v>1.5707947592476519</v>
      </c>
      <c r="T547" s="17" t="str">
        <f t="shared" si="324"/>
        <v>1+13.2313337357219i</v>
      </c>
      <c r="U547" s="17">
        <f t="shared" si="333"/>
        <v>13.269069011277788</v>
      </c>
      <c r="V547" s="17">
        <f t="shared" si="334"/>
        <v>1.4953615672316269</v>
      </c>
      <c r="W547" s="31" t="str">
        <f t="shared" si="325"/>
        <v>1-41.3479179241308i</v>
      </c>
      <c r="X547" s="17">
        <f t="shared" si="335"/>
        <v>41.360008663691751</v>
      </c>
      <c r="Y547" s="17">
        <f t="shared" si="336"/>
        <v>-1.5466160259007424</v>
      </c>
      <c r="Z547" s="31" t="str">
        <f t="shared" si="326"/>
        <v>-237.715868907652+364.74855474737i</v>
      </c>
      <c r="AA547" s="17">
        <f t="shared" si="337"/>
        <v>435.37379631853725</v>
      </c>
      <c r="AB547" s="17">
        <f t="shared" si="338"/>
        <v>2.1483834707465896</v>
      </c>
      <c r="AC547" s="66" t="str">
        <f t="shared" si="339"/>
        <v>-0.000486243704895191+0.000353664310498147i</v>
      </c>
      <c r="AD547" s="64">
        <f t="shared" si="340"/>
        <v>-64.418780209272313</v>
      </c>
      <c r="AE547" s="61">
        <f t="shared" si="341"/>
        <v>143.9701200014261</v>
      </c>
      <c r="AF547" s="31" t="str">
        <f t="shared" si="327"/>
        <v>-0.000495863624968664</v>
      </c>
      <c r="AG547" s="31" t="str">
        <f t="shared" si="328"/>
        <v>2.70409257606346i</v>
      </c>
      <c r="AH547" s="31">
        <f t="shared" si="342"/>
        <v>2.7040925760634602</v>
      </c>
      <c r="AI547" s="31">
        <f t="shared" si="343"/>
        <v>1.5707963267948966</v>
      </c>
      <c r="AJ547" s="31" t="str">
        <f t="shared" si="329"/>
        <v>1+10.5505379552693i</v>
      </c>
      <c r="AK547" s="31">
        <f t="shared" si="344"/>
        <v>10.597822943679429</v>
      </c>
      <c r="AL547" s="31">
        <f t="shared" si="345"/>
        <v>1.4762967376342311</v>
      </c>
      <c r="AM547" s="31" t="str">
        <f t="shared" si="330"/>
        <v>1+3234.32602428756i</v>
      </c>
      <c r="AN547" s="31">
        <f t="shared" si="346"/>
        <v>3234.3261788792688</v>
      </c>
      <c r="AO547" s="31">
        <f t="shared" si="347"/>
        <v>1.5704871433790548</v>
      </c>
      <c r="AP547" s="58" t="str">
        <f t="shared" si="348"/>
        <v>-0.0052634701535449+0.0557158168713475i</v>
      </c>
      <c r="AQ547" s="49">
        <f t="shared" si="349"/>
        <v>-25.041842968694077</v>
      </c>
      <c r="AR547" s="61">
        <f t="shared" si="350"/>
        <v>95.396712719803176</v>
      </c>
      <c r="AS547" s="58" t="str">
        <f t="shared" si="351"/>
        <v>-0.0000171453667295812-0.000028952966759467i</v>
      </c>
      <c r="AT547" s="64">
        <f t="shared" si="352"/>
        <v>-89.460623177966397</v>
      </c>
      <c r="AU547" s="61">
        <f t="shared" si="353"/>
        <v>-120.63316727877074</v>
      </c>
    </row>
    <row r="548" spans="14:47" x14ac:dyDescent="0.25">
      <c r="N548" s="10">
        <v>30</v>
      </c>
      <c r="O548" s="50">
        <f t="shared" si="321"/>
        <v>1995262.31496888</v>
      </c>
      <c r="P548" s="48" t="str">
        <f t="shared" si="322"/>
        <v>304.285714285714</v>
      </c>
      <c r="Q548" s="17" t="str">
        <f t="shared" si="323"/>
        <v>1+652798.820424801i</v>
      </c>
      <c r="R548" s="17">
        <f t="shared" si="331"/>
        <v>652798.82042556687</v>
      </c>
      <c r="S548" s="17">
        <f t="shared" si="332"/>
        <v>1.5707947949293835</v>
      </c>
      <c r="T548" s="17" t="str">
        <f t="shared" si="324"/>
        <v>1+13.5395310902921i</v>
      </c>
      <c r="U548" s="17">
        <f t="shared" si="333"/>
        <v>13.576409766392086</v>
      </c>
      <c r="V548" s="17">
        <f t="shared" si="334"/>
        <v>1.4970723849054917</v>
      </c>
      <c r="W548" s="31" t="str">
        <f t="shared" si="325"/>
        <v>1-42.3110346571629i</v>
      </c>
      <c r="X548" s="17">
        <f t="shared" si="335"/>
        <v>42.322850255620075</v>
      </c>
      <c r="Y548" s="17">
        <f t="shared" si="336"/>
        <v>-1.5471662294927135</v>
      </c>
      <c r="Z548" s="31" t="str">
        <f t="shared" si="326"/>
        <v>-248.96620120598+373.244640017517i</v>
      </c>
      <c r="AA548" s="17">
        <f t="shared" si="337"/>
        <v>448.65992761193013</v>
      </c>
      <c r="AB548" s="17">
        <f t="shared" si="338"/>
        <v>2.1590519637205383</v>
      </c>
      <c r="AC548" s="66" t="str">
        <f t="shared" si="339"/>
        <v>-0.000479406874548064+0.000355709889700153i</v>
      </c>
      <c r="AD548" s="64">
        <f t="shared" si="340"/>
        <v>-64.481104684259321</v>
      </c>
      <c r="AE548" s="61">
        <f t="shared" si="341"/>
        <v>143.42535662437726</v>
      </c>
      <c r="AF548" s="31" t="str">
        <f t="shared" si="327"/>
        <v>-0.000495863624968664</v>
      </c>
      <c r="AG548" s="31" t="str">
        <f t="shared" si="328"/>
        <v>2.76707898356415i</v>
      </c>
      <c r="AH548" s="31">
        <f t="shared" si="342"/>
        <v>2.7670789835641498</v>
      </c>
      <c r="AI548" s="31">
        <f t="shared" si="343"/>
        <v>1.5707963267948966</v>
      </c>
      <c r="AJ548" s="31" t="str">
        <f t="shared" si="329"/>
        <v>1+10.7962915544192i</v>
      </c>
      <c r="AK548" s="31">
        <f t="shared" si="344"/>
        <v>10.842504845653671</v>
      </c>
      <c r="AL548" s="31">
        <f t="shared" si="345"/>
        <v>1.4784354576483782</v>
      </c>
      <c r="AM548" s="31" t="str">
        <f t="shared" si="330"/>
        <v>1+3309.66315540474i</v>
      </c>
      <c r="AN548" s="31">
        <f t="shared" si="346"/>
        <v>3309.6633064775119</v>
      </c>
      <c r="AO548" s="31">
        <f t="shared" si="347"/>
        <v>1.5704941812524005</v>
      </c>
      <c r="AP548" s="58" t="str">
        <f t="shared" si="348"/>
        <v>-0.00502859007510598+0.0544693256683787i</v>
      </c>
      <c r="AQ548" s="49">
        <f t="shared" si="349"/>
        <v>-25.240102294775451</v>
      </c>
      <c r="AR548" s="61">
        <f t="shared" si="350"/>
        <v>95.274576329871849</v>
      </c>
      <c r="AS548" s="58" t="str">
        <f t="shared" si="351"/>
        <v>-0.0000169645371742507-0.0000279016883983813i</v>
      </c>
      <c r="AT548" s="64">
        <f t="shared" si="352"/>
        <v>-89.721206979034775</v>
      </c>
      <c r="AU548" s="61">
        <f t="shared" si="353"/>
        <v>-121.30006704575085</v>
      </c>
    </row>
    <row r="549" spans="14:47" x14ac:dyDescent="0.25">
      <c r="N549" s="10">
        <v>31</v>
      </c>
      <c r="O549" s="50">
        <f t="shared" si="321"/>
        <v>2041737.9446695296</v>
      </c>
      <c r="P549" s="48" t="str">
        <f t="shared" si="322"/>
        <v>304.285714285714</v>
      </c>
      <c r="Q549" s="17" t="str">
        <f t="shared" si="323"/>
        <v>1+668004.458309839i</v>
      </c>
      <c r="R549" s="17">
        <f t="shared" si="331"/>
        <v>668004.45831058745</v>
      </c>
      <c r="S549" s="17">
        <f t="shared" si="332"/>
        <v>1.5707948297988996</v>
      </c>
      <c r="T549" s="17" t="str">
        <f t="shared" si="324"/>
        <v>1+13.8549072834633i</v>
      </c>
      <c r="U549" s="17">
        <f t="shared" si="333"/>
        <v>13.890948701703723</v>
      </c>
      <c r="V549" s="17">
        <f t="shared" si="334"/>
        <v>1.4987446774903108</v>
      </c>
      <c r="W549" s="31" t="str">
        <f t="shared" si="325"/>
        <v>1-43.2965852608228i</v>
      </c>
      <c r="X549" s="17">
        <f t="shared" si="335"/>
        <v>43.308131975966113</v>
      </c>
      <c r="Y549" s="17">
        <f t="shared" si="336"/>
        <v>-1.5477039227492684</v>
      </c>
      <c r="Z549" s="31" t="str">
        <f t="shared" si="326"/>
        <v>-260.746745330615+381.938624536277i</v>
      </c>
      <c r="AA549" s="17">
        <f t="shared" si="337"/>
        <v>462.45646077568398</v>
      </c>
      <c r="AB549" s="17">
        <f t="shared" si="338"/>
        <v>2.1698120301913653</v>
      </c>
      <c r="AC549" s="66" t="str">
        <f t="shared" si="339"/>
        <v>-0.000472453597453732+0.000357652854296505i</v>
      </c>
      <c r="AD549" s="64">
        <f t="shared" si="340"/>
        <v>-64.545345793444454</v>
      </c>
      <c r="AE549" s="61">
        <f t="shared" si="341"/>
        <v>142.87385598339048</v>
      </c>
      <c r="AF549" s="31" t="str">
        <f t="shared" si="327"/>
        <v>-0.000495863624968664</v>
      </c>
      <c r="AG549" s="31" t="str">
        <f t="shared" si="328"/>
        <v>2.83153253296854i</v>
      </c>
      <c r="AH549" s="31">
        <f t="shared" si="342"/>
        <v>2.8315325329685401</v>
      </c>
      <c r="AI549" s="31">
        <f t="shared" si="343"/>
        <v>1.5707963267948966</v>
      </c>
      <c r="AJ549" s="31" t="str">
        <f t="shared" si="329"/>
        <v>1+11.047769490257i</v>
      </c>
      <c r="AK549" s="31">
        <f t="shared" si="344"/>
        <v>11.092935171083145</v>
      </c>
      <c r="AL549" s="31">
        <f t="shared" si="345"/>
        <v>1.4805263135527884</v>
      </c>
      <c r="AM549" s="31" t="str">
        <f t="shared" si="330"/>
        <v>1+3386.75511373547i</v>
      </c>
      <c r="AN549" s="31">
        <f t="shared" si="346"/>
        <v>3386.7552613694061</v>
      </c>
      <c r="AO549" s="31">
        <f t="shared" si="347"/>
        <v>1.570501058924219</v>
      </c>
      <c r="AP549" s="58" t="str">
        <f t="shared" si="348"/>
        <v>-0.00480410547538115+0.0532497718934996i</v>
      </c>
      <c r="AQ549" s="49">
        <f t="shared" si="349"/>
        <v>-25.438439312544297</v>
      </c>
      <c r="AR549" s="61">
        <f t="shared" si="350"/>
        <v>95.155173172547222</v>
      </c>
      <c r="AS549" s="58" t="str">
        <f t="shared" si="351"/>
        <v>-0.0000167752159939569-0.0000268762483302861i</v>
      </c>
      <c r="AT549" s="64">
        <f t="shared" si="352"/>
        <v>-89.983785105988758</v>
      </c>
      <c r="AU549" s="61">
        <f t="shared" si="353"/>
        <v>-121.97097084406218</v>
      </c>
    </row>
    <row r="550" spans="14:47" x14ac:dyDescent="0.25">
      <c r="N550" s="10">
        <v>32</v>
      </c>
      <c r="O550" s="50">
        <f t="shared" si="321"/>
        <v>2089296.1308540432</v>
      </c>
      <c r="P550" s="48" t="str">
        <f t="shared" si="322"/>
        <v>304.285714285714</v>
      </c>
      <c r="Q550" s="17" t="str">
        <f t="shared" si="323"/>
        <v>1+683564.281000763i</v>
      </c>
      <c r="R550" s="17">
        <f t="shared" si="331"/>
        <v>683564.28100149438</v>
      </c>
      <c r="S550" s="17">
        <f t="shared" si="332"/>
        <v>1.5707948638746889</v>
      </c>
      <c r="T550" s="17" t="str">
        <f t="shared" si="324"/>
        <v>1+14.1776295318676i</v>
      </c>
      <c r="U550" s="17">
        <f t="shared" si="333"/>
        <v>14.212852603994888</v>
      </c>
      <c r="V550" s="17">
        <f t="shared" si="334"/>
        <v>1.500379294223412</v>
      </c>
      <c r="W550" s="31" t="str">
        <f t="shared" si="325"/>
        <v>1-44.3050922870864i</v>
      </c>
      <c r="X550" s="17">
        <f t="shared" si="335"/>
        <v>44.316376234607027</v>
      </c>
      <c r="Y550" s="17">
        <f t="shared" si="336"/>
        <v>-1.5482293895181387</v>
      </c>
      <c r="Z550" s="31" t="str">
        <f t="shared" si="326"/>
        <v>-273.082489395099+390.835117969324i</v>
      </c>
      <c r="AA550" s="17">
        <f t="shared" si="337"/>
        <v>476.78730630368068</v>
      </c>
      <c r="AB550" s="17">
        <f t="shared" si="338"/>
        <v>2.1806595777508306</v>
      </c>
      <c r="AC550" s="66" t="str">
        <f t="shared" si="339"/>
        <v>-0.000465388063594461+0.000359486714186567i</v>
      </c>
      <c r="AD550" s="64">
        <f t="shared" si="340"/>
        <v>-64.611539782891953</v>
      </c>
      <c r="AE550" s="61">
        <f t="shared" si="341"/>
        <v>142.31588494956429</v>
      </c>
      <c r="AF550" s="31" t="str">
        <f t="shared" si="327"/>
        <v>-0.000495863624968664</v>
      </c>
      <c r="AG550" s="31" t="str">
        <f t="shared" si="328"/>
        <v>2.89748739840169i</v>
      </c>
      <c r="AH550" s="31">
        <f t="shared" si="342"/>
        <v>2.8974873984016898</v>
      </c>
      <c r="AI550" s="31">
        <f t="shared" si="343"/>
        <v>1.5707963267948966</v>
      </c>
      <c r="AJ550" s="31" t="str">
        <f t="shared" si="329"/>
        <v>1+11.3051050997132i</v>
      </c>
      <c r="AK550" s="31">
        <f t="shared" si="344"/>
        <v>11.349246728993137</v>
      </c>
      <c r="AL550" s="31">
        <f t="shared" si="345"/>
        <v>1.4825703407821322</v>
      </c>
      <c r="AM550" s="31" t="str">
        <f t="shared" si="330"/>
        <v>1+3465.64277445653i</v>
      </c>
      <c r="AN550" s="31">
        <f t="shared" si="346"/>
        <v>3465.6429187299077</v>
      </c>
      <c r="AO550" s="31">
        <f t="shared" si="347"/>
        <v>1.5705077800411407</v>
      </c>
      <c r="AP550" s="58" t="str">
        <f t="shared" si="348"/>
        <v>-0.00458956377059181+0.0520566365197146i</v>
      </c>
      <c r="AQ550" s="49">
        <f t="shared" si="349"/>
        <v>-25.636850582172013</v>
      </c>
      <c r="AR550" s="61">
        <f t="shared" si="350"/>
        <v>95.038444130729218</v>
      </c>
      <c r="AS550" s="58" t="str">
        <f t="shared" si="351"/>
        <v>-0.0000165777410181376-0.0000258764244665904i</v>
      </c>
      <c r="AT550" s="64">
        <f t="shared" si="352"/>
        <v>-90.248390365063997</v>
      </c>
      <c r="AU550" s="61">
        <f t="shared" si="353"/>
        <v>-122.64567091970648</v>
      </c>
    </row>
    <row r="551" spans="14:47" x14ac:dyDescent="0.25">
      <c r="N551" s="10">
        <v>33</v>
      </c>
      <c r="O551" s="50">
        <f t="shared" si="321"/>
        <v>2137962.0895022359</v>
      </c>
      <c r="P551" s="48" t="str">
        <f t="shared" si="322"/>
        <v>304.285714285714</v>
      </c>
      <c r="Q551" s="17" t="str">
        <f t="shared" si="323"/>
        <v>1+699486.538521511i</v>
      </c>
      <c r="R551" s="17">
        <f t="shared" si="331"/>
        <v>699486.5385222258</v>
      </c>
      <c r="S551" s="17">
        <f t="shared" si="332"/>
        <v>1.5707948971748182</v>
      </c>
      <c r="T551" s="17" t="str">
        <f t="shared" si="324"/>
        <v>1+14.5078689471128i</v>
      </c>
      <c r="U551" s="17">
        <f t="shared" si="333"/>
        <v>14.542292164119104</v>
      </c>
      <c r="V551" s="17">
        <f t="shared" si="334"/>
        <v>1.5019770668394179</v>
      </c>
      <c r="W551" s="31" t="str">
        <f t="shared" si="325"/>
        <v>1-45.3370904597275i</v>
      </c>
      <c r="X551" s="17">
        <f t="shared" si="335"/>
        <v>45.348117616429398</v>
      </c>
      <c r="Y551" s="17">
        <f t="shared" si="336"/>
        <v>-1.5487429072473802</v>
      </c>
      <c r="Z551" s="31" t="str">
        <f t="shared" si="326"/>
        <v>-285.999599166465+399.938837355231i</v>
      </c>
      <c r="AA551" s="17">
        <f t="shared" si="337"/>
        <v>491.67758170210743</v>
      </c>
      <c r="AB551" s="17">
        <f t="shared" si="338"/>
        <v>2.1915903142847721</v>
      </c>
      <c r="AC551" s="66" t="str">
        <f t="shared" si="339"/>
        <v>-0.000458214861667078+0.000361205151167334i</v>
      </c>
      <c r="AD551" s="64">
        <f t="shared" si="340"/>
        <v>-64.679721488171097</v>
      </c>
      <c r="AE551" s="61">
        <f t="shared" si="341"/>
        <v>141.75172120017109</v>
      </c>
      <c r="AF551" s="31" t="str">
        <f t="shared" si="327"/>
        <v>-0.000495863624968664</v>
      </c>
      <c r="AG551" s="31" t="str">
        <f t="shared" si="328"/>
        <v>2.96497855000624i</v>
      </c>
      <c r="AH551" s="31">
        <f t="shared" si="342"/>
        <v>2.96497855000624</v>
      </c>
      <c r="AI551" s="31">
        <f t="shared" si="343"/>
        <v>1.5707963267948966</v>
      </c>
      <c r="AJ551" s="31" t="str">
        <f t="shared" si="329"/>
        <v>1+11.5684348255339i</v>
      </c>
      <c r="AK551" s="31">
        <f t="shared" si="344"/>
        <v>11.6115754449009</v>
      </c>
      <c r="AL551" s="31">
        <f t="shared" si="345"/>
        <v>1.484568554748539</v>
      </c>
      <c r="AM551" s="31" t="str">
        <f t="shared" si="330"/>
        <v>1+3546.36796484979i</v>
      </c>
      <c r="AN551" s="31">
        <f t="shared" si="346"/>
        <v>3546.3681058391053</v>
      </c>
      <c r="AO551" s="31">
        <f t="shared" si="347"/>
        <v>1.5705143481667883</v>
      </c>
      <c r="AP551" s="58" t="str">
        <f t="shared" si="348"/>
        <v>-0.00438453142480959+0.0508894062349143i</v>
      </c>
      <c r="AQ551" s="49">
        <f t="shared" si="349"/>
        <v>-25.835332813701697</v>
      </c>
      <c r="AR551" s="61">
        <f t="shared" si="350"/>
        <v>94.924331229768924</v>
      </c>
      <c r="AS551" s="58" t="str">
        <f t="shared" si="351"/>
        <v>-0.000016372458211604-0.0000249019975743473i</v>
      </c>
      <c r="AT551" s="64">
        <f t="shared" si="352"/>
        <v>-90.515054301872794</v>
      </c>
      <c r="AU551" s="61">
        <f t="shared" si="353"/>
        <v>-123.32394757005994</v>
      </c>
    </row>
    <row r="552" spans="14:47" x14ac:dyDescent="0.25">
      <c r="N552" s="10">
        <v>34</v>
      </c>
      <c r="O552" s="50">
        <f t="shared" si="321"/>
        <v>2187761.6239495561</v>
      </c>
      <c r="P552" s="48" t="str">
        <f t="shared" si="322"/>
        <v>304.285714285714</v>
      </c>
      <c r="Q552" s="17" t="str">
        <f t="shared" si="323"/>
        <v>1+715779.673063785i</v>
      </c>
      <c r="R552" s="17">
        <f t="shared" si="331"/>
        <v>715779.67306448345</v>
      </c>
      <c r="S552" s="17">
        <f t="shared" si="332"/>
        <v>1.5707949297169443</v>
      </c>
      <c r="T552" s="17" t="str">
        <f t="shared" si="324"/>
        <v>1+14.8458006265081i</v>
      </c>
      <c r="U552" s="17">
        <f t="shared" si="333"/>
        <v>14.879442067565176</v>
      </c>
      <c r="V552" s="17">
        <f t="shared" si="334"/>
        <v>1.5035388098488482</v>
      </c>
      <c r="W552" s="31" t="str">
        <f t="shared" si="325"/>
        <v>1-46.3931269578378i</v>
      </c>
      <c r="X552" s="17">
        <f t="shared" si="335"/>
        <v>46.403903164777596</v>
      </c>
      <c r="Y552" s="17">
        <f t="shared" si="336"/>
        <v>-1.5492447471269502</v>
      </c>
      <c r="Z552" s="31" t="str">
        <f t="shared" si="326"/>
        <v>-299.525473566371+409.25460960652i</v>
      </c>
      <c r="AA552" s="17">
        <f t="shared" si="337"/>
        <v>507.15366980762735</v>
      </c>
      <c r="AB552" s="17">
        <f t="shared" si="338"/>
        <v>2.2025997538795945</v>
      </c>
      <c r="AC552" s="66" t="str">
        <f t="shared" si="339"/>
        <v>-0.000450938972605209+0.000362802048645311i</v>
      </c>
      <c r="AD552" s="64">
        <f t="shared" si="340"/>
        <v>-64.749924226507034</v>
      </c>
      <c r="AE552" s="61">
        <f t="shared" si="341"/>
        <v>141.18165288809067</v>
      </c>
      <c r="AF552" s="31" t="str">
        <f t="shared" si="327"/>
        <v>-0.000495863624968664</v>
      </c>
      <c r="AG552" s="31" t="str">
        <f t="shared" si="328"/>
        <v>3.03404177248414i</v>
      </c>
      <c r="AH552" s="31">
        <f t="shared" si="342"/>
        <v>3.03404177248414</v>
      </c>
      <c r="AI552" s="31">
        <f t="shared" si="343"/>
        <v>1.5707963267948966</v>
      </c>
      <c r="AJ552" s="31" t="str">
        <f t="shared" si="329"/>
        <v>1+11.8378982886255i</v>
      </c>
      <c r="AK552" s="31">
        <f t="shared" si="344"/>
        <v>11.880060433004646</v>
      </c>
      <c r="AL552" s="31">
        <f t="shared" si="345"/>
        <v>1.4865219510674164</v>
      </c>
      <c r="AM552" s="31" t="str">
        <f t="shared" si="330"/>
        <v>1+3628.97348647975i</v>
      </c>
      <c r="AN552" s="31">
        <f t="shared" si="346"/>
        <v>3628.9736242597569</v>
      </c>
      <c r="AO552" s="31">
        <f t="shared" si="347"/>
        <v>1.5705207667836663</v>
      </c>
      <c r="AP552" s="58" t="str">
        <f t="shared" si="348"/>
        <v>-0.00418859320596269+0.0497475736992457i</v>
      </c>
      <c r="AQ552" s="49">
        <f t="shared" si="349"/>
        <v>-26.03388286073098</v>
      </c>
      <c r="AR552" s="61">
        <f t="shared" si="350"/>
        <v>94.812777624638258</v>
      </c>
      <c r="AS552" s="58" t="str">
        <f t="shared" si="351"/>
        <v>-0.000016159721736262-0.0000239527499696049i</v>
      </c>
      <c r="AT552" s="64">
        <f t="shared" si="352"/>
        <v>-90.783807087238003</v>
      </c>
      <c r="AU552" s="61">
        <f t="shared" si="353"/>
        <v>-124.00556948727109</v>
      </c>
    </row>
    <row r="553" spans="14:47" x14ac:dyDescent="0.25">
      <c r="N553" s="10">
        <v>35</v>
      </c>
      <c r="O553" s="50">
        <f t="shared" si="321"/>
        <v>2238721.1385683389</v>
      </c>
      <c r="P553" s="48" t="str">
        <f t="shared" si="322"/>
        <v>304.285714285714</v>
      </c>
      <c r="Q553" s="17" t="str">
        <f t="shared" si="323"/>
        <v>1+732452.323463177i</v>
      </c>
      <c r="R553" s="17">
        <f t="shared" si="331"/>
        <v>732452.32346385974</v>
      </c>
      <c r="S553" s="17">
        <f t="shared" si="332"/>
        <v>1.570794961518321</v>
      </c>
      <c r="T553" s="17" t="str">
        <f t="shared" si="324"/>
        <v>1+15.1916037459029i</v>
      </c>
      <c r="U553" s="17">
        <f t="shared" si="333"/>
        <v>15.22448108713499</v>
      </c>
      <c r="V553" s="17">
        <f t="shared" si="334"/>
        <v>1.505065320818139</v>
      </c>
      <c r="W553" s="31" t="str">
        <f t="shared" si="325"/>
        <v>1-47.4737617059466i</v>
      </c>
      <c r="X553" s="17">
        <f t="shared" si="335"/>
        <v>47.484292671503511</v>
      </c>
      <c r="Y553" s="17">
        <f t="shared" si="336"/>
        <v>-1.549735174227336</v>
      </c>
      <c r="Z553" s="31" t="str">
        <f t="shared" si="326"/>
        <v>-313.68880278786+418.787374068946i</v>
      </c>
      <c r="AA553" s="17">
        <f t="shared" si="337"/>
        <v>523.24327962625978</v>
      </c>
      <c r="AB553" s="17">
        <f t="shared" si="338"/>
        <v>2.2136832237219215</v>
      </c>
      <c r="AC553" s="66" t="str">
        <f t="shared" si="339"/>
        <v>-0.000443565760467071+0.000364271521289686i</v>
      </c>
      <c r="AD553" s="64">
        <f t="shared" si="340"/>
        <v>-64.822179690909351</v>
      </c>
      <c r="AE553" s="61">
        <f t="shared" si="341"/>
        <v>140.6059782545901</v>
      </c>
      <c r="AF553" s="31" t="str">
        <f t="shared" si="327"/>
        <v>-0.000495863624968664</v>
      </c>
      <c r="AG553" s="31" t="str">
        <f t="shared" si="328"/>
        <v>3.10471368407009i</v>
      </c>
      <c r="AH553" s="31">
        <f t="shared" si="342"/>
        <v>3.1047136840700902</v>
      </c>
      <c r="AI553" s="31">
        <f t="shared" si="343"/>
        <v>1.5707963267948966</v>
      </c>
      <c r="AJ553" s="31" t="str">
        <f t="shared" si="329"/>
        <v>1+12.1136383620827i</v>
      </c>
      <c r="AK553" s="31">
        <f t="shared" si="344"/>
        <v>12.154844070053784</v>
      </c>
      <c r="AL553" s="31">
        <f t="shared" si="345"/>
        <v>1.4884315057927409</v>
      </c>
      <c r="AM553" s="31" t="str">
        <f t="shared" si="330"/>
        <v>1+3713.50313788737i</v>
      </c>
      <c r="AN553" s="31">
        <f t="shared" si="346"/>
        <v>3713.5032725311212</v>
      </c>
      <c r="AO553" s="31">
        <f t="shared" si="347"/>
        <v>1.5705270392950086</v>
      </c>
      <c r="AP553" s="58" t="str">
        <f t="shared" si="348"/>
        <v>-0.00400135146573988+0.0486306377728539i</v>
      </c>
      <c r="AQ553" s="49">
        <f t="shared" si="349"/>
        <v>-26.232497714341569</v>
      </c>
      <c r="AR553" s="61">
        <f t="shared" si="350"/>
        <v>94.703727586554777</v>
      </c>
      <c r="AS553" s="58" t="str">
        <f t="shared" si="351"/>
        <v>-0.0000159398938970082-0.0000230284642113544i</v>
      </c>
      <c r="AT553" s="64">
        <f t="shared" si="352"/>
        <v>-91.054677405250928</v>
      </c>
      <c r="AU553" s="61">
        <f t="shared" si="353"/>
        <v>-124.69029415885507</v>
      </c>
    </row>
    <row r="554" spans="14:47" x14ac:dyDescent="0.25">
      <c r="N554" s="10">
        <v>36</v>
      </c>
      <c r="O554" s="50">
        <f t="shared" si="321"/>
        <v>2290867.6527677765</v>
      </c>
      <c r="P554" s="48" t="str">
        <f t="shared" si="322"/>
        <v>304.285714285714</v>
      </c>
      <c r="Q554" s="17" t="str">
        <f t="shared" si="323"/>
        <v>1+749513.32977963i</v>
      </c>
      <c r="R554" s="17">
        <f t="shared" si="331"/>
        <v>749513.329780297</v>
      </c>
      <c r="S554" s="17">
        <f t="shared" si="332"/>
        <v>1.57079499259581</v>
      </c>
      <c r="T554" s="17" t="str">
        <f t="shared" si="324"/>
        <v>1+15.5454616546886i</v>
      </c>
      <c r="U554" s="17">
        <f t="shared" si="333"/>
        <v>15.577592177785167</v>
      </c>
      <c r="V554" s="17">
        <f t="shared" si="334"/>
        <v>1.5065573806505528</v>
      </c>
      <c r="W554" s="31" t="str">
        <f t="shared" si="325"/>
        <v>1-48.5795676709019i</v>
      </c>
      <c r="X554" s="17">
        <f t="shared" si="335"/>
        <v>48.589858973779052</v>
      </c>
      <c r="Y554" s="17">
        <f t="shared" si="336"/>
        <v>-1.5502144476352815</v>
      </c>
      <c r="Z554" s="31" t="str">
        <f t="shared" si="326"/>
        <v>-328.519629151132+428.542185140414i</v>
      </c>
      <c r="AA554" s="17">
        <f t="shared" si="337"/>
        <v>539.9755097988409</v>
      </c>
      <c r="AB554" s="17">
        <f t="shared" si="338"/>
        <v>2.2248358719850723</v>
      </c>
      <c r="AC554" s="66" t="str">
        <f t="shared" si="339"/>
        <v>-0.0004361009606507+0.000365607944361459i</v>
      </c>
      <c r="AD554" s="64">
        <f t="shared" si="340"/>
        <v>-64.896517847058064</v>
      </c>
      <c r="AE554" s="61">
        <f t="shared" si="341"/>
        <v>140.02500518577887</v>
      </c>
      <c r="AF554" s="31" t="str">
        <f t="shared" si="327"/>
        <v>-0.000495863624968664</v>
      </c>
      <c r="AG554" s="31" t="str">
        <f t="shared" si="328"/>
        <v>3.17703175594709i</v>
      </c>
      <c r="AH554" s="31">
        <f t="shared" si="342"/>
        <v>3.1770317559470902</v>
      </c>
      <c r="AI554" s="31">
        <f t="shared" si="343"/>
        <v>1.5707963267948966</v>
      </c>
      <c r="AJ554" s="31" t="str">
        <f t="shared" si="329"/>
        <v>1+12.3958012469426i</v>
      </c>
      <c r="AK554" s="31">
        <f t="shared" si="344"/>
        <v>12.436072070943611</v>
      </c>
      <c r="AL554" s="31">
        <f t="shared" si="345"/>
        <v>1.4902981756607288</v>
      </c>
      <c r="AM554" s="31" t="str">
        <f t="shared" si="330"/>
        <v>1+3800.00173781276i</v>
      </c>
      <c r="AN554" s="31">
        <f t="shared" si="346"/>
        <v>3800.001869391645</v>
      </c>
      <c r="AO554" s="31">
        <f t="shared" si="347"/>
        <v>1.5705331690265816</v>
      </c>
      <c r="AP554" s="58" t="str">
        <f t="shared" si="348"/>
        <v>-0.00382242544310986+0.0475381037160278i</v>
      </c>
      <c r="AQ554" s="49">
        <f t="shared" si="349"/>
        <v>-26.431174497269367</v>
      </c>
      <c r="AR554" s="61">
        <f t="shared" si="350"/>
        <v>94.597126489123525</v>
      </c>
      <c r="AS554" s="58" t="str">
        <f t="shared" si="351"/>
        <v>-0.0000157133449707029-0.0000221289218068027i</v>
      </c>
      <c r="AT554" s="64">
        <f t="shared" si="352"/>
        <v>-91.327692344327417</v>
      </c>
      <c r="AU554" s="61">
        <f t="shared" si="353"/>
        <v>-125.37786832509762</v>
      </c>
    </row>
    <row r="555" spans="14:47" x14ac:dyDescent="0.25">
      <c r="N555" s="10">
        <v>37</v>
      </c>
      <c r="O555" s="50">
        <f t="shared" si="321"/>
        <v>2344228.8153199251</v>
      </c>
      <c r="P555" s="48" t="str">
        <f t="shared" si="322"/>
        <v>304.285714285714</v>
      </c>
      <c r="Q555" s="17" t="str">
        <f t="shared" si="323"/>
        <v>1+766971.73798451i</v>
      </c>
      <c r="R555" s="17">
        <f t="shared" si="331"/>
        <v>766971.73798516195</v>
      </c>
      <c r="S555" s="17">
        <f t="shared" si="332"/>
        <v>1.5707950229658889</v>
      </c>
      <c r="T555" s="17" t="str">
        <f t="shared" si="324"/>
        <v>1+15.907561973012i</v>
      </c>
      <c r="U555" s="17">
        <f t="shared" si="333"/>
        <v>15.938962573681433</v>
      </c>
      <c r="V555" s="17">
        <f t="shared" si="334"/>
        <v>1.5080157538674941</v>
      </c>
      <c r="W555" s="31" t="str">
        <f t="shared" si="325"/>
        <v>1-49.7111311656626i</v>
      </c>
      <c r="X555" s="17">
        <f t="shared" si="335"/>
        <v>49.721188257821346</v>
      </c>
      <c r="Y555" s="17">
        <f t="shared" si="336"/>
        <v>-1.5506828205866623</v>
      </c>
      <c r="Z555" s="31" t="str">
        <f t="shared" si="326"/>
        <v>-344.049410827296+438.524214950867i</v>
      </c>
      <c r="AA555" s="17">
        <f t="shared" si="337"/>
        <v>557.38091480502248</v>
      </c>
      <c r="AB555" s="17">
        <f t="shared" si="338"/>
        <v>2.2360526766868078</v>
      </c>
      <c r="AC555" s="66" t="str">
        <f t="shared" si="339"/>
        <v>-0.000428550665428633+0.000366805982444328i</v>
      </c>
      <c r="AD555" s="64">
        <f t="shared" si="340"/>
        <v>-64.97296683372825</v>
      </c>
      <c r="AE555" s="61">
        <f t="shared" si="341"/>
        <v>139.43905071360302</v>
      </c>
      <c r="AF555" s="31" t="str">
        <f t="shared" si="327"/>
        <v>-0.000495863624968664</v>
      </c>
      <c r="AG555" s="31" t="str">
        <f t="shared" si="328"/>
        <v>3.25103433211408i</v>
      </c>
      <c r="AH555" s="31">
        <f t="shared" si="342"/>
        <v>3.25103433211408</v>
      </c>
      <c r="AI555" s="31">
        <f t="shared" si="343"/>
        <v>1.5707963267948966</v>
      </c>
      <c r="AJ555" s="31" t="str">
        <f t="shared" si="329"/>
        <v>1+12.6845365497015i</v>
      </c>
      <c r="AK555" s="31">
        <f t="shared" si="344"/>
        <v>12.723893566071403</v>
      </c>
      <c r="AL555" s="31">
        <f t="shared" si="345"/>
        <v>1.4921228983408268</v>
      </c>
      <c r="AM555" s="31" t="str">
        <f t="shared" si="330"/>
        <v>1+3888.51514895849i</v>
      </c>
      <c r="AN555" s="31">
        <f t="shared" si="346"/>
        <v>3888.5152775422739</v>
      </c>
      <c r="AO555" s="31">
        <f t="shared" si="347"/>
        <v>1.5705391592284483</v>
      </c>
      <c r="AP555" s="58" t="str">
        <f t="shared" si="348"/>
        <v>-0.00365145059112717+0.046469483363685i</v>
      </c>
      <c r="AQ555" s="49">
        <f t="shared" si="349"/>
        <v>-26.629910458305499</v>
      </c>
      <c r="AR555" s="61">
        <f t="shared" si="350"/>
        <v>94.492920794057511</v>
      </c>
      <c r="AS555" s="58" t="str">
        <f t="shared" si="351"/>
        <v>-0.0000154804529182895-0.0000212539019390573i</v>
      </c>
      <c r="AT555" s="64">
        <f t="shared" si="352"/>
        <v>-91.602877292033753</v>
      </c>
      <c r="AU555" s="61">
        <f t="shared" si="353"/>
        <v>-126.06802849233947</v>
      </c>
    </row>
    <row r="556" spans="14:47" x14ac:dyDescent="0.25">
      <c r="N556" s="10">
        <v>38</v>
      </c>
      <c r="O556" s="50">
        <f t="shared" si="321"/>
        <v>2398832.9190194933</v>
      </c>
      <c r="P556" s="48" t="str">
        <f t="shared" si="322"/>
        <v>304.285714285714</v>
      </c>
      <c r="Q556" s="17" t="str">
        <f t="shared" si="323"/>
        <v>1+784836.804756937i</v>
      </c>
      <c r="R556" s="17">
        <f t="shared" si="331"/>
        <v>784836.80475757411</v>
      </c>
      <c r="S556" s="17">
        <f t="shared" si="332"/>
        <v>1.5707950526446606</v>
      </c>
      <c r="T556" s="17" t="str">
        <f t="shared" si="324"/>
        <v>1+16.278096691255i</v>
      </c>
      <c r="U556" s="17">
        <f t="shared" si="333"/>
        <v>16.308783887520462</v>
      </c>
      <c r="V556" s="17">
        <f t="shared" si="334"/>
        <v>1.5094411888897985</v>
      </c>
      <c r="W556" s="31" t="str">
        <f t="shared" si="325"/>
        <v>1-50.8690521601718i</v>
      </c>
      <c r="X556" s="17">
        <f t="shared" si="335"/>
        <v>50.87888036970034</v>
      </c>
      <c r="Y556" s="17">
        <f t="shared" si="336"/>
        <v>-1.5511405405965577</v>
      </c>
      <c r="Z556" s="31" t="str">
        <f t="shared" si="326"/>
        <v>-360.311088565403+448.73875610464i</v>
      </c>
      <c r="AA556" s="17">
        <f t="shared" si="337"/>
        <v>575.49157402478556</v>
      </c>
      <c r="AB556" s="17">
        <f t="shared" si="338"/>
        <v>2.2473284554938289</v>
      </c>
      <c r="AC556" s="66" t="str">
        <f t="shared" si="339"/>
        <v>-0.00042092130682524+0.000367860617297958i</v>
      </c>
      <c r="AD556" s="64">
        <f t="shared" si="340"/>
        <v>-65.051552867535321</v>
      </c>
      <c r="AE556" s="61">
        <f t="shared" si="341"/>
        <v>138.84844046275168</v>
      </c>
      <c r="AF556" s="31" t="str">
        <f t="shared" si="327"/>
        <v>-0.000495863624968664</v>
      </c>
      <c r="AG556" s="31" t="str">
        <f t="shared" si="328"/>
        <v>3.32676064971648i</v>
      </c>
      <c r="AH556" s="31">
        <f t="shared" si="342"/>
        <v>3.3267606497164799</v>
      </c>
      <c r="AI556" s="31">
        <f t="shared" si="343"/>
        <v>1.5707963267948966</v>
      </c>
      <c r="AJ556" s="31" t="str">
        <f t="shared" si="329"/>
        <v>1+12.9799973616386i</v>
      </c>
      <c r="AK556" s="31">
        <f t="shared" si="344"/>
        <v>13.018461180498448</v>
      </c>
      <c r="AL556" s="31">
        <f t="shared" si="345"/>
        <v>1.4939065926930775</v>
      </c>
      <c r="AM556" s="31" t="str">
        <f t="shared" si="330"/>
        <v>1+3979.09030230677i</v>
      </c>
      <c r="AN556" s="31">
        <f t="shared" si="346"/>
        <v>3979.0904279636302</v>
      </c>
      <c r="AO556" s="31">
        <f t="shared" si="347"/>
        <v>1.5705450130766914</v>
      </c>
      <c r="AP556" s="58" t="str">
        <f t="shared" si="348"/>
        <v>-0.00348807792664738+0.0454242952760088i</v>
      </c>
      <c r="AQ556" s="49">
        <f t="shared" si="349"/>
        <v>-26.828702966921476</v>
      </c>
      <c r="AR556" s="61">
        <f t="shared" si="350"/>
        <v>94.391058036530467</v>
      </c>
      <c r="AS556" s="58" t="str">
        <f t="shared" si="351"/>
        <v>-0.0000152416029813646-0.0000204031802284731i</v>
      </c>
      <c r="AT556" s="64">
        <f t="shared" si="352"/>
        <v>-91.88025583445679</v>
      </c>
      <c r="AU556" s="61">
        <f t="shared" si="353"/>
        <v>-126.76050150071778</v>
      </c>
    </row>
    <row r="557" spans="14:47" x14ac:dyDescent="0.25">
      <c r="N557" s="10">
        <v>39</v>
      </c>
      <c r="O557" s="50">
        <f t="shared" si="321"/>
        <v>2454708.915685033</v>
      </c>
      <c r="P557" s="48" t="str">
        <f t="shared" si="322"/>
        <v>304.285714285714</v>
      </c>
      <c r="Q557" s="17" t="str">
        <f t="shared" si="323"/>
        <v>1+803118.002391791i</v>
      </c>
      <c r="R557" s="17">
        <f t="shared" si="331"/>
        <v>803118.00239241356</v>
      </c>
      <c r="S557" s="17">
        <f t="shared" si="332"/>
        <v>1.5707950816478609</v>
      </c>
      <c r="T557" s="17" t="str">
        <f t="shared" si="324"/>
        <v>1+16.6572622718297i</v>
      </c>
      <c r="U557" s="17">
        <f t="shared" si="333"/>
        <v>16.68725221216846</v>
      </c>
      <c r="V557" s="17">
        <f t="shared" si="334"/>
        <v>1.5108344183185742</v>
      </c>
      <c r="W557" s="31" t="str">
        <f t="shared" si="325"/>
        <v>1-52.0539445994678i</v>
      </c>
      <c r="X557" s="17">
        <f t="shared" si="335"/>
        <v>52.063549133385663</v>
      </c>
      <c r="Y557" s="17">
        <f t="shared" si="336"/>
        <v>-1.5515878495865687</v>
      </c>
      <c r="Z557" s="31" t="str">
        <f t="shared" si="326"/>
        <v>-377.339155564179+459.19122448666i</v>
      </c>
      <c r="AA557" s="17">
        <f t="shared" si="337"/>
        <v>594.34116378343333</v>
      </c>
      <c r="AB557" s="17">
        <f t="shared" si="338"/>
        <v>2.258657876438976</v>
      </c>
      <c r="AC557" s="66" t="str">
        <f t="shared" si="339"/>
        <v>-0.000413219636892721+0.000368767174552975i</v>
      </c>
      <c r="AD557" s="64">
        <f t="shared" si="340"/>
        <v>-65.132300152769517</v>
      </c>
      <c r="AE557" s="61">
        <f t="shared" si="341"/>
        <v>138.25350804540315</v>
      </c>
      <c r="AF557" s="31" t="str">
        <f t="shared" si="327"/>
        <v>-0.000495863624968664</v>
      </c>
      <c r="AG557" s="31" t="str">
        <f t="shared" si="328"/>
        <v>3.40425085985024i</v>
      </c>
      <c r="AH557" s="31">
        <f t="shared" si="342"/>
        <v>3.4042508598502401</v>
      </c>
      <c r="AI557" s="31">
        <f t="shared" si="343"/>
        <v>1.5707963267948966</v>
      </c>
      <c r="AJ557" s="31" t="str">
        <f t="shared" si="329"/>
        <v>1+13.2823403399874i</v>
      </c>
      <c r="AK557" s="31">
        <f t="shared" si="344"/>
        <v>13.319931114959138</v>
      </c>
      <c r="AL557" s="31">
        <f t="shared" si="345"/>
        <v>1.4956501590309537</v>
      </c>
      <c r="AM557" s="31" t="str">
        <f t="shared" si="330"/>
        <v>1+4071.77522200281i</v>
      </c>
      <c r="AN557" s="31">
        <f t="shared" si="346"/>
        <v>4071.7753447993705</v>
      </c>
      <c r="AO557" s="31">
        <f t="shared" si="347"/>
        <v>1.570550733675097</v>
      </c>
      <c r="AP557" s="58" t="str">
        <f t="shared" si="348"/>
        <v>-0.00333197340253909+0.0444020648669475i</v>
      </c>
      <c r="AQ557" s="49">
        <f t="shared" si="349"/>
        <v>-27.027549508110866</v>
      </c>
      <c r="AR557" s="61">
        <f t="shared" si="350"/>
        <v>94.291486810213996</v>
      </c>
      <c r="AS557" s="58" t="str">
        <f t="shared" si="351"/>
        <v>-0.0000149971871657687-0.0000195765275389471i</v>
      </c>
      <c r="AT557" s="64">
        <f t="shared" si="352"/>
        <v>-92.159849660880383</v>
      </c>
      <c r="AU557" s="61">
        <f t="shared" si="353"/>
        <v>-127.45500514438277</v>
      </c>
    </row>
    <row r="558" spans="14:47" x14ac:dyDescent="0.25">
      <c r="N558" s="10">
        <v>40</v>
      </c>
      <c r="O558" s="50">
        <f t="shared" si="321"/>
        <v>2511886.431509587</v>
      </c>
      <c r="P558" s="48" t="str">
        <f t="shared" si="322"/>
        <v>304.285714285714</v>
      </c>
      <c r="Q558" s="17" t="str">
        <f t="shared" si="323"/>
        <v>1+821825.02382204i</v>
      </c>
      <c r="R558" s="17">
        <f t="shared" si="331"/>
        <v>821825.02382264833</v>
      </c>
      <c r="S558" s="17">
        <f t="shared" si="332"/>
        <v>1.5707951099908677</v>
      </c>
      <c r="T558" s="17" t="str">
        <f t="shared" si="324"/>
        <v>1+17.045259753346i</v>
      </c>
      <c r="U558" s="17">
        <f t="shared" si="333"/>
        <v>17.074568224673701</v>
      </c>
      <c r="V558" s="17">
        <f t="shared" si="334"/>
        <v>1.5121961592152373</v>
      </c>
      <c r="W558" s="31" t="str">
        <f t="shared" si="325"/>
        <v>1-53.2664367292063i</v>
      </c>
      <c r="X558" s="17">
        <f t="shared" si="335"/>
        <v>53.275822676205927</v>
      </c>
      <c r="Y558" s="17">
        <f t="shared" si="336"/>
        <v>-1.5520249840094329</v>
      </c>
      <c r="Z558" s="31" t="str">
        <f t="shared" si="326"/>
        <v>-395.169730636725+469.88716213402i</v>
      </c>
      <c r="AA558" s="17">
        <f t="shared" si="337"/>
        <v>613.96503251395723</v>
      </c>
      <c r="AB558" s="17">
        <f t="shared" si="338"/>
        <v>2.2700354695079525</v>
      </c>
      <c r="AC558" s="66" t="str">
        <f t="shared" si="339"/>
        <v>-0.000405452705474953+0.00036952134897018i</v>
      </c>
      <c r="AD558" s="64">
        <f t="shared" si="340"/>
        <v>-65.215230797067164</v>
      </c>
      <c r="AE558" s="61">
        <f t="shared" si="341"/>
        <v>137.65459440625796</v>
      </c>
      <c r="AF558" s="31" t="str">
        <f t="shared" si="327"/>
        <v>-0.000495863624968664</v>
      </c>
      <c r="AG558" s="31" t="str">
        <f t="shared" si="328"/>
        <v>3.48354604885049i</v>
      </c>
      <c r="AH558" s="31">
        <f t="shared" si="342"/>
        <v>3.4835460488504899</v>
      </c>
      <c r="AI558" s="31">
        <f t="shared" si="343"/>
        <v>1.5707963267948966</v>
      </c>
      <c r="AJ558" s="31" t="str">
        <f t="shared" si="329"/>
        <v>1+13.5917257909971i</v>
      </c>
      <c r="AK558" s="31">
        <f t="shared" si="344"/>
        <v>13.628463228759719</v>
      </c>
      <c r="AL558" s="31">
        <f t="shared" si="345"/>
        <v>1.4973544793888292</v>
      </c>
      <c r="AM558" s="31" t="str">
        <f t="shared" si="330"/>
        <v>1+4166.61905081791i</v>
      </c>
      <c r="AN558" s="31">
        <f t="shared" si="346"/>
        <v>4166.6191708192791</v>
      </c>
      <c r="AO558" s="31">
        <f t="shared" si="347"/>
        <v>1.5705563240568006</v>
      </c>
      <c r="AP558" s="58" t="str">
        <f t="shared" si="348"/>
        <v>-0.00318281730194839+0.043402324512192i</v>
      </c>
      <c r="AQ558" s="49">
        <f t="shared" si="349"/>
        <v>-27.226447677439086</v>
      </c>
      <c r="AR558" s="61">
        <f t="shared" si="350"/>
        <v>94.194156752046993</v>
      </c>
      <c r="AS558" s="58" t="str">
        <f t="shared" si="351"/>
        <v>-0.0000147476036160792-0.0000187737088403117i</v>
      </c>
      <c r="AT558" s="64">
        <f t="shared" si="352"/>
        <v>-92.441678474506261</v>
      </c>
      <c r="AU558" s="61">
        <f t="shared" si="353"/>
        <v>-128.15124884169501</v>
      </c>
    </row>
    <row r="559" spans="14:47" x14ac:dyDescent="0.25">
      <c r="N559" s="10">
        <v>41</v>
      </c>
      <c r="O559" s="50">
        <f t="shared" si="321"/>
        <v>2570395.782768866</v>
      </c>
      <c r="P559" s="48" t="str">
        <f t="shared" si="322"/>
        <v>304.285714285714</v>
      </c>
      <c r="Q559" s="17" t="str">
        <f t="shared" si="323"/>
        <v>1+840967.787758056i</v>
      </c>
      <c r="R559" s="17">
        <f t="shared" si="331"/>
        <v>840967.78775865049</v>
      </c>
      <c r="S559" s="17">
        <f t="shared" si="332"/>
        <v>1.570795137688709</v>
      </c>
      <c r="T559" s="17" t="str">
        <f t="shared" si="324"/>
        <v>1+17.4422948572041i</v>
      </c>
      <c r="U559" s="17">
        <f t="shared" si="333"/>
        <v>17.470937292705525</v>
      </c>
      <c r="V559" s="17">
        <f t="shared" si="334"/>
        <v>1.5135271133803909</v>
      </c>
      <c r="W559" s="31" t="str">
        <f t="shared" si="325"/>
        <v>1-54.5071714287628i</v>
      </c>
      <c r="X559" s="17">
        <f t="shared" si="335"/>
        <v>54.51634376188975</v>
      </c>
      <c r="Y559" s="17">
        <f t="shared" si="336"/>
        <v>-1.5524521749709799</v>
      </c>
      <c r="Z559" s="31" t="str">
        <f t="shared" si="326"/>
        <v>-413.840634823348+480.832240174432i</v>
      </c>
      <c r="AA559" s="17">
        <f t="shared" si="337"/>
        <v>634.40027917881184</v>
      </c>
      <c r="AB559" s="17">
        <f t="shared" si="338"/>
        <v>2.2814556390432266</v>
      </c>
      <c r="AC559" s="66" t="str">
        <f t="shared" si="339"/>
        <v>-0.000397627835581642+0.000370119227993785i</v>
      </c>
      <c r="AD559" s="64">
        <f t="shared" si="340"/>
        <v>-65.300364733635831</v>
      </c>
      <c r="AE559" s="61">
        <f t="shared" si="341"/>
        <v>137.05204712083929</v>
      </c>
      <c r="AF559" s="31" t="str">
        <f t="shared" si="327"/>
        <v>-0.000495863624968664</v>
      </c>
      <c r="AG559" s="31" t="str">
        <f t="shared" si="328"/>
        <v>3.56468826007601i</v>
      </c>
      <c r="AH559" s="31">
        <f t="shared" si="342"/>
        <v>3.5646882600760099</v>
      </c>
      <c r="AI559" s="31">
        <f t="shared" si="343"/>
        <v>1.5707963267948966</v>
      </c>
      <c r="AJ559" s="31" t="str">
        <f t="shared" si="329"/>
        <v>1+13.9083177549289i</v>
      </c>
      <c r="AK559" s="31">
        <f t="shared" si="344"/>
        <v>13.944221124611818</v>
      </c>
      <c r="AL559" s="31">
        <f t="shared" si="345"/>
        <v>1.4990204177933169</v>
      </c>
      <c r="AM559" s="31" t="str">
        <f t="shared" si="330"/>
        <v>1+4263.67207620544i</v>
      </c>
      <c r="AN559" s="31">
        <f t="shared" si="346"/>
        <v>4263.672193475245</v>
      </c>
      <c r="AO559" s="31">
        <f t="shared" si="347"/>
        <v>1.5705617871858952</v>
      </c>
      <c r="AP559" s="58" t="str">
        <f t="shared" si="348"/>
        <v>-0.00304030365414396+0.0424246136381434i</v>
      </c>
      <c r="AQ559" s="49">
        <f t="shared" si="349"/>
        <v>-27.425395176294739</v>
      </c>
      <c r="AR559" s="61">
        <f t="shared" si="350"/>
        <v>94.099018526781137</v>
      </c>
      <c r="AS559" s="58" t="str">
        <f t="shared" si="351"/>
        <v>-0.000014493255886176-0.0000179944821376608i</v>
      </c>
      <c r="AT559" s="64">
        <f t="shared" si="352"/>
        <v>-92.725759909930588</v>
      </c>
      <c r="AU559" s="61">
        <f t="shared" si="353"/>
        <v>-128.84893435237953</v>
      </c>
    </row>
    <row r="560" spans="14:47" ht="15.75" thickBot="1" x14ac:dyDescent="0.3">
      <c r="N560" s="10">
        <v>42</v>
      </c>
      <c r="O560" s="50">
        <f t="shared" si="321"/>
        <v>2630267.9918953842</v>
      </c>
      <c r="P560" s="48" t="str">
        <f t="shared" si="322"/>
        <v>304.285714285714</v>
      </c>
      <c r="Q560" s="17" t="str">
        <f t="shared" si="323"/>
        <v>1+860556.443946666i</v>
      </c>
      <c r="R560" s="17">
        <f t="shared" si="331"/>
        <v>860556.44394724688</v>
      </c>
      <c r="S560" s="17">
        <f t="shared" si="332"/>
        <v>1.5707951647560705</v>
      </c>
      <c r="T560" s="17" t="str">
        <f t="shared" si="324"/>
        <v>1+17.8485780966715i</v>
      </c>
      <c r="U560" s="17">
        <f t="shared" si="333"/>
        <v>17.876569583479423</v>
      </c>
      <c r="V560" s="17">
        <f t="shared" si="334"/>
        <v>1.5148279676312493</v>
      </c>
      <c r="W560" s="31" t="str">
        <f t="shared" si="325"/>
        <v>1-55.7768065520986i</v>
      </c>
      <c r="X560" s="17">
        <f t="shared" si="335"/>
        <v>55.785770131371578</v>
      </c>
      <c r="Y560" s="17">
        <f t="shared" si="336"/>
        <v>-1.5528696483494824</v>
      </c>
      <c r="Z560" s="31" t="str">
        <f t="shared" si="326"/>
        <v>-433.391471615085+492.032261833152i</v>
      </c>
      <c r="AA560" s="17">
        <f t="shared" si="337"/>
        <v>655.68583510194605</v>
      </c>
      <c r="AB560" s="17">
        <f t="shared" si="338"/>
        <v>2.2929126769040122</v>
      </c>
      <c r="AC560" s="59" t="str">
        <f t="shared" si="339"/>
        <v>-0.000389752596527813+0.000370557313340407i</v>
      </c>
      <c r="AD560" s="65">
        <f t="shared" si="340"/>
        <v>-65.387719650709869</v>
      </c>
      <c r="AE560" s="63">
        <f t="shared" si="341"/>
        <v>136.44621965053784</v>
      </c>
      <c r="AF560" s="31" t="str">
        <f t="shared" si="327"/>
        <v>-0.000495863624968664</v>
      </c>
      <c r="AG560" s="31" t="str">
        <f t="shared" si="328"/>
        <v>3.64772051620125i</v>
      </c>
      <c r="AH560" s="31">
        <f t="shared" si="342"/>
        <v>3.6477205162012498</v>
      </c>
      <c r="AI560" s="31">
        <f t="shared" si="343"/>
        <v>1.5707963267948966</v>
      </c>
      <c r="AJ560" s="31" t="str">
        <f t="shared" si="329"/>
        <v>1+14.2322840930327i</v>
      </c>
      <c r="AK560" s="31">
        <f t="shared" si="344"/>
        <v>14.267372235446569</v>
      </c>
      <c r="AL560" s="31">
        <f t="shared" si="345"/>
        <v>1.5006488205377668</v>
      </c>
      <c r="AM560" s="31" t="str">
        <f t="shared" si="330"/>
        <v>1+4362.98575696415i</v>
      </c>
      <c r="AN560" s="31">
        <f t="shared" si="346"/>
        <v>4362.9858715645678</v>
      </c>
      <c r="AO560" s="31">
        <f t="shared" si="347"/>
        <v>1.5705671259590028</v>
      </c>
      <c r="AP560" s="62" t="str">
        <f t="shared" si="348"/>
        <v>-0.00290413967145002+0.0414684787932954i</v>
      </c>
      <c r="AQ560" s="55">
        <f t="shared" si="349"/>
        <v>-27.624389807334918</v>
      </c>
      <c r="AR560" s="63">
        <f t="shared" si="350"/>
        <v>94.006023811343482</v>
      </c>
      <c r="AS560" s="62" t="str">
        <f t="shared" si="351"/>
        <v>-0.0000142345521123301-0.0000172385974779632i</v>
      </c>
      <c r="AT560" s="65">
        <f t="shared" si="352"/>
        <v>-93.01210945804479</v>
      </c>
      <c r="AU560" s="63">
        <f t="shared" si="353"/>
        <v>-129.54775653811873</v>
      </c>
    </row>
    <row r="561" spans="14:31" x14ac:dyDescent="0.25">
      <c r="N561" s="10"/>
      <c r="P561" s="48"/>
      <c r="Q561" s="17"/>
      <c r="R561" s="17"/>
      <c r="S561" s="17"/>
      <c r="T561" s="17"/>
      <c r="U561" s="17"/>
      <c r="V561" s="17"/>
      <c r="W561" s="31"/>
      <c r="X561" s="17"/>
      <c r="Y561" s="17"/>
      <c r="Z561" s="31"/>
      <c r="AA561" s="17"/>
      <c r="AB561" s="17"/>
      <c r="AC561" s="17"/>
      <c r="AD561" s="32"/>
      <c r="AE561" s="31"/>
    </row>
    <row r="562" spans="14:31" x14ac:dyDescent="0.25">
      <c r="N562" s="10"/>
      <c r="P562" s="48"/>
      <c r="Q562" s="17"/>
      <c r="R562" s="17"/>
      <c r="S562" s="17"/>
      <c r="T562" s="17"/>
      <c r="U562" s="17"/>
      <c r="V562" s="17"/>
      <c r="W562" s="31"/>
      <c r="X562" s="17"/>
      <c r="Y562" s="17"/>
      <c r="Z562" s="31"/>
      <c r="AA562" s="17"/>
      <c r="AB562" s="17"/>
      <c r="AC562" s="17"/>
      <c r="AD562" s="32"/>
      <c r="AE562" s="31"/>
    </row>
    <row r="563" spans="14:31" x14ac:dyDescent="0.25">
      <c r="N563" s="10"/>
      <c r="P563" s="48"/>
      <c r="Q563" s="17"/>
      <c r="R563" s="17"/>
      <c r="S563" s="17"/>
      <c r="T563" s="17"/>
      <c r="U563" s="17"/>
      <c r="V563" s="17"/>
      <c r="W563" s="31"/>
      <c r="X563" s="17"/>
      <c r="Y563" s="17"/>
      <c r="Z563" s="31"/>
      <c r="AA563" s="17"/>
      <c r="AB563" s="17"/>
      <c r="AC563" s="17"/>
      <c r="AD563" s="32"/>
      <c r="AE563" s="31"/>
    </row>
    <row r="564" spans="14:31" x14ac:dyDescent="0.25">
      <c r="N564" s="10"/>
      <c r="P564" s="48"/>
      <c r="Q564" s="17"/>
      <c r="R564" s="17"/>
      <c r="S564" s="17"/>
      <c r="T564" s="17"/>
      <c r="U564" s="17"/>
      <c r="V564" s="17"/>
      <c r="W564" s="31"/>
      <c r="X564" s="17"/>
      <c r="Y564" s="17"/>
      <c r="Z564" s="31"/>
      <c r="AA564" s="17"/>
      <c r="AB564" s="17"/>
      <c r="AC564" s="17"/>
      <c r="AD564" s="32"/>
      <c r="AE564" s="31"/>
    </row>
    <row r="565" spans="14:31" x14ac:dyDescent="0.25">
      <c r="N565" s="10"/>
      <c r="P565" s="48"/>
      <c r="Q565" s="17"/>
      <c r="R565" s="17"/>
      <c r="S565" s="17"/>
      <c r="T565" s="17"/>
      <c r="U565" s="17"/>
      <c r="V565" s="17"/>
      <c r="W565" s="31"/>
      <c r="X565" s="17"/>
      <c r="Y565" s="17"/>
      <c r="Z565" s="31"/>
      <c r="AA565" s="17"/>
      <c r="AB565" s="17"/>
      <c r="AC565" s="17"/>
      <c r="AD565" s="32"/>
      <c r="AE565" s="31"/>
    </row>
    <row r="566" spans="14:31" x14ac:dyDescent="0.25">
      <c r="N566" s="10"/>
      <c r="P566" s="48"/>
      <c r="Q566" s="17"/>
      <c r="R566" s="17"/>
      <c r="S566" s="17"/>
      <c r="T566" s="17"/>
      <c r="U566" s="17"/>
      <c r="V566" s="17"/>
      <c r="W566" s="31"/>
      <c r="X566" s="17"/>
      <c r="Y566" s="17"/>
      <c r="Z566" s="31"/>
      <c r="AA566" s="17"/>
      <c r="AB566" s="17"/>
      <c r="AC566" s="17"/>
      <c r="AD566" s="32"/>
      <c r="AE566" s="31"/>
    </row>
    <row r="567" spans="14:31" x14ac:dyDescent="0.25">
      <c r="N567" s="10"/>
      <c r="P567" s="48"/>
      <c r="Q567" s="17"/>
      <c r="R567" s="17"/>
      <c r="S567" s="17"/>
      <c r="T567" s="17"/>
      <c r="U567" s="17"/>
      <c r="V567" s="17"/>
      <c r="W567" s="31"/>
      <c r="X567" s="17"/>
      <c r="Y567" s="17"/>
      <c r="Z567" s="31"/>
      <c r="AA567" s="17"/>
      <c r="AB567" s="17"/>
      <c r="AC567" s="17"/>
      <c r="AD567" s="32"/>
      <c r="AE567" s="31"/>
    </row>
    <row r="568" spans="14:31" x14ac:dyDescent="0.25">
      <c r="N568" s="10"/>
      <c r="P568" s="48"/>
      <c r="Q568" s="17"/>
      <c r="R568" s="17"/>
      <c r="S568" s="17"/>
      <c r="T568" s="17"/>
      <c r="U568" s="17"/>
      <c r="V568" s="17"/>
      <c r="W568" s="31"/>
      <c r="X568" s="17"/>
      <c r="Y568" s="17"/>
      <c r="Z568" s="31"/>
      <c r="AA568" s="17"/>
      <c r="AB568" s="17"/>
      <c r="AC568" s="17"/>
      <c r="AD568" s="32"/>
      <c r="AE568" s="31"/>
    </row>
    <row r="569" spans="14:31" x14ac:dyDescent="0.25">
      <c r="N569" s="10"/>
      <c r="P569" s="48"/>
      <c r="Q569" s="17"/>
      <c r="R569" s="17"/>
      <c r="S569" s="17"/>
      <c r="T569" s="17"/>
      <c r="U569" s="17"/>
      <c r="V569" s="17"/>
      <c r="W569" s="31"/>
      <c r="X569" s="17"/>
      <c r="Y569" s="17"/>
      <c r="Z569" s="31"/>
      <c r="AA569" s="17"/>
      <c r="AB569" s="17"/>
      <c r="AC569" s="17"/>
      <c r="AD569" s="32"/>
      <c r="AE569" s="31"/>
    </row>
    <row r="570" spans="14:31" x14ac:dyDescent="0.25">
      <c r="N570" s="10"/>
      <c r="P570" s="48"/>
      <c r="Q570" s="17"/>
      <c r="R570" s="17"/>
      <c r="S570" s="17"/>
      <c r="T570" s="17"/>
      <c r="U570" s="17"/>
      <c r="V570" s="17"/>
      <c r="W570" s="31"/>
      <c r="X570" s="17"/>
      <c r="Y570" s="17"/>
      <c r="Z570" s="31"/>
      <c r="AA570" s="17"/>
      <c r="AB570" s="17"/>
      <c r="AC570" s="17"/>
      <c r="AD570" s="32"/>
      <c r="AE570" s="31"/>
    </row>
    <row r="571" spans="14:31" x14ac:dyDescent="0.25">
      <c r="N571" s="10"/>
      <c r="P571" s="48"/>
      <c r="Q571" s="17"/>
      <c r="R571" s="17"/>
      <c r="S571" s="17"/>
      <c r="T571" s="17"/>
      <c r="U571" s="17"/>
      <c r="V571" s="17"/>
      <c r="W571" s="31"/>
      <c r="X571" s="17"/>
      <c r="Y571" s="17"/>
      <c r="Z571" s="31"/>
      <c r="AA571" s="17"/>
      <c r="AB571" s="17"/>
      <c r="AC571" s="17"/>
      <c r="AD571" s="32"/>
      <c r="AE571" s="31"/>
    </row>
    <row r="572" spans="14:31" x14ac:dyDescent="0.25">
      <c r="N572" s="10"/>
      <c r="P572" s="48"/>
      <c r="Q572" s="17"/>
      <c r="R572" s="17"/>
      <c r="S572" s="17"/>
      <c r="T572" s="17"/>
      <c r="U572" s="17"/>
      <c r="V572" s="17"/>
      <c r="W572" s="31"/>
      <c r="X572" s="17"/>
      <c r="Y572" s="17"/>
      <c r="Z572" s="31"/>
      <c r="AA572" s="17"/>
      <c r="AB572" s="17"/>
      <c r="AC572" s="17"/>
      <c r="AD572" s="32"/>
      <c r="AE572" s="31"/>
    </row>
    <row r="573" spans="14:31" x14ac:dyDescent="0.25">
      <c r="N573" s="10"/>
      <c r="P573" s="48"/>
      <c r="Q573" s="17"/>
      <c r="R573" s="17"/>
      <c r="S573" s="17"/>
      <c r="T573" s="17"/>
      <c r="U573" s="17"/>
      <c r="V573" s="17"/>
      <c r="W573" s="31"/>
      <c r="X573" s="17"/>
      <c r="Y573" s="17"/>
      <c r="Z573" s="31"/>
      <c r="AA573" s="17"/>
      <c r="AB573" s="17"/>
      <c r="AC573" s="17"/>
      <c r="AD573" s="32"/>
      <c r="AE573" s="31"/>
    </row>
    <row r="574" spans="14:31" x14ac:dyDescent="0.25">
      <c r="N574" s="10"/>
      <c r="P574" s="48"/>
      <c r="Q574" s="17"/>
      <c r="R574" s="17"/>
      <c r="S574" s="17"/>
      <c r="T574" s="17"/>
      <c r="U574" s="17"/>
      <c r="V574" s="17"/>
      <c r="W574" s="31"/>
      <c r="X574" s="17"/>
      <c r="Y574" s="17"/>
      <c r="Z574" s="31"/>
      <c r="AA574" s="17"/>
      <c r="AB574" s="17"/>
      <c r="AC574" s="17"/>
      <c r="AD574" s="32"/>
      <c r="AE574" s="31"/>
    </row>
    <row r="575" spans="14:31" x14ac:dyDescent="0.25">
      <c r="N575" s="10"/>
      <c r="P575" s="48"/>
      <c r="Q575" s="17"/>
      <c r="R575" s="17"/>
      <c r="S575" s="17"/>
      <c r="T575" s="17"/>
      <c r="U575" s="17"/>
      <c r="V575" s="17"/>
      <c r="W575" s="31"/>
      <c r="X575" s="17"/>
      <c r="Y575" s="17"/>
      <c r="Z575" s="31"/>
      <c r="AA575" s="17"/>
      <c r="AB575" s="17"/>
      <c r="AC575" s="17"/>
      <c r="AD575" s="32"/>
      <c r="AE575" s="31"/>
    </row>
    <row r="576" spans="14:31" x14ac:dyDescent="0.25">
      <c r="N576" s="10"/>
      <c r="P576" s="48"/>
      <c r="Q576" s="17"/>
      <c r="R576" s="17"/>
      <c r="S576" s="17"/>
      <c r="T576" s="17"/>
      <c r="U576" s="17"/>
      <c r="V576" s="17"/>
      <c r="W576" s="31"/>
      <c r="X576" s="17"/>
      <c r="Y576" s="17"/>
      <c r="Z576" s="31"/>
      <c r="AA576" s="17"/>
      <c r="AB576" s="17"/>
      <c r="AC576" s="17"/>
      <c r="AD576" s="32"/>
      <c r="AE576" s="31"/>
    </row>
    <row r="577" spans="14:31" x14ac:dyDescent="0.25">
      <c r="N577" s="10"/>
      <c r="P577" s="48"/>
      <c r="Q577" s="17"/>
      <c r="R577" s="17"/>
      <c r="S577" s="17"/>
      <c r="T577" s="17"/>
      <c r="U577" s="17"/>
      <c r="V577" s="17"/>
      <c r="W577" s="31"/>
      <c r="X577" s="17"/>
      <c r="Y577" s="17"/>
      <c r="Z577" s="31"/>
      <c r="AA577" s="17"/>
      <c r="AB577" s="17"/>
      <c r="AC577" s="17"/>
      <c r="AD577" s="32"/>
      <c r="AE577" s="31"/>
    </row>
    <row r="578" spans="14:31" x14ac:dyDescent="0.25">
      <c r="N578" s="10"/>
      <c r="P578" s="48"/>
      <c r="Q578" s="17"/>
      <c r="R578" s="17"/>
      <c r="S578" s="17"/>
      <c r="T578" s="17"/>
      <c r="U578" s="17"/>
      <c r="V578" s="17"/>
      <c r="W578" s="31"/>
      <c r="X578" s="17"/>
      <c r="Y578" s="17"/>
      <c r="Z578" s="31"/>
      <c r="AA578" s="17"/>
      <c r="AB578" s="17"/>
      <c r="AC578" s="17"/>
      <c r="AD578" s="32"/>
      <c r="AE578" s="31"/>
    </row>
    <row r="579" spans="14:31" x14ac:dyDescent="0.25">
      <c r="N579" s="10"/>
      <c r="P579" s="48"/>
      <c r="Q579" s="17"/>
      <c r="R579" s="17"/>
      <c r="S579" s="17"/>
      <c r="T579" s="17"/>
      <c r="U579" s="17"/>
      <c r="V579" s="17"/>
      <c r="W579" s="31"/>
      <c r="X579" s="17"/>
      <c r="Y579" s="17"/>
      <c r="Z579" s="31"/>
      <c r="AA579" s="17"/>
      <c r="AB579" s="17"/>
      <c r="AC579" s="17"/>
      <c r="AD579" s="32"/>
      <c r="AE579" s="31"/>
    </row>
    <row r="580" spans="14:31" x14ac:dyDescent="0.25">
      <c r="N580" s="10"/>
      <c r="P580" s="48"/>
      <c r="Q580" s="17"/>
      <c r="R580" s="17"/>
      <c r="S580" s="17"/>
      <c r="T580" s="17"/>
      <c r="U580" s="17"/>
      <c r="V580" s="17"/>
      <c r="W580" s="31"/>
      <c r="X580" s="17"/>
      <c r="Y580" s="17"/>
      <c r="Z580" s="31"/>
      <c r="AA580" s="17"/>
      <c r="AB580" s="17"/>
      <c r="AC580" s="17"/>
      <c r="AD580" s="32"/>
      <c r="AE580" s="31"/>
    </row>
    <row r="581" spans="14:31" x14ac:dyDescent="0.25">
      <c r="N581" s="10"/>
      <c r="P581" s="48"/>
      <c r="Q581" s="17"/>
      <c r="R581" s="17"/>
      <c r="S581" s="17"/>
      <c r="T581" s="17"/>
      <c r="U581" s="17"/>
      <c r="V581" s="17"/>
      <c r="W581" s="31"/>
      <c r="X581" s="17"/>
      <c r="Y581" s="17"/>
      <c r="Z581" s="31"/>
      <c r="AA581" s="17"/>
      <c r="AB581" s="17"/>
      <c r="AC581" s="17"/>
      <c r="AD581" s="32"/>
      <c r="AE581" s="31"/>
    </row>
    <row r="582" spans="14:31" x14ac:dyDescent="0.25">
      <c r="N582" s="10"/>
      <c r="P582" s="48"/>
      <c r="Q582" s="17"/>
      <c r="R582" s="17"/>
      <c r="S582" s="17"/>
      <c r="T582" s="17"/>
      <c r="U582" s="17"/>
      <c r="V582" s="17"/>
      <c r="W582" s="31"/>
      <c r="X582" s="17"/>
      <c r="Y582" s="17"/>
      <c r="Z582" s="31"/>
      <c r="AA582" s="17"/>
      <c r="AB582" s="17"/>
      <c r="AC582" s="17"/>
      <c r="AD582" s="32"/>
      <c r="AE582" s="31"/>
    </row>
    <row r="583" spans="14:31" x14ac:dyDescent="0.25">
      <c r="N583" s="10"/>
      <c r="P583" s="48"/>
      <c r="Q583" s="17"/>
      <c r="R583" s="17"/>
      <c r="S583" s="17"/>
      <c r="T583" s="17"/>
      <c r="U583" s="17"/>
      <c r="V583" s="17"/>
      <c r="W583" s="31"/>
      <c r="X583" s="17"/>
      <c r="Y583" s="17"/>
      <c r="Z583" s="31"/>
      <c r="AA583" s="17"/>
      <c r="AB583" s="17"/>
      <c r="AC583" s="17"/>
      <c r="AD583" s="32"/>
      <c r="AE583" s="31"/>
    </row>
    <row r="584" spans="14:31" x14ac:dyDescent="0.25">
      <c r="N584" s="10"/>
      <c r="P584" s="48"/>
      <c r="Q584" s="17"/>
      <c r="R584" s="17"/>
      <c r="S584" s="17"/>
      <c r="T584" s="17"/>
      <c r="U584" s="17"/>
      <c r="V584" s="17"/>
      <c r="W584" s="31"/>
      <c r="X584" s="17"/>
      <c r="Y584" s="17"/>
      <c r="Z584" s="31"/>
      <c r="AA584" s="17"/>
      <c r="AB584" s="17"/>
      <c r="AC584" s="17"/>
      <c r="AD584" s="32"/>
      <c r="AE584" s="31"/>
    </row>
    <row r="585" spans="14:31" x14ac:dyDescent="0.25">
      <c r="N585" s="10"/>
      <c r="P585" s="48"/>
      <c r="Q585" s="17"/>
      <c r="R585" s="17"/>
      <c r="S585" s="17"/>
      <c r="T585" s="17"/>
      <c r="U585" s="17"/>
      <c r="V585" s="17"/>
      <c r="W585" s="31"/>
      <c r="X585" s="17"/>
      <c r="Y585" s="17"/>
      <c r="Z585" s="31"/>
      <c r="AA585" s="17"/>
      <c r="AB585" s="17"/>
      <c r="AC585" s="17"/>
      <c r="AD585" s="32"/>
      <c r="AE585" s="31"/>
    </row>
    <row r="586" spans="14:31" x14ac:dyDescent="0.25">
      <c r="N586" s="10"/>
      <c r="P586" s="48"/>
      <c r="Q586" s="17"/>
      <c r="R586" s="17"/>
      <c r="S586" s="17"/>
      <c r="T586" s="17"/>
      <c r="U586" s="17"/>
      <c r="V586" s="17"/>
      <c r="W586" s="31"/>
      <c r="X586" s="17"/>
      <c r="Y586" s="17"/>
      <c r="Z586" s="31"/>
      <c r="AA586" s="17"/>
      <c r="AB586" s="17"/>
      <c r="AC586" s="17"/>
      <c r="AD586" s="32"/>
      <c r="AE586" s="31"/>
    </row>
    <row r="587" spans="14:31" x14ac:dyDescent="0.25">
      <c r="N587" s="10"/>
      <c r="P587" s="48"/>
      <c r="Q587" s="17"/>
      <c r="R587" s="17"/>
      <c r="S587" s="17"/>
      <c r="T587" s="17"/>
      <c r="U587" s="17"/>
      <c r="V587" s="17"/>
      <c r="W587" s="31"/>
      <c r="X587" s="17"/>
      <c r="Y587" s="17"/>
      <c r="Z587" s="31"/>
      <c r="AA587" s="17"/>
      <c r="AB587" s="17"/>
      <c r="AC587" s="17"/>
      <c r="AD587" s="32"/>
      <c r="AE587" s="31"/>
    </row>
    <row r="588" spans="14:31" x14ac:dyDescent="0.25">
      <c r="N588" s="10"/>
      <c r="P588" s="48"/>
      <c r="Q588" s="17"/>
      <c r="R588" s="17"/>
      <c r="S588" s="17"/>
      <c r="T588" s="17"/>
      <c r="U588" s="17"/>
      <c r="V588" s="17"/>
      <c r="W588" s="31"/>
      <c r="X588" s="17"/>
      <c r="Y588" s="17"/>
      <c r="Z588" s="31"/>
      <c r="AA588" s="17"/>
      <c r="AB588" s="17"/>
      <c r="AC588" s="17"/>
      <c r="AD588" s="32"/>
      <c r="AE588" s="31"/>
    </row>
    <row r="589" spans="14:31" x14ac:dyDescent="0.25">
      <c r="N589" s="10"/>
      <c r="P589" s="48"/>
      <c r="Q589" s="17"/>
      <c r="R589" s="17"/>
      <c r="S589" s="17"/>
      <c r="T589" s="17"/>
      <c r="U589" s="17"/>
      <c r="V589" s="17"/>
      <c r="W589" s="31"/>
      <c r="X589" s="17"/>
      <c r="Y589" s="17"/>
      <c r="Z589" s="31"/>
      <c r="AA589" s="17"/>
      <c r="AB589" s="17"/>
      <c r="AC589" s="17"/>
      <c r="AD589" s="32"/>
      <c r="AE589" s="31"/>
    </row>
    <row r="590" spans="14:31" x14ac:dyDescent="0.25">
      <c r="N590" s="10"/>
      <c r="P590" s="48"/>
      <c r="Q590" s="17"/>
      <c r="R590" s="17"/>
      <c r="S590" s="17"/>
      <c r="T590" s="17"/>
      <c r="U590" s="17"/>
      <c r="V590" s="17"/>
      <c r="W590" s="31"/>
      <c r="X590" s="17"/>
      <c r="Y590" s="17"/>
      <c r="Z590" s="31"/>
      <c r="AA590" s="17"/>
      <c r="AB590" s="17"/>
      <c r="AC590" s="17"/>
      <c r="AD590" s="32"/>
      <c r="AE590" s="31"/>
    </row>
    <row r="591" spans="14:31" x14ac:dyDescent="0.25">
      <c r="N591" s="10"/>
      <c r="P591" s="48"/>
      <c r="Q591" s="17"/>
      <c r="R591" s="17"/>
      <c r="S591" s="17"/>
      <c r="T591" s="17"/>
      <c r="U591" s="17"/>
      <c r="V591" s="17"/>
      <c r="W591" s="31"/>
      <c r="X591" s="17"/>
      <c r="Y591" s="17"/>
      <c r="Z591" s="31"/>
      <c r="AA591" s="17"/>
      <c r="AB591" s="17"/>
      <c r="AC591" s="17"/>
      <c r="AD591" s="32"/>
      <c r="AE591" s="31"/>
    </row>
    <row r="592" spans="14:31" x14ac:dyDescent="0.25">
      <c r="N592" s="10"/>
      <c r="P592" s="48"/>
      <c r="Q592" s="17"/>
      <c r="R592" s="17"/>
      <c r="S592" s="17"/>
      <c r="T592" s="17"/>
      <c r="U592" s="17"/>
      <c r="V592" s="17"/>
      <c r="W592" s="31"/>
      <c r="X592" s="17"/>
      <c r="Y592" s="17"/>
      <c r="Z592" s="31"/>
      <c r="AA592" s="17"/>
      <c r="AB592" s="17"/>
      <c r="AC592" s="17"/>
      <c r="AD592" s="32"/>
      <c r="AE592" s="31"/>
    </row>
    <row r="593" spans="14:31" x14ac:dyDescent="0.25">
      <c r="N593" s="10"/>
      <c r="P593" s="48"/>
      <c r="Q593" s="17"/>
      <c r="R593" s="17"/>
      <c r="S593" s="17"/>
      <c r="T593" s="17"/>
      <c r="U593" s="17"/>
      <c r="V593" s="17"/>
      <c r="W593" s="31"/>
      <c r="X593" s="17"/>
      <c r="Y593" s="17"/>
      <c r="Z593" s="31"/>
      <c r="AA593" s="17"/>
      <c r="AB593" s="17"/>
      <c r="AC593" s="17"/>
      <c r="AD593" s="32"/>
      <c r="AE593" s="31"/>
    </row>
    <row r="594" spans="14:31" x14ac:dyDescent="0.25">
      <c r="N594" s="10"/>
      <c r="P594" s="48"/>
      <c r="Q594" s="17"/>
      <c r="R594" s="17"/>
      <c r="S594" s="17"/>
      <c r="T594" s="17"/>
      <c r="U594" s="17"/>
      <c r="V594" s="17"/>
      <c r="W594" s="31"/>
      <c r="X594" s="17"/>
      <c r="Y594" s="17"/>
      <c r="Z594" s="31"/>
      <c r="AA594" s="17"/>
      <c r="AB594" s="17"/>
      <c r="AC594" s="17"/>
      <c r="AD594" s="32"/>
      <c r="AE594" s="31"/>
    </row>
    <row r="595" spans="14:31" x14ac:dyDescent="0.25">
      <c r="N595" s="10"/>
      <c r="P595" s="48"/>
      <c r="Q595" s="17"/>
      <c r="R595" s="17"/>
      <c r="S595" s="17"/>
      <c r="T595" s="17"/>
      <c r="U595" s="17"/>
      <c r="V595" s="17"/>
      <c r="W595" s="31"/>
      <c r="X595" s="17"/>
      <c r="Y595" s="17"/>
      <c r="Z595" s="31"/>
      <c r="AA595" s="17"/>
      <c r="AB595" s="17"/>
      <c r="AC595" s="17"/>
      <c r="AD595" s="32"/>
      <c r="AE595" s="31"/>
    </row>
    <row r="596" spans="14:31" x14ac:dyDescent="0.25">
      <c r="N596" s="10"/>
      <c r="P596" s="48"/>
      <c r="Q596" s="17"/>
      <c r="R596" s="17"/>
      <c r="S596" s="17"/>
      <c r="T596" s="17"/>
      <c r="U596" s="17"/>
      <c r="V596" s="17"/>
      <c r="W596" s="31"/>
      <c r="X596" s="17"/>
      <c r="Y596" s="17"/>
      <c r="Z596" s="31"/>
      <c r="AA596" s="17"/>
      <c r="AB596" s="17"/>
      <c r="AC596" s="17"/>
      <c r="AD596" s="32"/>
      <c r="AE596" s="31"/>
    </row>
    <row r="597" spans="14:31" x14ac:dyDescent="0.25">
      <c r="N597" s="10"/>
      <c r="P597" s="48"/>
      <c r="Q597" s="17"/>
      <c r="R597" s="17"/>
      <c r="S597" s="17"/>
      <c r="T597" s="17"/>
      <c r="U597" s="17"/>
      <c r="V597" s="17"/>
      <c r="W597" s="31"/>
      <c r="X597" s="17"/>
      <c r="Y597" s="17"/>
      <c r="Z597" s="31"/>
      <c r="AA597" s="17"/>
      <c r="AB597" s="17"/>
      <c r="AC597" s="17"/>
      <c r="AD597" s="32"/>
      <c r="AE597" s="31"/>
    </row>
    <row r="598" spans="14:31" x14ac:dyDescent="0.25">
      <c r="N598" s="10"/>
      <c r="P598" s="48"/>
      <c r="Q598" s="17"/>
      <c r="R598" s="17"/>
      <c r="S598" s="17"/>
      <c r="T598" s="17"/>
      <c r="U598" s="17"/>
      <c r="V598" s="17"/>
      <c r="W598" s="31"/>
      <c r="X598" s="17"/>
      <c r="Y598" s="17"/>
      <c r="Z598" s="31"/>
      <c r="AA598" s="17"/>
      <c r="AB598" s="17"/>
      <c r="AC598" s="17"/>
      <c r="AD598" s="32"/>
      <c r="AE598" s="31"/>
    </row>
    <row r="599" spans="14:31" x14ac:dyDescent="0.25">
      <c r="N599" s="10"/>
      <c r="P599" s="48"/>
      <c r="Q599" s="17"/>
      <c r="R599" s="17"/>
      <c r="S599" s="17"/>
      <c r="T599" s="17"/>
      <c r="U599" s="17"/>
      <c r="V599" s="17"/>
      <c r="W599" s="31"/>
      <c r="X599" s="17"/>
      <c r="Y599" s="17"/>
      <c r="Z599" s="31"/>
      <c r="AA599" s="17"/>
      <c r="AB599" s="17"/>
      <c r="AC599" s="17"/>
      <c r="AD599" s="32"/>
      <c r="AE599" s="31"/>
    </row>
    <row r="600" spans="14:31" x14ac:dyDescent="0.25">
      <c r="N600" s="10"/>
      <c r="P600" s="48"/>
      <c r="Q600" s="17"/>
      <c r="R600" s="17"/>
      <c r="S600" s="17"/>
      <c r="T600" s="17"/>
      <c r="U600" s="17"/>
      <c r="V600" s="17"/>
      <c r="W600" s="31"/>
      <c r="X600" s="17"/>
      <c r="Y600" s="17"/>
      <c r="Z600" s="31"/>
      <c r="AA600" s="17"/>
      <c r="AB600" s="17"/>
      <c r="AC600" s="17"/>
      <c r="AD600" s="32"/>
      <c r="AE600" s="31"/>
    </row>
    <row r="601" spans="14:31" x14ac:dyDescent="0.25">
      <c r="N601" s="10"/>
      <c r="P601" s="48"/>
      <c r="Q601" s="17"/>
      <c r="R601" s="17"/>
      <c r="S601" s="17"/>
      <c r="T601" s="17"/>
      <c r="U601" s="17"/>
      <c r="V601" s="17"/>
      <c r="W601" s="31"/>
      <c r="X601" s="17"/>
      <c r="Y601" s="17"/>
      <c r="Z601" s="31"/>
      <c r="AA601" s="17"/>
      <c r="AB601" s="17"/>
      <c r="AC601" s="17"/>
      <c r="AD601" s="32"/>
      <c r="AE601" s="31"/>
    </row>
    <row r="602" spans="14:31" x14ac:dyDescent="0.25">
      <c r="N602" s="10"/>
      <c r="P602" s="48"/>
      <c r="Q602" s="17"/>
      <c r="R602" s="17"/>
      <c r="S602" s="17"/>
      <c r="T602" s="17"/>
      <c r="U602" s="17"/>
      <c r="V602" s="17"/>
      <c r="W602" s="31"/>
      <c r="X602" s="17"/>
      <c r="Y602" s="17"/>
      <c r="Z602" s="31"/>
      <c r="AA602" s="17"/>
      <c r="AB602" s="17"/>
      <c r="AC602" s="17"/>
      <c r="AD602" s="32"/>
      <c r="AE602" s="31"/>
    </row>
    <row r="603" spans="14:31" x14ac:dyDescent="0.25">
      <c r="N603" s="10"/>
      <c r="P603" s="48"/>
      <c r="Q603" s="17"/>
      <c r="R603" s="17"/>
      <c r="S603" s="17"/>
      <c r="T603" s="17"/>
      <c r="U603" s="17"/>
      <c r="V603" s="17"/>
      <c r="W603" s="31"/>
      <c r="X603" s="17"/>
      <c r="Y603" s="17"/>
      <c r="Z603" s="31"/>
      <c r="AA603" s="17"/>
      <c r="AB603" s="17"/>
      <c r="AC603" s="17"/>
      <c r="AD603" s="32"/>
      <c r="AE603" s="31"/>
    </row>
    <row r="604" spans="14:31" x14ac:dyDescent="0.25">
      <c r="N604" s="10"/>
      <c r="P604" s="48"/>
      <c r="Q604" s="17"/>
      <c r="R604" s="17"/>
      <c r="S604" s="17"/>
      <c r="T604" s="17"/>
      <c r="U604" s="17"/>
      <c r="V604" s="17"/>
      <c r="W604" s="31"/>
      <c r="X604" s="17"/>
      <c r="Y604" s="17"/>
      <c r="Z604" s="31"/>
      <c r="AA604" s="17"/>
      <c r="AB604" s="17"/>
      <c r="AC604" s="17"/>
      <c r="AD604" s="32"/>
      <c r="AE604" s="31"/>
    </row>
    <row r="605" spans="14:31" x14ac:dyDescent="0.25">
      <c r="N605" s="10"/>
      <c r="P605" s="48"/>
      <c r="Q605" s="17"/>
      <c r="R605" s="17"/>
      <c r="S605" s="17"/>
      <c r="T605" s="17"/>
      <c r="U605" s="17"/>
      <c r="V605" s="17"/>
      <c r="W605" s="31"/>
      <c r="X605" s="17"/>
      <c r="Y605" s="17"/>
      <c r="Z605" s="31"/>
      <c r="AA605" s="17"/>
      <c r="AB605" s="17"/>
      <c r="AC605" s="17"/>
      <c r="AD605" s="32"/>
      <c r="AE605" s="31"/>
    </row>
    <row r="606" spans="14:31" x14ac:dyDescent="0.25">
      <c r="N606" s="10"/>
      <c r="P606" s="48"/>
      <c r="Q606" s="17"/>
      <c r="R606" s="17"/>
      <c r="S606" s="17"/>
      <c r="T606" s="17"/>
      <c r="U606" s="17"/>
      <c r="V606" s="17"/>
      <c r="W606" s="31"/>
      <c r="X606" s="17"/>
      <c r="Y606" s="17"/>
      <c r="Z606" s="31"/>
      <c r="AA606" s="17"/>
      <c r="AB606" s="17"/>
      <c r="AC606" s="17"/>
      <c r="AD606" s="32"/>
      <c r="AE606" s="31"/>
    </row>
    <row r="607" spans="14:31" x14ac:dyDescent="0.25">
      <c r="N607" s="10"/>
      <c r="P607" s="48"/>
      <c r="Q607" s="17"/>
      <c r="R607" s="17"/>
      <c r="S607" s="17"/>
      <c r="T607" s="17"/>
      <c r="U607" s="17"/>
      <c r="V607" s="17"/>
      <c r="W607" s="31"/>
      <c r="X607" s="17"/>
      <c r="Y607" s="17"/>
      <c r="Z607" s="31"/>
      <c r="AA607" s="17"/>
      <c r="AB607" s="17"/>
      <c r="AC607" s="17"/>
      <c r="AD607" s="32"/>
      <c r="AE607" s="31"/>
    </row>
    <row r="608" spans="14:31" x14ac:dyDescent="0.25">
      <c r="N608" s="10"/>
      <c r="P608" s="48"/>
      <c r="Q608" s="17"/>
      <c r="R608" s="17"/>
      <c r="S608" s="17"/>
      <c r="T608" s="17"/>
      <c r="U608" s="17"/>
      <c r="V608" s="17"/>
      <c r="W608" s="31"/>
      <c r="X608" s="17"/>
      <c r="Y608" s="17"/>
      <c r="Z608" s="31"/>
      <c r="AA608" s="17"/>
      <c r="AB608" s="17"/>
      <c r="AC608" s="17"/>
      <c r="AD608" s="32"/>
      <c r="AE608" s="31"/>
    </row>
    <row r="609" spans="14:31" x14ac:dyDescent="0.25">
      <c r="N609" s="10"/>
      <c r="P609" s="48"/>
      <c r="Q609" s="17"/>
      <c r="R609" s="17"/>
      <c r="S609" s="17"/>
      <c r="T609" s="17"/>
      <c r="U609" s="17"/>
      <c r="V609" s="17"/>
      <c r="W609" s="31"/>
      <c r="X609" s="17"/>
      <c r="Y609" s="17"/>
      <c r="Z609" s="31"/>
      <c r="AA609" s="17"/>
      <c r="AB609" s="17"/>
      <c r="AC609" s="17"/>
      <c r="AD609" s="32"/>
      <c r="AE609" s="31"/>
    </row>
    <row r="610" spans="14:31" x14ac:dyDescent="0.25">
      <c r="N610" s="10"/>
      <c r="P610" s="48"/>
      <c r="Q610" s="17"/>
      <c r="R610" s="17"/>
      <c r="S610" s="17"/>
      <c r="T610" s="17"/>
      <c r="U610" s="17"/>
      <c r="V610" s="17"/>
      <c r="W610" s="31"/>
      <c r="X610" s="17"/>
      <c r="Y610" s="17"/>
      <c r="Z610" s="31"/>
      <c r="AA610" s="17"/>
      <c r="AB610" s="17"/>
      <c r="AC610" s="17"/>
      <c r="AD610" s="32"/>
      <c r="AE610" s="31"/>
    </row>
    <row r="611" spans="14:31" x14ac:dyDescent="0.25">
      <c r="N611" s="10"/>
      <c r="P611" s="48"/>
      <c r="Q611" s="17"/>
      <c r="R611" s="17"/>
      <c r="S611" s="17"/>
      <c r="T611" s="17"/>
      <c r="U611" s="17"/>
      <c r="V611" s="17"/>
      <c r="W611" s="31"/>
      <c r="X611" s="17"/>
      <c r="Y611" s="17"/>
      <c r="Z611" s="31"/>
      <c r="AA611" s="17"/>
      <c r="AB611" s="17"/>
      <c r="AC611" s="17"/>
      <c r="AD611" s="32"/>
      <c r="AE611" s="31"/>
    </row>
    <row r="612" spans="14:31" x14ac:dyDescent="0.25">
      <c r="N612" s="10"/>
      <c r="P612" s="48"/>
      <c r="Q612" s="17"/>
      <c r="R612" s="17"/>
      <c r="S612" s="17"/>
      <c r="T612" s="17"/>
      <c r="U612" s="17"/>
      <c r="V612" s="17"/>
      <c r="W612" s="31"/>
      <c r="X612" s="17"/>
      <c r="Y612" s="17"/>
      <c r="Z612" s="31"/>
      <c r="AA612" s="17"/>
      <c r="AB612" s="17"/>
      <c r="AC612" s="17"/>
      <c r="AD612" s="32"/>
      <c r="AE612" s="31"/>
    </row>
    <row r="613" spans="14:31" x14ac:dyDescent="0.25">
      <c r="N613" s="10"/>
      <c r="P613" s="48"/>
      <c r="Q613" s="17"/>
      <c r="R613" s="17"/>
      <c r="S613" s="17"/>
      <c r="T613" s="17"/>
      <c r="U613" s="17"/>
      <c r="V613" s="17"/>
      <c r="W613" s="31"/>
      <c r="X613" s="17"/>
      <c r="Y613" s="17"/>
      <c r="Z613" s="31"/>
      <c r="AA613" s="17"/>
      <c r="AB613" s="17"/>
      <c r="AC613" s="17"/>
      <c r="AD613" s="32"/>
      <c r="AE613" s="31"/>
    </row>
    <row r="614" spans="14:31" x14ac:dyDescent="0.25">
      <c r="N614" s="10"/>
      <c r="P614" s="48"/>
      <c r="Q614" s="17"/>
      <c r="R614" s="17"/>
      <c r="S614" s="17"/>
      <c r="T614" s="17"/>
      <c r="U614" s="17"/>
      <c r="V614" s="17"/>
      <c r="W614" s="31"/>
      <c r="X614" s="17"/>
      <c r="Y614" s="17"/>
      <c r="Z614" s="31"/>
      <c r="AA614" s="17"/>
      <c r="AB614" s="17"/>
      <c r="AC614" s="17"/>
      <c r="AD614" s="32"/>
      <c r="AE614" s="31"/>
    </row>
    <row r="615" spans="14:31" x14ac:dyDescent="0.25">
      <c r="N615" s="10"/>
      <c r="P615" s="48"/>
      <c r="Q615" s="17"/>
      <c r="R615" s="17"/>
      <c r="S615" s="17"/>
      <c r="T615" s="17"/>
      <c r="U615" s="17"/>
      <c r="V615" s="17"/>
      <c r="W615" s="31"/>
      <c r="X615" s="17"/>
      <c r="Y615" s="17"/>
      <c r="Z615" s="31"/>
      <c r="AA615" s="17"/>
      <c r="AB615" s="17"/>
      <c r="AC615" s="17"/>
      <c r="AD615" s="32"/>
      <c r="AE615" s="31"/>
    </row>
    <row r="616" spans="14:31" x14ac:dyDescent="0.25">
      <c r="N616" s="10"/>
      <c r="P616" s="48"/>
      <c r="Q616" s="17"/>
      <c r="R616" s="17"/>
      <c r="S616" s="17"/>
      <c r="T616" s="17"/>
      <c r="U616" s="17"/>
      <c r="V616" s="17"/>
      <c r="W616" s="31"/>
      <c r="X616" s="17"/>
      <c r="Y616" s="17"/>
      <c r="Z616" s="31"/>
      <c r="AA616" s="17"/>
      <c r="AB616" s="17"/>
      <c r="AC616" s="17"/>
      <c r="AD616" s="32"/>
      <c r="AE616" s="31"/>
    </row>
    <row r="617" spans="14:31" x14ac:dyDescent="0.25">
      <c r="N617" s="10"/>
      <c r="P617" s="48"/>
      <c r="Q617" s="17"/>
      <c r="R617" s="17"/>
      <c r="S617" s="17"/>
      <c r="T617" s="17"/>
      <c r="U617" s="17"/>
      <c r="V617" s="17"/>
      <c r="W617" s="31"/>
      <c r="X617" s="17"/>
      <c r="Y617" s="17"/>
      <c r="Z617" s="31"/>
      <c r="AA617" s="17"/>
      <c r="AB617" s="17"/>
      <c r="AC617" s="17"/>
      <c r="AD617" s="32"/>
      <c r="AE617" s="31"/>
    </row>
    <row r="618" spans="14:31" x14ac:dyDescent="0.25">
      <c r="N618" s="10"/>
      <c r="P618" s="48"/>
      <c r="Q618" s="17"/>
      <c r="R618" s="17"/>
      <c r="S618" s="17"/>
      <c r="T618" s="17"/>
      <c r="U618" s="17"/>
      <c r="V618" s="17"/>
      <c r="W618" s="31"/>
      <c r="X618" s="17"/>
      <c r="Y618" s="17"/>
      <c r="Z618" s="31"/>
      <c r="AA618" s="17"/>
      <c r="AB618" s="17"/>
      <c r="AC618" s="17"/>
      <c r="AD618" s="32"/>
      <c r="AE618" s="31"/>
    </row>
    <row r="619" spans="14:31" x14ac:dyDescent="0.25">
      <c r="N619" s="10"/>
      <c r="P619" s="48"/>
      <c r="Q619" s="17"/>
      <c r="R619" s="17"/>
      <c r="S619" s="17"/>
      <c r="T619" s="17"/>
      <c r="U619" s="17"/>
      <c r="V619" s="17"/>
      <c r="W619" s="31"/>
      <c r="X619" s="17"/>
      <c r="Y619" s="17"/>
      <c r="Z619" s="31"/>
      <c r="AA619" s="17"/>
      <c r="AB619" s="17"/>
      <c r="AC619" s="17"/>
      <c r="AD619" s="32"/>
      <c r="AE619" s="31"/>
    </row>
    <row r="620" spans="14:31" x14ac:dyDescent="0.25">
      <c r="N620" s="10"/>
      <c r="P620" s="48"/>
      <c r="Q620" s="17"/>
      <c r="R620" s="17"/>
      <c r="S620" s="17"/>
      <c r="T620" s="17"/>
      <c r="U620" s="17"/>
      <c r="V620" s="17"/>
      <c r="W620" s="31"/>
      <c r="X620" s="17"/>
      <c r="Y620" s="17"/>
      <c r="Z620" s="31"/>
      <c r="AA620" s="17"/>
      <c r="AB620" s="17"/>
      <c r="AC620" s="17"/>
      <c r="AD620" s="32"/>
      <c r="AE620" s="31"/>
    </row>
    <row r="621" spans="14:31" x14ac:dyDescent="0.25">
      <c r="N621" s="10"/>
      <c r="P621" s="48"/>
      <c r="Q621" s="17"/>
      <c r="R621" s="17"/>
      <c r="S621" s="17"/>
      <c r="T621" s="17"/>
      <c r="U621" s="17"/>
      <c r="V621" s="17"/>
      <c r="W621" s="31"/>
      <c r="X621" s="17"/>
      <c r="Y621" s="17"/>
      <c r="Z621" s="31"/>
      <c r="AA621" s="17"/>
      <c r="AB621" s="17"/>
      <c r="AC621" s="17"/>
      <c r="AD621" s="32"/>
      <c r="AE621" s="31"/>
    </row>
    <row r="622" spans="14:31" x14ac:dyDescent="0.25">
      <c r="N622" s="10"/>
      <c r="P622" s="48"/>
      <c r="Q622" s="17"/>
      <c r="R622" s="17"/>
      <c r="S622" s="17"/>
      <c r="T622" s="17"/>
      <c r="U622" s="17"/>
      <c r="V622" s="17"/>
      <c r="W622" s="31"/>
      <c r="X622" s="17"/>
      <c r="Y622" s="17"/>
      <c r="Z622" s="31"/>
      <c r="AA622" s="17"/>
      <c r="AB622" s="17"/>
      <c r="AC622" s="17"/>
      <c r="AD622" s="32"/>
      <c r="AE622" s="31"/>
    </row>
    <row r="623" spans="14:31" x14ac:dyDescent="0.25">
      <c r="N623" s="10"/>
      <c r="P623" s="48"/>
      <c r="Q623" s="17"/>
      <c r="R623" s="17"/>
      <c r="S623" s="17"/>
      <c r="T623" s="17"/>
      <c r="U623" s="17"/>
      <c r="V623" s="17"/>
      <c r="W623" s="31"/>
      <c r="X623" s="17"/>
      <c r="Y623" s="17"/>
      <c r="Z623" s="31"/>
      <c r="AA623" s="17"/>
      <c r="AB623" s="17"/>
      <c r="AC623" s="17"/>
      <c r="AD623" s="32"/>
      <c r="AE623" s="31"/>
    </row>
    <row r="624" spans="14:31" x14ac:dyDescent="0.25">
      <c r="N624" s="10"/>
      <c r="P624" s="48"/>
      <c r="Q624" s="17"/>
      <c r="R624" s="17"/>
      <c r="S624" s="17"/>
      <c r="T624" s="17"/>
      <c r="U624" s="17"/>
      <c r="V624" s="17"/>
      <c r="W624" s="31"/>
      <c r="X624" s="17"/>
      <c r="Y624" s="17"/>
      <c r="Z624" s="31"/>
      <c r="AA624" s="17"/>
      <c r="AB624" s="17"/>
      <c r="AC624" s="17"/>
      <c r="AD624" s="32"/>
      <c r="AE624" s="31"/>
    </row>
    <row r="625" spans="14:31" x14ac:dyDescent="0.25">
      <c r="N625" s="10"/>
      <c r="P625" s="48"/>
      <c r="Q625" s="17"/>
      <c r="R625" s="17"/>
      <c r="S625" s="17"/>
      <c r="T625" s="17"/>
      <c r="U625" s="17"/>
      <c r="V625" s="17"/>
      <c r="W625" s="31"/>
      <c r="X625" s="17"/>
      <c r="Y625" s="17"/>
      <c r="Z625" s="31"/>
      <c r="AA625" s="17"/>
      <c r="AB625" s="17"/>
      <c r="AC625" s="17"/>
      <c r="AD625" s="32"/>
      <c r="AE625" s="31"/>
    </row>
    <row r="626" spans="14:31" x14ac:dyDescent="0.25">
      <c r="N626" s="10"/>
      <c r="P626" s="48"/>
      <c r="Q626" s="17"/>
      <c r="R626" s="17"/>
      <c r="S626" s="17"/>
      <c r="T626" s="17"/>
      <c r="U626" s="17"/>
      <c r="V626" s="17"/>
      <c r="W626" s="31"/>
      <c r="X626" s="17"/>
      <c r="Y626" s="17"/>
      <c r="Z626" s="31"/>
      <c r="AA626" s="17"/>
      <c r="AB626" s="17"/>
      <c r="AC626" s="17"/>
      <c r="AD626" s="32"/>
      <c r="AE626" s="31"/>
    </row>
    <row r="627" spans="14:31" x14ac:dyDescent="0.25">
      <c r="N627" s="10"/>
      <c r="P627" s="48"/>
      <c r="Q627" s="17"/>
      <c r="R627" s="17"/>
      <c r="S627" s="17"/>
      <c r="T627" s="17"/>
      <c r="U627" s="17"/>
      <c r="V627" s="17"/>
      <c r="W627" s="31"/>
      <c r="X627" s="17"/>
      <c r="Y627" s="17"/>
      <c r="Z627" s="31"/>
      <c r="AA627" s="17"/>
      <c r="AB627" s="17"/>
      <c r="AC627" s="17"/>
      <c r="AD627" s="32"/>
      <c r="AE627" s="31"/>
    </row>
    <row r="628" spans="14:31" x14ac:dyDescent="0.25">
      <c r="N628" s="10"/>
      <c r="P628" s="48"/>
      <c r="Q628" s="17"/>
      <c r="R628" s="17"/>
      <c r="S628" s="17"/>
      <c r="T628" s="17"/>
      <c r="U628" s="17"/>
      <c r="V628" s="17"/>
      <c r="W628" s="31"/>
      <c r="X628" s="17"/>
      <c r="Y628" s="17"/>
      <c r="Z628" s="31"/>
      <c r="AA628" s="17"/>
      <c r="AB628" s="17"/>
      <c r="AC628" s="17"/>
      <c r="AD628" s="32"/>
      <c r="AE628" s="31"/>
    </row>
    <row r="629" spans="14:31" x14ac:dyDescent="0.25">
      <c r="N629" s="10"/>
      <c r="P629" s="48"/>
      <c r="Q629" s="17"/>
      <c r="R629" s="17"/>
      <c r="S629" s="17"/>
      <c r="T629" s="17"/>
      <c r="U629" s="17"/>
      <c r="V629" s="17"/>
      <c r="W629" s="31"/>
      <c r="X629" s="17"/>
      <c r="Y629" s="17"/>
      <c r="Z629" s="31"/>
      <c r="AA629" s="17"/>
      <c r="AB629" s="17"/>
      <c r="AC629" s="17"/>
      <c r="AD629" s="32"/>
      <c r="AE629" s="31"/>
    </row>
    <row r="630" spans="14:31" x14ac:dyDescent="0.25">
      <c r="N630" s="10"/>
      <c r="P630" s="48"/>
      <c r="Q630" s="17"/>
      <c r="R630" s="17"/>
      <c r="S630" s="17"/>
      <c r="T630" s="17"/>
      <c r="U630" s="17"/>
      <c r="V630" s="17"/>
      <c r="W630" s="31"/>
      <c r="X630" s="17"/>
      <c r="Y630" s="17"/>
      <c r="Z630" s="31"/>
      <c r="AA630" s="17"/>
      <c r="AB630" s="17"/>
      <c r="AC630" s="17"/>
      <c r="AD630" s="32"/>
      <c r="AE630" s="31"/>
    </row>
    <row r="631" spans="14:31" x14ac:dyDescent="0.25">
      <c r="N631" s="10"/>
      <c r="P631" s="48"/>
      <c r="Q631" s="17"/>
      <c r="R631" s="17"/>
      <c r="S631" s="17"/>
      <c r="T631" s="17"/>
      <c r="U631" s="17"/>
      <c r="V631" s="17"/>
      <c r="W631" s="31"/>
      <c r="X631" s="17"/>
      <c r="Y631" s="17"/>
      <c r="Z631" s="31"/>
      <c r="AA631" s="17"/>
      <c r="AB631" s="17"/>
      <c r="AC631" s="17"/>
      <c r="AD631" s="32"/>
      <c r="AE631" s="31"/>
    </row>
    <row r="632" spans="14:31" x14ac:dyDescent="0.25">
      <c r="N632" s="10"/>
      <c r="P632" s="48"/>
      <c r="Q632" s="17"/>
      <c r="R632" s="17"/>
      <c r="S632" s="17"/>
      <c r="T632" s="17"/>
      <c r="U632" s="17"/>
      <c r="V632" s="17"/>
      <c r="W632" s="31"/>
      <c r="X632" s="17"/>
      <c r="Y632" s="17"/>
      <c r="Z632" s="31"/>
      <c r="AA632" s="17"/>
      <c r="AB632" s="17"/>
      <c r="AC632" s="17"/>
      <c r="AD632" s="32"/>
      <c r="AE632" s="31"/>
    </row>
    <row r="633" spans="14:31" x14ac:dyDescent="0.25">
      <c r="N633" s="10"/>
      <c r="P633" s="48"/>
      <c r="Q633" s="17"/>
      <c r="R633" s="17"/>
      <c r="S633" s="17"/>
      <c r="T633" s="17"/>
      <c r="U633" s="17"/>
      <c r="V633" s="17"/>
      <c r="W633" s="31"/>
      <c r="X633" s="17"/>
      <c r="Y633" s="17"/>
      <c r="Z633" s="31"/>
      <c r="AA633" s="17"/>
      <c r="AB633" s="17"/>
      <c r="AC633" s="17"/>
      <c r="AD633" s="32"/>
      <c r="AE633" s="31"/>
    </row>
    <row r="634" spans="14:31" x14ac:dyDescent="0.25">
      <c r="N634" s="10"/>
      <c r="P634" s="48"/>
      <c r="Q634" s="17"/>
      <c r="R634" s="17"/>
      <c r="S634" s="17"/>
      <c r="T634" s="17"/>
      <c r="U634" s="17"/>
      <c r="V634" s="17"/>
      <c r="W634" s="31"/>
      <c r="X634" s="17"/>
      <c r="Y634" s="17"/>
      <c r="Z634" s="31"/>
      <c r="AA634" s="17"/>
      <c r="AB634" s="17"/>
      <c r="AC634" s="17"/>
      <c r="AD634" s="32"/>
      <c r="AE634" s="31"/>
    </row>
    <row r="635" spans="14:31" x14ac:dyDescent="0.25">
      <c r="N635" s="10"/>
      <c r="P635" s="48"/>
      <c r="Q635" s="17"/>
      <c r="R635" s="17"/>
      <c r="S635" s="17"/>
      <c r="T635" s="17"/>
      <c r="U635" s="17"/>
      <c r="V635" s="17"/>
      <c r="W635" s="31"/>
      <c r="X635" s="17"/>
      <c r="Y635" s="17"/>
      <c r="Z635" s="31"/>
      <c r="AA635" s="17"/>
      <c r="AB635" s="17"/>
      <c r="AC635" s="17"/>
      <c r="AD635" s="32"/>
      <c r="AE635" s="31"/>
    </row>
    <row r="636" spans="14:31" x14ac:dyDescent="0.25">
      <c r="N636" s="10"/>
      <c r="P636" s="48"/>
      <c r="Q636" s="17"/>
      <c r="R636" s="17"/>
      <c r="S636" s="17"/>
      <c r="T636" s="17"/>
      <c r="U636" s="17"/>
      <c r="V636" s="17"/>
      <c r="W636" s="31"/>
      <c r="X636" s="17"/>
      <c r="Y636" s="17"/>
      <c r="Z636" s="31"/>
      <c r="AA636" s="17"/>
      <c r="AB636" s="17"/>
      <c r="AC636" s="17"/>
      <c r="AD636" s="32"/>
      <c r="AE636" s="31"/>
    </row>
    <row r="637" spans="14:31" x14ac:dyDescent="0.25">
      <c r="N637" s="10"/>
      <c r="P637" s="48"/>
      <c r="Q637" s="17"/>
      <c r="R637" s="17"/>
      <c r="S637" s="17"/>
      <c r="T637" s="17"/>
      <c r="U637" s="17"/>
      <c r="V637" s="17"/>
      <c r="W637" s="31"/>
      <c r="X637" s="17"/>
      <c r="Y637" s="17"/>
      <c r="Z637" s="31"/>
      <c r="AA637" s="17"/>
      <c r="AB637" s="17"/>
      <c r="AC637" s="17"/>
      <c r="AD637" s="32"/>
      <c r="AE637" s="31"/>
    </row>
    <row r="638" spans="14:31" x14ac:dyDescent="0.25">
      <c r="N638" s="10"/>
      <c r="P638" s="48"/>
      <c r="Q638" s="17"/>
      <c r="R638" s="17"/>
      <c r="S638" s="17"/>
      <c r="T638" s="17"/>
      <c r="U638" s="17"/>
      <c r="V638" s="17"/>
      <c r="W638" s="31"/>
      <c r="X638" s="17"/>
      <c r="Y638" s="17"/>
      <c r="Z638" s="31"/>
      <c r="AA638" s="17"/>
      <c r="AB638" s="17"/>
      <c r="AC638" s="17"/>
      <c r="AD638" s="32"/>
      <c r="AE638" s="31"/>
    </row>
    <row r="639" spans="14:31" x14ac:dyDescent="0.25">
      <c r="N639" s="10"/>
      <c r="P639" s="48"/>
      <c r="Q639" s="17"/>
      <c r="R639" s="17"/>
      <c r="S639" s="17"/>
      <c r="T639" s="17"/>
      <c r="U639" s="17"/>
      <c r="V639" s="17"/>
      <c r="W639" s="31"/>
      <c r="X639" s="17"/>
      <c r="Y639" s="17"/>
      <c r="Z639" s="31"/>
      <c r="AA639" s="17"/>
      <c r="AB639" s="17"/>
      <c r="AC639" s="17"/>
      <c r="AD639" s="32"/>
      <c r="AE639" s="31"/>
    </row>
    <row r="640" spans="14:31" x14ac:dyDescent="0.25">
      <c r="N640" s="10"/>
      <c r="P640" s="48"/>
      <c r="Q640" s="17"/>
      <c r="R640" s="17"/>
      <c r="S640" s="17"/>
      <c r="T640" s="17"/>
      <c r="U640" s="17"/>
      <c r="V640" s="17"/>
      <c r="W640" s="31"/>
      <c r="X640" s="17"/>
      <c r="Y640" s="17"/>
      <c r="Z640" s="31"/>
      <c r="AA640" s="17"/>
      <c r="AB640" s="17"/>
      <c r="AC640" s="17"/>
      <c r="AD640" s="32"/>
      <c r="AE640" s="31"/>
    </row>
    <row r="641" spans="14:31" x14ac:dyDescent="0.25">
      <c r="N641" s="10"/>
      <c r="P641" s="48"/>
      <c r="Q641" s="17"/>
      <c r="R641" s="17"/>
      <c r="S641" s="17"/>
      <c r="T641" s="17"/>
      <c r="U641" s="17"/>
      <c r="V641" s="17"/>
      <c r="W641" s="31"/>
      <c r="X641" s="17"/>
      <c r="Y641" s="17"/>
      <c r="Z641" s="31"/>
      <c r="AA641" s="17"/>
      <c r="AB641" s="17"/>
      <c r="AC641" s="17"/>
      <c r="AD641" s="32"/>
      <c r="AE641" s="31"/>
    </row>
    <row r="642" spans="14:31" x14ac:dyDescent="0.25">
      <c r="N642" s="10"/>
      <c r="P642" s="48"/>
      <c r="Q642" s="17"/>
      <c r="R642" s="17"/>
      <c r="S642" s="17"/>
      <c r="T642" s="17"/>
      <c r="U642" s="17"/>
      <c r="V642" s="17"/>
      <c r="W642" s="31"/>
      <c r="X642" s="17"/>
      <c r="Y642" s="17"/>
      <c r="Z642" s="31"/>
      <c r="AA642" s="17"/>
      <c r="AB642" s="17"/>
      <c r="AC642" s="17"/>
      <c r="AD642" s="32"/>
      <c r="AE642" s="31"/>
    </row>
    <row r="643" spans="14:31" x14ac:dyDescent="0.25">
      <c r="N643" s="10"/>
      <c r="P643" s="48"/>
      <c r="Q643" s="17"/>
      <c r="R643" s="17"/>
      <c r="S643" s="17"/>
      <c r="T643" s="17"/>
      <c r="U643" s="17"/>
      <c r="V643" s="17"/>
      <c r="W643" s="31"/>
      <c r="X643" s="17"/>
      <c r="Y643" s="17"/>
      <c r="Z643" s="31"/>
      <c r="AA643" s="17"/>
      <c r="AB643" s="17"/>
      <c r="AC643" s="17"/>
      <c r="AD643" s="32"/>
      <c r="AE643" s="31"/>
    </row>
    <row r="644" spans="14:31" x14ac:dyDescent="0.25">
      <c r="N644" s="10"/>
      <c r="P644" s="48"/>
      <c r="Q644" s="17"/>
      <c r="R644" s="17"/>
      <c r="S644" s="17"/>
      <c r="T644" s="17"/>
      <c r="U644" s="17"/>
      <c r="V644" s="17"/>
      <c r="W644" s="31"/>
      <c r="X644" s="17"/>
      <c r="Y644" s="17"/>
      <c r="Z644" s="31"/>
      <c r="AA644" s="17"/>
      <c r="AB644" s="17"/>
      <c r="AC644" s="17"/>
      <c r="AD644" s="32"/>
      <c r="AE644" s="31"/>
    </row>
    <row r="645" spans="14:31" x14ac:dyDescent="0.25">
      <c r="N645" s="10"/>
      <c r="P645" s="48"/>
      <c r="Q645" s="17"/>
      <c r="R645" s="17"/>
      <c r="S645" s="17"/>
      <c r="T645" s="17"/>
      <c r="U645" s="17"/>
      <c r="V645" s="17"/>
      <c r="W645" s="31"/>
      <c r="X645" s="17"/>
      <c r="Y645" s="17"/>
      <c r="Z645" s="31"/>
      <c r="AA645" s="17"/>
      <c r="AB645" s="17"/>
      <c r="AC645" s="17"/>
      <c r="AD645" s="32"/>
      <c r="AE645" s="31"/>
    </row>
    <row r="646" spans="14:31" x14ac:dyDescent="0.25">
      <c r="N646" s="10"/>
      <c r="P646" s="48"/>
      <c r="Q646" s="17"/>
      <c r="R646" s="17"/>
      <c r="S646" s="17"/>
      <c r="T646" s="17"/>
      <c r="U646" s="17"/>
      <c r="V646" s="17"/>
      <c r="W646" s="31"/>
      <c r="X646" s="17"/>
      <c r="Y646" s="17"/>
      <c r="Z646" s="31"/>
      <c r="AA646" s="17"/>
      <c r="AB646" s="17"/>
      <c r="AC646" s="17"/>
      <c r="AD646" s="32"/>
      <c r="AE646" s="31"/>
    </row>
    <row r="647" spans="14:31" x14ac:dyDescent="0.25">
      <c r="N647" s="10"/>
      <c r="P647" s="48"/>
      <c r="Q647" s="17"/>
      <c r="R647" s="17"/>
      <c r="S647" s="17"/>
      <c r="T647" s="17"/>
      <c r="U647" s="17"/>
      <c r="V647" s="17"/>
      <c r="W647" s="31"/>
      <c r="X647" s="17"/>
      <c r="Y647" s="17"/>
      <c r="Z647" s="31"/>
      <c r="AA647" s="17"/>
      <c r="AB647" s="17"/>
      <c r="AC647" s="17"/>
      <c r="AD647" s="32"/>
      <c r="AE647" s="31"/>
    </row>
    <row r="648" spans="14:31" x14ac:dyDescent="0.25">
      <c r="N648" s="10"/>
      <c r="P648" s="48"/>
      <c r="Q648" s="17"/>
      <c r="R648" s="17"/>
      <c r="S648" s="17"/>
      <c r="T648" s="17"/>
      <c r="U648" s="17"/>
      <c r="V648" s="17"/>
      <c r="W648" s="31"/>
      <c r="X648" s="17"/>
      <c r="Y648" s="17"/>
      <c r="Z648" s="31"/>
      <c r="AA648" s="17"/>
      <c r="AB648" s="17"/>
      <c r="AC648" s="17"/>
      <c r="AD648" s="32"/>
      <c r="AE648" s="31"/>
    </row>
    <row r="649" spans="14:31" x14ac:dyDescent="0.25">
      <c r="N649" s="10"/>
      <c r="P649" s="48"/>
      <c r="Q649" s="17"/>
      <c r="R649" s="17"/>
      <c r="S649" s="17"/>
      <c r="T649" s="17"/>
      <c r="U649" s="17"/>
      <c r="V649" s="17"/>
      <c r="W649" s="31"/>
      <c r="X649" s="17"/>
      <c r="Y649" s="17"/>
      <c r="Z649" s="31"/>
      <c r="AA649" s="17"/>
      <c r="AB649" s="17"/>
      <c r="AC649" s="17"/>
      <c r="AD649" s="32"/>
      <c r="AE649" s="31"/>
    </row>
    <row r="650" spans="14:31" x14ac:dyDescent="0.25">
      <c r="N650" s="10"/>
      <c r="P650" s="48"/>
      <c r="Q650" s="17"/>
      <c r="R650" s="17"/>
      <c r="S650" s="17"/>
      <c r="T650" s="17"/>
      <c r="U650" s="17"/>
      <c r="V650" s="17"/>
      <c r="W650" s="31"/>
      <c r="X650" s="17"/>
      <c r="Y650" s="17"/>
      <c r="Z650" s="31"/>
      <c r="AA650" s="17"/>
      <c r="AB650" s="17"/>
      <c r="AC650" s="17"/>
      <c r="AD650" s="32"/>
      <c r="AE650" s="31"/>
    </row>
    <row r="651" spans="14:31" x14ac:dyDescent="0.25">
      <c r="N651" s="10"/>
      <c r="P651" s="48"/>
      <c r="Q651" s="17"/>
      <c r="R651" s="17"/>
      <c r="S651" s="17"/>
      <c r="T651" s="17"/>
      <c r="U651" s="17"/>
      <c r="V651" s="17"/>
      <c r="W651" s="31"/>
      <c r="X651" s="17"/>
      <c r="Y651" s="17"/>
      <c r="Z651" s="31"/>
      <c r="AA651" s="17"/>
      <c r="AB651" s="17"/>
      <c r="AC651" s="17"/>
      <c r="AD651" s="32"/>
      <c r="AE651" s="31"/>
    </row>
    <row r="652" spans="14:31" x14ac:dyDescent="0.25">
      <c r="N652" s="10"/>
      <c r="P652" s="48"/>
      <c r="Q652" s="17"/>
      <c r="R652" s="17"/>
      <c r="S652" s="17"/>
      <c r="T652" s="17"/>
      <c r="U652" s="17"/>
      <c r="V652" s="17"/>
      <c r="W652" s="31"/>
      <c r="X652" s="17"/>
      <c r="Y652" s="17"/>
      <c r="Z652" s="31"/>
      <c r="AA652" s="17"/>
      <c r="AB652" s="17"/>
      <c r="AC652" s="17"/>
      <c r="AD652" s="32"/>
      <c r="AE652" s="31"/>
    </row>
    <row r="653" spans="14:31" x14ac:dyDescent="0.25">
      <c r="N653" s="10"/>
      <c r="P653" s="48"/>
      <c r="Q653" s="17"/>
      <c r="R653" s="17"/>
      <c r="S653" s="17"/>
      <c r="T653" s="17"/>
      <c r="U653" s="17"/>
      <c r="V653" s="17"/>
      <c r="W653" s="31"/>
      <c r="X653" s="17"/>
      <c r="Y653" s="17"/>
      <c r="Z653" s="31"/>
      <c r="AA653" s="17"/>
      <c r="AB653" s="17"/>
      <c r="AC653" s="17"/>
      <c r="AD653" s="32"/>
      <c r="AE653" s="31"/>
    </row>
    <row r="654" spans="14:31" x14ac:dyDescent="0.25">
      <c r="N654" s="10"/>
      <c r="P654" s="48"/>
      <c r="Q654" s="17"/>
      <c r="R654" s="17"/>
      <c r="S654" s="17"/>
      <c r="T654" s="17"/>
      <c r="U654" s="17"/>
      <c r="V654" s="17"/>
      <c r="W654" s="31"/>
      <c r="X654" s="17"/>
      <c r="Y654" s="17"/>
      <c r="Z654" s="31"/>
      <c r="AA654" s="17"/>
      <c r="AB654" s="17"/>
      <c r="AC654" s="17"/>
      <c r="AD654" s="32"/>
      <c r="AE654" s="31"/>
    </row>
    <row r="655" spans="14:31" x14ac:dyDescent="0.25">
      <c r="N655" s="10"/>
      <c r="P655" s="48"/>
      <c r="Q655" s="17"/>
      <c r="R655" s="17"/>
      <c r="S655" s="17"/>
      <c r="T655" s="17"/>
      <c r="U655" s="17"/>
      <c r="V655" s="17"/>
      <c r="W655" s="31"/>
      <c r="X655" s="17"/>
      <c r="Y655" s="17"/>
      <c r="Z655" s="31"/>
      <c r="AA655" s="17"/>
      <c r="AB655" s="17"/>
      <c r="AC655" s="17"/>
      <c r="AD655" s="32"/>
      <c r="AE655" s="31"/>
    </row>
    <row r="656" spans="14:31" x14ac:dyDescent="0.25">
      <c r="N656" s="10"/>
      <c r="P656" s="48"/>
      <c r="Q656" s="17"/>
      <c r="R656" s="17"/>
      <c r="S656" s="17"/>
      <c r="T656" s="17"/>
      <c r="U656" s="17"/>
      <c r="V656" s="17"/>
      <c r="W656" s="31"/>
      <c r="X656" s="17"/>
      <c r="Y656" s="17"/>
      <c r="Z656" s="31"/>
      <c r="AA656" s="17"/>
      <c r="AB656" s="17"/>
      <c r="AC656" s="17"/>
      <c r="AD656" s="32"/>
      <c r="AE656" s="31"/>
    </row>
    <row r="657" spans="14:31" x14ac:dyDescent="0.25">
      <c r="N657" s="10"/>
      <c r="P657" s="48"/>
      <c r="Q657" s="17"/>
      <c r="R657" s="17"/>
      <c r="S657" s="17"/>
      <c r="T657" s="17"/>
      <c r="U657" s="17"/>
      <c r="V657" s="17"/>
      <c r="W657" s="31"/>
      <c r="X657" s="17"/>
      <c r="Y657" s="17"/>
      <c r="Z657" s="31"/>
      <c r="AA657" s="17"/>
      <c r="AB657" s="17"/>
      <c r="AC657" s="17"/>
      <c r="AD657" s="32"/>
      <c r="AE657" s="31"/>
    </row>
    <row r="658" spans="14:31" x14ac:dyDescent="0.25">
      <c r="N658" s="10"/>
      <c r="P658" s="48"/>
      <c r="Q658" s="17"/>
      <c r="R658" s="17"/>
      <c r="S658" s="17"/>
      <c r="T658" s="17"/>
      <c r="U658" s="17"/>
      <c r="V658" s="17"/>
      <c r="W658" s="31"/>
      <c r="X658" s="17"/>
      <c r="Y658" s="17"/>
      <c r="Z658" s="31"/>
      <c r="AA658" s="17"/>
      <c r="AB658" s="17"/>
      <c r="AC658" s="17"/>
      <c r="AD658" s="32"/>
      <c r="AE658" s="31"/>
    </row>
    <row r="659" spans="14:31" x14ac:dyDescent="0.25">
      <c r="N659" s="10"/>
      <c r="P659" s="48"/>
      <c r="Q659" s="17"/>
      <c r="R659" s="17"/>
      <c r="S659" s="17"/>
      <c r="T659" s="17"/>
      <c r="U659" s="17"/>
      <c r="V659" s="17"/>
      <c r="W659" s="31"/>
      <c r="X659" s="17"/>
      <c r="Y659" s="17"/>
      <c r="Z659" s="31"/>
      <c r="AA659" s="17"/>
      <c r="AB659" s="17"/>
      <c r="AC659" s="17"/>
      <c r="AD659" s="32"/>
      <c r="AE659" s="31"/>
    </row>
    <row r="660" spans="14:31" x14ac:dyDescent="0.25">
      <c r="N660" s="10"/>
      <c r="P660" s="48"/>
      <c r="Q660" s="17"/>
      <c r="R660" s="17"/>
      <c r="S660" s="17"/>
      <c r="T660" s="17"/>
      <c r="U660" s="17"/>
      <c r="V660" s="17"/>
      <c r="W660" s="31"/>
      <c r="X660" s="17"/>
      <c r="Y660" s="17"/>
      <c r="Z660" s="31"/>
      <c r="AA660" s="17"/>
      <c r="AB660" s="17"/>
      <c r="AC660" s="17"/>
      <c r="AD660" s="32"/>
      <c r="AE660" s="31"/>
    </row>
    <row r="661" spans="14:31" x14ac:dyDescent="0.25">
      <c r="N661" s="10"/>
      <c r="P661" s="48"/>
      <c r="Q661" s="17"/>
      <c r="R661" s="17"/>
      <c r="S661" s="17"/>
      <c r="T661" s="17"/>
      <c r="U661" s="17"/>
      <c r="V661" s="17"/>
      <c r="W661" s="31"/>
      <c r="X661" s="17"/>
      <c r="Y661" s="17"/>
      <c r="Z661" s="31"/>
      <c r="AA661" s="17"/>
      <c r="AB661" s="17"/>
      <c r="AC661" s="17"/>
      <c r="AD661" s="32"/>
      <c r="AE661" s="31"/>
    </row>
    <row r="662" spans="14:31" x14ac:dyDescent="0.25">
      <c r="N662" s="10"/>
      <c r="P662" s="48"/>
      <c r="Q662" s="17"/>
      <c r="R662" s="17"/>
      <c r="S662" s="17"/>
      <c r="T662" s="17"/>
      <c r="U662" s="17"/>
      <c r="V662" s="17"/>
      <c r="W662" s="31"/>
      <c r="X662" s="17"/>
      <c r="Y662" s="17"/>
      <c r="Z662" s="31"/>
      <c r="AA662" s="17"/>
      <c r="AB662" s="17"/>
      <c r="AC662" s="17"/>
      <c r="AD662" s="32"/>
      <c r="AE662" s="31"/>
    </row>
    <row r="663" spans="14:31" x14ac:dyDescent="0.25">
      <c r="N663" s="10"/>
      <c r="P663" s="48"/>
      <c r="Q663" s="17"/>
      <c r="R663" s="17"/>
      <c r="S663" s="17"/>
      <c r="T663" s="17"/>
      <c r="U663" s="17"/>
      <c r="V663" s="17"/>
      <c r="W663" s="31"/>
      <c r="X663" s="17"/>
      <c r="Y663" s="17"/>
      <c r="Z663" s="31"/>
      <c r="AA663" s="17"/>
      <c r="AB663" s="17"/>
      <c r="AC663" s="17"/>
      <c r="AD663" s="32"/>
      <c r="AE663" s="31"/>
    </row>
    <row r="664" spans="14:31" x14ac:dyDescent="0.25">
      <c r="N664" s="10"/>
      <c r="P664" s="48"/>
      <c r="Q664" s="17"/>
      <c r="R664" s="17"/>
      <c r="S664" s="17"/>
      <c r="T664" s="17"/>
      <c r="U664" s="17"/>
      <c r="V664" s="17"/>
      <c r="W664" s="31"/>
      <c r="X664" s="17"/>
      <c r="Y664" s="17"/>
      <c r="Z664" s="31"/>
      <c r="AA664" s="17"/>
      <c r="AB664" s="17"/>
      <c r="AC664" s="17"/>
      <c r="AD664" s="32"/>
      <c r="AE664" s="31"/>
    </row>
    <row r="665" spans="14:31" x14ac:dyDescent="0.25">
      <c r="N665" s="10"/>
      <c r="P665" s="48"/>
      <c r="Q665" s="17"/>
      <c r="R665" s="17"/>
      <c r="S665" s="17"/>
      <c r="T665" s="17"/>
      <c r="U665" s="17"/>
      <c r="V665" s="17"/>
      <c r="W665" s="31"/>
      <c r="X665" s="17"/>
      <c r="Y665" s="17"/>
      <c r="Z665" s="31"/>
      <c r="AA665" s="17"/>
      <c r="AB665" s="17"/>
      <c r="AC665" s="17"/>
      <c r="AD665" s="32"/>
      <c r="AE665" s="31"/>
    </row>
    <row r="666" spans="14:31" x14ac:dyDescent="0.25">
      <c r="N666" s="10"/>
      <c r="P666" s="48"/>
      <c r="Q666" s="17"/>
      <c r="R666" s="17"/>
      <c r="S666" s="17"/>
      <c r="T666" s="17"/>
      <c r="U666" s="17"/>
      <c r="V666" s="17"/>
      <c r="W666" s="31"/>
      <c r="X666" s="17"/>
      <c r="Y666" s="17"/>
      <c r="Z666" s="31"/>
      <c r="AA666" s="17"/>
      <c r="AB666" s="17"/>
      <c r="AC666" s="17"/>
      <c r="AD666" s="32"/>
      <c r="AE666" s="31"/>
    </row>
    <row r="667" spans="14:31" x14ac:dyDescent="0.25">
      <c r="N667" s="10"/>
      <c r="P667" s="48"/>
      <c r="Q667" s="17"/>
      <c r="R667" s="17"/>
      <c r="S667" s="17"/>
      <c r="T667" s="17"/>
      <c r="U667" s="17"/>
      <c r="V667" s="17"/>
      <c r="W667" s="31"/>
      <c r="X667" s="17"/>
      <c r="Y667" s="17"/>
      <c r="Z667" s="31"/>
      <c r="AA667" s="17"/>
      <c r="AB667" s="17"/>
      <c r="AC667" s="17"/>
      <c r="AD667" s="32"/>
      <c r="AE667" s="31"/>
    </row>
    <row r="668" spans="14:31" x14ac:dyDescent="0.25">
      <c r="N668" s="10"/>
      <c r="P668" s="48"/>
      <c r="Q668" s="17"/>
      <c r="R668" s="17"/>
      <c r="S668" s="17"/>
      <c r="T668" s="17"/>
      <c r="U668" s="17"/>
      <c r="V668" s="17"/>
      <c r="W668" s="31"/>
      <c r="X668" s="17"/>
      <c r="Y668" s="17"/>
      <c r="Z668" s="31"/>
      <c r="AA668" s="17"/>
      <c r="AB668" s="17"/>
      <c r="AC668" s="17"/>
      <c r="AD668" s="32"/>
      <c r="AE668" s="31"/>
    </row>
    <row r="669" spans="14:31" x14ac:dyDescent="0.25">
      <c r="N669" s="10"/>
      <c r="P669" s="48"/>
      <c r="Q669" s="17"/>
      <c r="R669" s="17"/>
      <c r="S669" s="17"/>
      <c r="T669" s="17"/>
      <c r="U669" s="17"/>
      <c r="V669" s="17"/>
      <c r="W669" s="31"/>
      <c r="X669" s="17"/>
      <c r="Y669" s="17"/>
      <c r="Z669" s="31"/>
      <c r="AA669" s="17"/>
      <c r="AB669" s="17"/>
      <c r="AC669" s="17"/>
      <c r="AD669" s="32"/>
      <c r="AE669" s="31"/>
    </row>
    <row r="670" spans="14:31" x14ac:dyDescent="0.25">
      <c r="N670" s="10"/>
      <c r="P670" s="48"/>
      <c r="Q670" s="17"/>
      <c r="R670" s="17"/>
      <c r="S670" s="17"/>
      <c r="T670" s="17"/>
      <c r="U670" s="17"/>
      <c r="V670" s="17"/>
      <c r="W670" s="31"/>
      <c r="X670" s="17"/>
      <c r="Y670" s="17"/>
      <c r="Z670" s="31"/>
      <c r="AA670" s="17"/>
      <c r="AB670" s="17"/>
      <c r="AC670" s="17"/>
      <c r="AD670" s="32"/>
      <c r="AE670" s="31"/>
    </row>
    <row r="671" spans="14:31" x14ac:dyDescent="0.25">
      <c r="N671" s="10"/>
      <c r="P671" s="48"/>
      <c r="Q671" s="17"/>
      <c r="R671" s="17"/>
      <c r="S671" s="17"/>
      <c r="T671" s="17"/>
      <c r="U671" s="17"/>
      <c r="V671" s="17"/>
      <c r="W671" s="31"/>
      <c r="X671" s="17"/>
      <c r="Y671" s="17"/>
      <c r="Z671" s="31"/>
      <c r="AA671" s="17"/>
      <c r="AB671" s="17"/>
      <c r="AC671" s="17"/>
      <c r="AD671" s="32"/>
      <c r="AE671" s="31"/>
    </row>
    <row r="672" spans="14:31" x14ac:dyDescent="0.25">
      <c r="N672" s="10"/>
      <c r="P672" s="48"/>
      <c r="Q672" s="17"/>
      <c r="R672" s="17"/>
      <c r="S672" s="17"/>
      <c r="T672" s="17"/>
      <c r="U672" s="17"/>
      <c r="V672" s="17"/>
      <c r="W672" s="31"/>
      <c r="X672" s="17"/>
      <c r="Y672" s="17"/>
      <c r="Z672" s="31"/>
      <c r="AA672" s="17"/>
      <c r="AB672" s="17"/>
      <c r="AC672" s="17"/>
      <c r="AD672" s="32"/>
      <c r="AE672" s="31"/>
    </row>
    <row r="673" spans="14:31" x14ac:dyDescent="0.25">
      <c r="N673" s="10"/>
      <c r="P673" s="48"/>
      <c r="Q673" s="17"/>
      <c r="R673" s="17"/>
      <c r="S673" s="17"/>
      <c r="T673" s="17"/>
      <c r="U673" s="17"/>
      <c r="V673" s="17"/>
      <c r="W673" s="31"/>
      <c r="X673" s="17"/>
      <c r="Y673" s="17"/>
      <c r="Z673" s="31"/>
      <c r="AA673" s="17"/>
      <c r="AB673" s="17"/>
      <c r="AC673" s="17"/>
      <c r="AD673" s="32"/>
      <c r="AE673" s="31"/>
    </row>
    <row r="674" spans="14:31" x14ac:dyDescent="0.25">
      <c r="N674" s="10"/>
      <c r="P674" s="48"/>
      <c r="Q674" s="17"/>
      <c r="R674" s="17"/>
      <c r="S674" s="17"/>
      <c r="T674" s="17"/>
      <c r="U674" s="17"/>
      <c r="V674" s="17"/>
      <c r="W674" s="31"/>
      <c r="X674" s="17"/>
      <c r="Y674" s="17"/>
      <c r="Z674" s="31"/>
      <c r="AA674" s="17"/>
      <c r="AB674" s="17"/>
      <c r="AC674" s="17"/>
      <c r="AD674" s="32"/>
      <c r="AE674" s="31"/>
    </row>
    <row r="675" spans="14:31" x14ac:dyDescent="0.25">
      <c r="N675" s="10"/>
      <c r="P675" s="48"/>
      <c r="Q675" s="17"/>
      <c r="R675" s="17"/>
      <c r="S675" s="17"/>
      <c r="T675" s="17"/>
      <c r="U675" s="17"/>
      <c r="V675" s="17"/>
      <c r="W675" s="31"/>
      <c r="X675" s="17"/>
      <c r="Y675" s="17"/>
      <c r="Z675" s="31"/>
      <c r="AA675" s="17"/>
      <c r="AB675" s="17"/>
      <c r="AC675" s="17"/>
      <c r="AD675" s="32"/>
      <c r="AE675" s="31"/>
    </row>
    <row r="676" spans="14:31" x14ac:dyDescent="0.25">
      <c r="N676" s="10"/>
      <c r="P676" s="48"/>
      <c r="Q676" s="17"/>
      <c r="R676" s="17"/>
      <c r="S676" s="17"/>
      <c r="T676" s="17"/>
      <c r="U676" s="17"/>
      <c r="V676" s="17"/>
      <c r="W676" s="31"/>
      <c r="X676" s="17"/>
      <c r="Y676" s="17"/>
      <c r="Z676" s="31"/>
      <c r="AA676" s="17"/>
      <c r="AB676" s="17"/>
      <c r="AC676" s="17"/>
      <c r="AD676" s="32"/>
      <c r="AE676" s="31"/>
    </row>
    <row r="677" spans="14:31" x14ac:dyDescent="0.25">
      <c r="N677" s="10"/>
      <c r="P677" s="48"/>
      <c r="Q677" s="17"/>
      <c r="R677" s="17"/>
      <c r="S677" s="17"/>
      <c r="T677" s="17"/>
      <c r="U677" s="17"/>
      <c r="V677" s="17"/>
      <c r="W677" s="31"/>
      <c r="X677" s="17"/>
      <c r="Y677" s="17"/>
      <c r="Z677" s="31"/>
      <c r="AA677" s="17"/>
      <c r="AB677" s="17"/>
      <c r="AC677" s="17"/>
      <c r="AD677" s="32"/>
      <c r="AE677" s="31"/>
    </row>
    <row r="678" spans="14:31" x14ac:dyDescent="0.25">
      <c r="N678" s="10"/>
      <c r="P678" s="48"/>
      <c r="Q678" s="17"/>
      <c r="R678" s="17"/>
      <c r="S678" s="17"/>
      <c r="T678" s="17"/>
      <c r="U678" s="17"/>
      <c r="V678" s="17"/>
      <c r="W678" s="31"/>
      <c r="X678" s="17"/>
      <c r="Y678" s="17"/>
      <c r="Z678" s="31"/>
      <c r="AA678" s="17"/>
      <c r="AB678" s="17"/>
      <c r="AC678" s="17"/>
      <c r="AD678" s="32"/>
      <c r="AE678" s="31"/>
    </row>
    <row r="679" spans="14:31" x14ac:dyDescent="0.25">
      <c r="N679" s="10"/>
      <c r="P679" s="48"/>
      <c r="Q679" s="17"/>
      <c r="R679" s="17"/>
      <c r="S679" s="17"/>
      <c r="T679" s="17"/>
      <c r="U679" s="17"/>
      <c r="V679" s="17"/>
      <c r="W679" s="31"/>
      <c r="X679" s="17"/>
      <c r="Y679" s="17"/>
      <c r="Z679" s="31"/>
      <c r="AA679" s="17"/>
      <c r="AB679" s="17"/>
      <c r="AC679" s="17"/>
      <c r="AD679" s="32"/>
      <c r="AE679" s="31"/>
    </row>
    <row r="680" spans="14:31" x14ac:dyDescent="0.25">
      <c r="N680" s="10"/>
      <c r="P680" s="48"/>
      <c r="Q680" s="17"/>
      <c r="R680" s="17"/>
      <c r="S680" s="17"/>
      <c r="T680" s="17"/>
      <c r="U680" s="17"/>
      <c r="V680" s="17"/>
      <c r="W680" s="31"/>
      <c r="X680" s="17"/>
      <c r="Y680" s="17"/>
      <c r="Z680" s="31"/>
      <c r="AA680" s="17"/>
      <c r="AB680" s="17"/>
      <c r="AC680" s="17"/>
      <c r="AD680" s="32"/>
      <c r="AE680" s="31"/>
    </row>
    <row r="681" spans="14:31" x14ac:dyDescent="0.25">
      <c r="N681" s="10"/>
      <c r="P681" s="48"/>
      <c r="Q681" s="17"/>
      <c r="R681" s="17"/>
      <c r="S681" s="17"/>
      <c r="T681" s="17"/>
      <c r="U681" s="17"/>
      <c r="V681" s="17"/>
      <c r="W681" s="31"/>
      <c r="X681" s="17"/>
      <c r="Y681" s="17"/>
      <c r="Z681" s="31"/>
      <c r="AA681" s="17"/>
      <c r="AB681" s="17"/>
      <c r="AC681" s="17"/>
      <c r="AD681" s="32"/>
      <c r="AE681" s="31"/>
    </row>
    <row r="682" spans="14:31" x14ac:dyDescent="0.25">
      <c r="N682" s="10"/>
      <c r="P682" s="48"/>
      <c r="Q682" s="17"/>
      <c r="R682" s="17"/>
      <c r="S682" s="17"/>
      <c r="T682" s="17"/>
      <c r="U682" s="17"/>
      <c r="V682" s="17"/>
      <c r="W682" s="31"/>
      <c r="X682" s="17"/>
      <c r="Y682" s="17"/>
      <c r="Z682" s="31"/>
      <c r="AA682" s="17"/>
      <c r="AB682" s="17"/>
      <c r="AC682" s="17"/>
      <c r="AD682" s="32"/>
      <c r="AE682" s="31"/>
    </row>
    <row r="683" spans="14:31" x14ac:dyDescent="0.25">
      <c r="N683" s="10"/>
      <c r="P683" s="48"/>
      <c r="Q683" s="17"/>
      <c r="R683" s="17"/>
      <c r="S683" s="17"/>
      <c r="T683" s="17"/>
      <c r="U683" s="17"/>
      <c r="V683" s="17"/>
      <c r="W683" s="31"/>
      <c r="X683" s="17"/>
      <c r="Y683" s="17"/>
      <c r="Z683" s="31"/>
      <c r="AA683" s="17"/>
      <c r="AB683" s="17"/>
      <c r="AC683" s="17"/>
      <c r="AD683" s="32"/>
      <c r="AE683" s="31"/>
    </row>
    <row r="684" spans="14:31" x14ac:dyDescent="0.25">
      <c r="N684" s="10"/>
      <c r="P684" s="48"/>
      <c r="Q684" s="17"/>
      <c r="R684" s="17"/>
      <c r="S684" s="17"/>
      <c r="T684" s="17"/>
      <c r="U684" s="17"/>
      <c r="V684" s="17"/>
      <c r="W684" s="31"/>
      <c r="X684" s="17"/>
      <c r="Y684" s="17"/>
      <c r="Z684" s="31"/>
      <c r="AA684" s="17"/>
      <c r="AB684" s="17"/>
      <c r="AC684" s="17"/>
      <c r="AD684" s="32"/>
      <c r="AE684" s="31"/>
    </row>
    <row r="685" spans="14:31" x14ac:dyDescent="0.25">
      <c r="N685" s="10"/>
      <c r="P685" s="48"/>
      <c r="Q685" s="17"/>
      <c r="R685" s="17"/>
      <c r="S685" s="17"/>
      <c r="T685" s="17"/>
      <c r="U685" s="17"/>
      <c r="V685" s="17"/>
      <c r="W685" s="31"/>
      <c r="X685" s="17"/>
      <c r="Y685" s="17"/>
      <c r="Z685" s="31"/>
      <c r="AA685" s="17"/>
      <c r="AB685" s="17"/>
      <c r="AC685" s="17"/>
      <c r="AD685" s="32"/>
      <c r="AE685" s="31"/>
    </row>
    <row r="686" spans="14:31" x14ac:dyDescent="0.25">
      <c r="N686" s="10"/>
      <c r="P686" s="48"/>
      <c r="Q686" s="17"/>
      <c r="R686" s="17"/>
      <c r="S686" s="17"/>
      <c r="T686" s="17"/>
      <c r="U686" s="17"/>
      <c r="V686" s="17"/>
      <c r="W686" s="31"/>
      <c r="X686" s="17"/>
      <c r="Y686" s="17"/>
      <c r="Z686" s="31"/>
      <c r="AA686" s="17"/>
      <c r="AB686" s="17"/>
      <c r="AC686" s="17"/>
      <c r="AD686" s="32"/>
      <c r="AE686" s="31"/>
    </row>
    <row r="687" spans="14:31" x14ac:dyDescent="0.25">
      <c r="N687" s="10"/>
      <c r="P687" s="48"/>
      <c r="Q687" s="17"/>
      <c r="R687" s="17"/>
      <c r="S687" s="17"/>
      <c r="T687" s="17"/>
      <c r="U687" s="17"/>
      <c r="V687" s="17"/>
      <c r="W687" s="31"/>
      <c r="X687" s="17"/>
      <c r="Y687" s="17"/>
      <c r="Z687" s="31"/>
      <c r="AA687" s="17"/>
      <c r="AB687" s="17"/>
      <c r="AC687" s="17"/>
      <c r="AD687" s="32"/>
      <c r="AE687" s="31"/>
    </row>
    <row r="688" spans="14:31" x14ac:dyDescent="0.25">
      <c r="N688" s="10"/>
      <c r="P688" s="48"/>
      <c r="Q688" s="17"/>
      <c r="R688" s="17"/>
      <c r="S688" s="17"/>
      <c r="T688" s="17"/>
      <c r="U688" s="17"/>
      <c r="V688" s="17"/>
      <c r="W688" s="31"/>
      <c r="X688" s="17"/>
      <c r="Y688" s="17"/>
      <c r="Z688" s="31"/>
      <c r="AA688" s="17"/>
      <c r="AB688" s="17"/>
      <c r="AC688" s="17"/>
      <c r="AD688" s="32"/>
      <c r="AE688" s="31"/>
    </row>
    <row r="689" spans="14:31" x14ac:dyDescent="0.25">
      <c r="N689" s="10"/>
      <c r="P689" s="48"/>
      <c r="Q689" s="17"/>
      <c r="R689" s="17"/>
      <c r="S689" s="17"/>
      <c r="T689" s="17"/>
      <c r="U689" s="17"/>
      <c r="V689" s="17"/>
      <c r="W689" s="31"/>
      <c r="X689" s="17"/>
      <c r="Y689" s="17"/>
      <c r="Z689" s="31"/>
      <c r="AA689" s="17"/>
      <c r="AB689" s="17"/>
      <c r="AC689" s="17"/>
      <c r="AD689" s="32"/>
      <c r="AE689" s="31"/>
    </row>
    <row r="690" spans="14:31" x14ac:dyDescent="0.25">
      <c r="N690" s="10"/>
      <c r="P690" s="48"/>
      <c r="Q690" s="17"/>
      <c r="R690" s="17"/>
      <c r="S690" s="17"/>
      <c r="T690" s="17"/>
      <c r="U690" s="17"/>
      <c r="V690" s="17"/>
      <c r="W690" s="31"/>
      <c r="X690" s="17"/>
      <c r="Y690" s="17"/>
      <c r="Z690" s="31"/>
      <c r="AA690" s="17"/>
      <c r="AB690" s="17"/>
      <c r="AC690" s="17"/>
      <c r="AD690" s="32"/>
      <c r="AE690" s="31"/>
    </row>
    <row r="691" spans="14:31" x14ac:dyDescent="0.25">
      <c r="N691" s="10"/>
      <c r="P691" s="48"/>
      <c r="Q691" s="17"/>
      <c r="R691" s="17"/>
      <c r="S691" s="17"/>
      <c r="T691" s="17"/>
      <c r="U691" s="17"/>
      <c r="V691" s="17"/>
      <c r="W691" s="31"/>
      <c r="X691" s="17"/>
      <c r="Y691" s="17"/>
      <c r="Z691" s="31"/>
      <c r="AA691" s="17"/>
      <c r="AB691" s="17"/>
      <c r="AC691" s="17"/>
      <c r="AD691" s="32"/>
      <c r="AE691" s="31"/>
    </row>
    <row r="692" spans="14:31" x14ac:dyDescent="0.25">
      <c r="N692" s="10"/>
      <c r="P692" s="48"/>
      <c r="Q692" s="17"/>
      <c r="R692" s="17"/>
      <c r="S692" s="17"/>
      <c r="T692" s="17"/>
      <c r="U692" s="17"/>
      <c r="V692" s="17"/>
      <c r="W692" s="31"/>
      <c r="X692" s="17"/>
      <c r="Y692" s="17"/>
      <c r="Z692" s="31"/>
      <c r="AA692" s="17"/>
      <c r="AB692" s="17"/>
      <c r="AC692" s="17"/>
      <c r="AD692" s="32"/>
      <c r="AE692" s="31"/>
    </row>
    <row r="693" spans="14:31" x14ac:dyDescent="0.25">
      <c r="N693" s="10"/>
      <c r="P693" s="48"/>
      <c r="Q693" s="17"/>
      <c r="R693" s="17"/>
      <c r="S693" s="17"/>
      <c r="T693" s="17"/>
      <c r="U693" s="17"/>
      <c r="V693" s="17"/>
      <c r="W693" s="31"/>
      <c r="X693" s="17"/>
      <c r="Y693" s="17"/>
      <c r="Z693" s="31"/>
      <c r="AA693" s="17"/>
      <c r="AB693" s="17"/>
      <c r="AC693" s="17"/>
      <c r="AD693" s="32"/>
      <c r="AE693" s="31"/>
    </row>
    <row r="694" spans="14:31" x14ac:dyDescent="0.25">
      <c r="N694" s="10"/>
      <c r="P694" s="48"/>
      <c r="Q694" s="17"/>
      <c r="R694" s="17"/>
      <c r="S694" s="17"/>
      <c r="T694" s="17"/>
      <c r="U694" s="17"/>
      <c r="V694" s="17"/>
      <c r="W694" s="31"/>
      <c r="X694" s="17"/>
      <c r="Y694" s="17"/>
      <c r="Z694" s="31"/>
      <c r="AA694" s="17"/>
      <c r="AB694" s="17"/>
      <c r="AC694" s="17"/>
      <c r="AD694" s="32"/>
      <c r="AE694" s="31"/>
    </row>
    <row r="695" spans="14:31" x14ac:dyDescent="0.25">
      <c r="N695" s="10"/>
      <c r="P695" s="48"/>
      <c r="Q695" s="17"/>
      <c r="R695" s="17"/>
      <c r="S695" s="17"/>
      <c r="T695" s="17"/>
      <c r="U695" s="17"/>
      <c r="V695" s="17"/>
      <c r="W695" s="31"/>
      <c r="X695" s="17"/>
      <c r="Y695" s="17"/>
      <c r="Z695" s="31"/>
      <c r="AA695" s="17"/>
      <c r="AB695" s="17"/>
      <c r="AC695" s="17"/>
      <c r="AD695" s="32"/>
      <c r="AE695" s="31"/>
    </row>
    <row r="696" spans="14:31" x14ac:dyDescent="0.25">
      <c r="N696" s="10"/>
      <c r="P696" s="48"/>
      <c r="Q696" s="17"/>
      <c r="R696" s="17"/>
      <c r="S696" s="17"/>
      <c r="T696" s="17"/>
      <c r="U696" s="17"/>
      <c r="V696" s="17"/>
      <c r="W696" s="31"/>
      <c r="X696" s="17"/>
      <c r="Y696" s="17"/>
      <c r="Z696" s="31"/>
      <c r="AA696" s="17"/>
      <c r="AB696" s="17"/>
      <c r="AC696" s="17"/>
      <c r="AD696" s="32"/>
      <c r="AE696" s="31"/>
    </row>
    <row r="697" spans="14:31" x14ac:dyDescent="0.25">
      <c r="N697" s="10"/>
      <c r="P697" s="48"/>
      <c r="Q697" s="17"/>
      <c r="R697" s="17"/>
      <c r="S697" s="17"/>
      <c r="T697" s="17"/>
      <c r="U697" s="17"/>
      <c r="V697" s="17"/>
      <c r="W697" s="31"/>
      <c r="X697" s="17"/>
      <c r="Y697" s="17"/>
      <c r="Z697" s="31"/>
      <c r="AA697" s="17"/>
      <c r="AB697" s="17"/>
      <c r="AC697" s="17"/>
      <c r="AD697" s="32"/>
      <c r="AE697" s="31"/>
    </row>
    <row r="698" spans="14:31" x14ac:dyDescent="0.25">
      <c r="N698" s="10"/>
      <c r="P698" s="48"/>
      <c r="Q698" s="17"/>
      <c r="R698" s="17"/>
      <c r="S698" s="17"/>
      <c r="T698" s="17"/>
      <c r="U698" s="17"/>
      <c r="V698" s="17"/>
      <c r="W698" s="31"/>
      <c r="X698" s="17"/>
      <c r="Y698" s="17"/>
      <c r="Z698" s="31"/>
      <c r="AA698" s="17"/>
      <c r="AB698" s="17"/>
      <c r="AC698" s="17"/>
      <c r="AD698" s="32"/>
      <c r="AE698" s="31"/>
    </row>
    <row r="699" spans="14:31" x14ac:dyDescent="0.25">
      <c r="N699" s="10"/>
      <c r="P699" s="48"/>
      <c r="Q699" s="17"/>
      <c r="R699" s="17"/>
      <c r="S699" s="17"/>
      <c r="T699" s="17"/>
      <c r="U699" s="17"/>
      <c r="V699" s="17"/>
      <c r="W699" s="31"/>
      <c r="X699" s="17"/>
      <c r="Y699" s="17"/>
      <c r="Z699" s="31"/>
      <c r="AA699" s="17"/>
      <c r="AB699" s="17"/>
      <c r="AC699" s="17"/>
      <c r="AD699" s="32"/>
      <c r="AE699" s="31"/>
    </row>
    <row r="700" spans="14:31" x14ac:dyDescent="0.25">
      <c r="N700" s="10"/>
      <c r="P700" s="48"/>
      <c r="Q700" s="17"/>
      <c r="R700" s="17"/>
      <c r="S700" s="17"/>
      <c r="T700" s="17"/>
      <c r="U700" s="17"/>
      <c r="V700" s="17"/>
      <c r="W700" s="31"/>
      <c r="X700" s="17"/>
      <c r="Y700" s="17"/>
      <c r="Z700" s="31"/>
      <c r="AA700" s="17"/>
      <c r="AB700" s="17"/>
      <c r="AC700" s="17"/>
      <c r="AD700" s="32"/>
      <c r="AE700" s="31"/>
    </row>
    <row r="701" spans="14:31" x14ac:dyDescent="0.25">
      <c r="N701" s="10"/>
      <c r="P701" s="48"/>
      <c r="Q701" s="17"/>
      <c r="R701" s="17"/>
      <c r="S701" s="17"/>
      <c r="T701" s="17"/>
      <c r="U701" s="17"/>
      <c r="V701" s="17"/>
      <c r="W701" s="31"/>
      <c r="X701" s="17"/>
      <c r="Y701" s="17"/>
      <c r="Z701" s="31"/>
      <c r="AA701" s="17"/>
      <c r="AB701" s="17"/>
      <c r="AC701" s="17"/>
      <c r="AD701" s="32"/>
      <c r="AE701" s="31"/>
    </row>
    <row r="702" spans="14:31" x14ac:dyDescent="0.25">
      <c r="N702" s="10"/>
      <c r="P702" s="48"/>
      <c r="Q702" s="17"/>
      <c r="R702" s="17"/>
      <c r="S702" s="17"/>
      <c r="T702" s="17"/>
      <c r="U702" s="17"/>
      <c r="V702" s="17"/>
      <c r="W702" s="31"/>
      <c r="X702" s="17"/>
      <c r="Y702" s="17"/>
      <c r="Z702" s="31"/>
      <c r="AA702" s="17"/>
      <c r="AB702" s="17"/>
      <c r="AC702" s="17"/>
      <c r="AD702" s="32"/>
      <c r="AE702" s="31"/>
    </row>
    <row r="703" spans="14:31" x14ac:dyDescent="0.25">
      <c r="N703" s="10"/>
      <c r="P703" s="48"/>
      <c r="Q703" s="17"/>
      <c r="R703" s="17"/>
      <c r="S703" s="17"/>
      <c r="T703" s="17"/>
      <c r="U703" s="17"/>
      <c r="V703" s="17"/>
      <c r="W703" s="31"/>
      <c r="X703" s="17"/>
      <c r="Y703" s="17"/>
      <c r="Z703" s="31"/>
      <c r="AA703" s="17"/>
      <c r="AB703" s="17"/>
      <c r="AC703" s="17"/>
      <c r="AD703" s="32"/>
      <c r="AE703" s="31"/>
    </row>
    <row r="704" spans="14:31" x14ac:dyDescent="0.25">
      <c r="N704" s="10"/>
      <c r="P704" s="48"/>
      <c r="Q704" s="17"/>
      <c r="R704" s="17"/>
      <c r="S704" s="17"/>
      <c r="T704" s="17"/>
      <c r="U704" s="17"/>
      <c r="V704" s="17"/>
      <c r="W704" s="31"/>
      <c r="X704" s="17"/>
      <c r="Y704" s="17"/>
      <c r="Z704" s="31"/>
      <c r="AA704" s="17"/>
      <c r="AB704" s="17"/>
      <c r="AC704" s="17"/>
      <c r="AD704" s="32"/>
      <c r="AE704" s="31"/>
    </row>
    <row r="705" spans="14:31" x14ac:dyDescent="0.25">
      <c r="N705" s="10"/>
      <c r="P705" s="48"/>
      <c r="Q705" s="17"/>
      <c r="R705" s="17"/>
      <c r="S705" s="17"/>
      <c r="T705" s="17"/>
      <c r="U705" s="17"/>
      <c r="V705" s="17"/>
      <c r="W705" s="31"/>
      <c r="X705" s="17"/>
      <c r="Y705" s="17"/>
      <c r="Z705" s="31"/>
      <c r="AA705" s="17"/>
      <c r="AB705" s="17"/>
      <c r="AC705" s="17"/>
      <c r="AD705" s="32"/>
      <c r="AE705" s="31"/>
    </row>
    <row r="706" spans="14:31" x14ac:dyDescent="0.25">
      <c r="N706" s="10"/>
      <c r="P706" s="48"/>
      <c r="Q706" s="17"/>
      <c r="R706" s="17"/>
      <c r="S706" s="17"/>
      <c r="T706" s="17"/>
      <c r="U706" s="17"/>
      <c r="V706" s="17"/>
      <c r="W706" s="31"/>
      <c r="X706" s="17"/>
      <c r="Y706" s="17"/>
      <c r="Z706" s="31"/>
      <c r="AA706" s="17"/>
      <c r="AB706" s="17"/>
      <c r="AC706" s="17"/>
      <c r="AD706" s="32"/>
      <c r="AE706" s="31"/>
    </row>
    <row r="707" spans="14:31" x14ac:dyDescent="0.25">
      <c r="N707" s="10"/>
      <c r="P707" s="48"/>
      <c r="Q707" s="17"/>
      <c r="R707" s="17"/>
      <c r="S707" s="17"/>
      <c r="T707" s="17"/>
      <c r="U707" s="17"/>
      <c r="V707" s="17"/>
      <c r="W707" s="31"/>
      <c r="X707" s="17"/>
      <c r="Y707" s="17"/>
      <c r="Z707" s="31"/>
      <c r="AA707" s="17"/>
      <c r="AB707" s="17"/>
      <c r="AC707" s="17"/>
      <c r="AD707" s="32"/>
      <c r="AE707" s="31"/>
    </row>
    <row r="708" spans="14:31" x14ac:dyDescent="0.25">
      <c r="N708" s="10"/>
      <c r="P708" s="48"/>
      <c r="Q708" s="17"/>
      <c r="R708" s="17"/>
      <c r="S708" s="17"/>
      <c r="T708" s="17"/>
      <c r="U708" s="17"/>
      <c r="V708" s="17"/>
      <c r="W708" s="31"/>
      <c r="X708" s="17"/>
      <c r="Y708" s="17"/>
      <c r="Z708" s="31"/>
      <c r="AA708" s="17"/>
      <c r="AB708" s="17"/>
      <c r="AC708" s="17"/>
      <c r="AD708" s="32"/>
      <c r="AE708" s="31"/>
    </row>
  </sheetData>
  <mergeCells count="29">
    <mergeCell ref="AP17:AR17"/>
    <mergeCell ref="AC17:AE17"/>
    <mergeCell ref="AS16:AU16"/>
    <mergeCell ref="AS17:AU17"/>
    <mergeCell ref="AG17:AI17"/>
    <mergeCell ref="AJ17:AL17"/>
    <mergeCell ref="AM17:AO17"/>
    <mergeCell ref="AF16:AR16"/>
    <mergeCell ref="AF4:AR4"/>
    <mergeCell ref="AS4:AU4"/>
    <mergeCell ref="Q5:S5"/>
    <mergeCell ref="T5:V5"/>
    <mergeCell ref="W5:Y5"/>
    <mergeCell ref="Z5:AB5"/>
    <mergeCell ref="AC5:AE5"/>
    <mergeCell ref="AG5:AI5"/>
    <mergeCell ref="AJ5:AL5"/>
    <mergeCell ref="AM5:AO5"/>
    <mergeCell ref="AP5:AR5"/>
    <mergeCell ref="AS5:AU5"/>
    <mergeCell ref="A1:M1"/>
    <mergeCell ref="E6:K6"/>
    <mergeCell ref="Q17:S17"/>
    <mergeCell ref="T17:V17"/>
    <mergeCell ref="W17:Y17"/>
    <mergeCell ref="P16:AE16"/>
    <mergeCell ref="Z17:AB17"/>
    <mergeCell ref="N1:X1"/>
    <mergeCell ref="P4:AE4"/>
  </mergeCells>
  <pageMargins left="0.7" right="0.7" top="0.75" bottom="0.75" header="0.3" footer="0.3"/>
  <pageSetup orientation="portrait" r:id="rId1"/>
  <drawing r:id="rId2"/>
  <legacyDrawing r:id="rId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BZ157"/>
  <sheetViews>
    <sheetView zoomScale="85" zoomScaleNormal="85" workbookViewId="0">
      <pane ySplit="6" topLeftCell="A7" activePane="bottomLeft" state="frozen"/>
      <selection activeCell="R1" sqref="R1"/>
      <selection pane="bottomLeft" activeCell="H9" sqref="H9"/>
    </sheetView>
  </sheetViews>
  <sheetFormatPr defaultColWidth="8.85546875" defaultRowHeight="15" x14ac:dyDescent="0.25"/>
  <cols>
    <col min="1" max="1" width="25.42578125" style="49" customWidth="1"/>
    <col min="2" max="2" width="14.7109375" style="49" customWidth="1"/>
    <col min="3" max="9" width="8.85546875" style="49"/>
    <col min="10" max="10" width="10" style="49" bestFit="1" customWidth="1"/>
    <col min="11" max="20" width="8.85546875" style="49"/>
    <col min="21" max="21" width="7.85546875" style="49" customWidth="1"/>
    <col min="22" max="25" width="8.85546875" style="49"/>
    <col min="26" max="26" width="12" style="49" bestFit="1" customWidth="1"/>
    <col min="27" max="46" width="8.85546875" style="49"/>
    <col min="47" max="47" width="11.85546875" style="49" bestFit="1" customWidth="1"/>
    <col min="48" max="56" width="8.85546875" style="49"/>
    <col min="57" max="58" width="14.7109375" style="49" bestFit="1" customWidth="1"/>
    <col min="59" max="59" width="9.7109375" style="49" customWidth="1"/>
    <col min="60" max="60" width="9.42578125" style="49" customWidth="1"/>
    <col min="61" max="62" width="11.85546875" style="49" customWidth="1"/>
    <col min="63" max="65" width="8.85546875" style="49"/>
    <col min="66" max="67" width="8.5703125" style="49" bestFit="1" customWidth="1"/>
    <col min="68" max="68" width="10.7109375" style="49" bestFit="1" customWidth="1"/>
    <col min="69" max="69" width="9.7109375" style="49" bestFit="1" customWidth="1"/>
    <col min="70" max="70" width="8.42578125" style="49" bestFit="1" customWidth="1"/>
    <col min="71" max="71" width="9.28515625" style="49" bestFit="1" customWidth="1"/>
    <col min="72" max="72" width="11.28515625" style="49" bestFit="1" customWidth="1"/>
    <col min="73" max="73" width="12.42578125" style="49" bestFit="1" customWidth="1"/>
    <col min="74" max="75" width="8.85546875" style="49"/>
    <col min="76" max="76" width="14.7109375" style="49" bestFit="1" customWidth="1"/>
    <col min="77" max="16384" width="8.85546875" style="49"/>
  </cols>
  <sheetData>
    <row r="1" spans="1:78" ht="27.75" x14ac:dyDescent="0.4">
      <c r="A1" s="276" t="s">
        <v>16</v>
      </c>
      <c r="B1" s="276"/>
      <c r="C1" s="276"/>
      <c r="D1" s="276"/>
      <c r="E1" s="276"/>
      <c r="F1" s="276"/>
      <c r="G1" s="276"/>
      <c r="H1" s="276"/>
      <c r="I1" s="276"/>
      <c r="J1" s="276"/>
      <c r="K1" s="276"/>
      <c r="L1" s="276"/>
      <c r="M1" s="276"/>
    </row>
    <row r="2" spans="1:78" x14ac:dyDescent="0.25">
      <c r="AN2" s="49" t="s">
        <v>602</v>
      </c>
      <c r="AO2" s="49">
        <f>((NS1_/Np)^2)*Lm</f>
        <v>1.7999999999999998E-4</v>
      </c>
    </row>
    <row r="3" spans="1:78" ht="15.75" thickBot="1" x14ac:dyDescent="0.3">
      <c r="AX3" s="49" t="s">
        <v>668</v>
      </c>
    </row>
    <row r="4" spans="1:78" ht="15.75" thickBot="1" x14ac:dyDescent="0.3">
      <c r="R4" s="272" t="s">
        <v>325</v>
      </c>
      <c r="S4" s="270"/>
      <c r="T4" s="271"/>
      <c r="U4" s="277" t="s">
        <v>599</v>
      </c>
      <c r="V4" s="278"/>
      <c r="W4" s="278"/>
      <c r="X4" s="278"/>
      <c r="Y4" s="278"/>
      <c r="Z4" s="278"/>
      <c r="AA4" s="278"/>
      <c r="AB4" s="278"/>
      <c r="AC4" s="278"/>
      <c r="AD4" s="278"/>
      <c r="AE4" s="279"/>
      <c r="AF4" s="210"/>
      <c r="AG4" s="210"/>
      <c r="AH4" s="74"/>
      <c r="AI4" s="74"/>
      <c r="AJ4" s="77"/>
      <c r="AK4" s="277" t="s">
        <v>614</v>
      </c>
      <c r="AL4" s="278"/>
      <c r="AM4" s="278"/>
      <c r="AN4" s="278"/>
      <c r="AO4" s="278"/>
      <c r="AP4" s="278"/>
      <c r="AQ4" s="278"/>
      <c r="AR4" s="278"/>
      <c r="AS4" s="278"/>
      <c r="AT4" s="278"/>
      <c r="AU4" s="278"/>
      <c r="AV4" s="278"/>
      <c r="AW4" s="278"/>
      <c r="AX4" s="278"/>
      <c r="AY4" s="279"/>
      <c r="AZ4" s="272" t="s">
        <v>487</v>
      </c>
      <c r="BA4" s="270"/>
      <c r="BB4" s="270"/>
      <c r="BC4" s="270"/>
      <c r="BD4" s="270"/>
      <c r="BE4" s="270"/>
      <c r="BF4" s="270"/>
      <c r="BG4" s="270"/>
      <c r="BH4" s="270"/>
      <c r="BI4" s="271"/>
      <c r="BJ4" s="210"/>
      <c r="BK4" s="272" t="s">
        <v>627</v>
      </c>
      <c r="BL4" s="270"/>
      <c r="BM4" s="270"/>
      <c r="BN4" s="270"/>
      <c r="BO4" s="270"/>
      <c r="BP4" s="270"/>
      <c r="BQ4" s="270"/>
      <c r="BR4" s="270"/>
      <c r="BS4" s="270"/>
      <c r="BT4" s="270"/>
      <c r="BU4" s="71"/>
      <c r="BV4" s="74"/>
      <c r="BW4" s="77"/>
      <c r="BY4" s="49" t="s">
        <v>632</v>
      </c>
    </row>
    <row r="5" spans="1:78" x14ac:dyDescent="0.25">
      <c r="R5" s="268"/>
      <c r="S5" s="267"/>
      <c r="T5" s="269"/>
      <c r="U5" s="226" t="s">
        <v>326</v>
      </c>
      <c r="V5" s="211"/>
      <c r="W5" s="209"/>
      <c r="X5" s="209"/>
      <c r="Y5" s="226" t="s">
        <v>596</v>
      </c>
      <c r="Z5" s="211"/>
      <c r="AA5" s="211"/>
      <c r="AB5" s="212"/>
      <c r="AC5" s="226"/>
      <c r="AD5" s="211"/>
      <c r="AE5" s="212"/>
      <c r="AF5" s="272" t="s">
        <v>629</v>
      </c>
      <c r="AG5" s="271"/>
      <c r="AH5" s="272" t="s">
        <v>628</v>
      </c>
      <c r="AI5" s="270"/>
      <c r="AJ5" s="271"/>
      <c r="AK5" s="272"/>
      <c r="AL5" s="270"/>
      <c r="AM5" s="271"/>
      <c r="AN5" s="272"/>
      <c r="AO5" s="270"/>
      <c r="AP5" s="270"/>
      <c r="AQ5" s="270"/>
      <c r="AR5" s="270"/>
      <c r="AS5" s="271"/>
      <c r="AT5" s="272" t="s">
        <v>615</v>
      </c>
      <c r="AU5" s="270"/>
      <c r="AV5" s="271"/>
      <c r="AW5" s="272" t="s">
        <v>616</v>
      </c>
      <c r="AX5" s="270"/>
      <c r="AY5" s="271"/>
      <c r="AZ5" s="272"/>
      <c r="BA5" s="270"/>
      <c r="BB5" s="270"/>
      <c r="BC5" s="271"/>
      <c r="BD5" s="272" t="s">
        <v>615</v>
      </c>
      <c r="BE5" s="270"/>
      <c r="BF5" s="271"/>
      <c r="BG5" s="272" t="s">
        <v>616</v>
      </c>
      <c r="BH5" s="270"/>
      <c r="BI5" s="271"/>
      <c r="BJ5" s="210"/>
      <c r="BK5" s="272"/>
      <c r="BL5" s="270"/>
      <c r="BM5" s="270"/>
      <c r="BN5" s="271"/>
      <c r="BO5" s="272" t="s">
        <v>615</v>
      </c>
      <c r="BP5" s="270"/>
      <c r="BQ5" s="271"/>
      <c r="BR5" s="272" t="s">
        <v>616</v>
      </c>
      <c r="BS5" s="270"/>
      <c r="BT5" s="271"/>
      <c r="BU5" s="273" t="s">
        <v>378</v>
      </c>
      <c r="BV5" s="274"/>
      <c r="BW5" s="275"/>
      <c r="BX5" s="214"/>
    </row>
    <row r="6" spans="1:78" ht="18" x14ac:dyDescent="0.35">
      <c r="R6" s="58" t="s">
        <v>597</v>
      </c>
      <c r="S6" s="49" t="s">
        <v>280</v>
      </c>
      <c r="T6" s="61" t="s">
        <v>283</v>
      </c>
      <c r="U6" s="58" t="s">
        <v>281</v>
      </c>
      <c r="V6" s="49" t="s">
        <v>282</v>
      </c>
      <c r="W6" s="49" t="s">
        <v>600</v>
      </c>
      <c r="X6" s="49" t="s">
        <v>601</v>
      </c>
      <c r="Y6" s="58" t="s">
        <v>598</v>
      </c>
      <c r="Z6" s="215" t="s">
        <v>327</v>
      </c>
      <c r="AA6" s="215" t="s">
        <v>329</v>
      </c>
      <c r="AB6" s="220" t="s">
        <v>328</v>
      </c>
      <c r="AC6" s="224" t="s">
        <v>331</v>
      </c>
      <c r="AD6" s="216" t="s">
        <v>332</v>
      </c>
      <c r="AE6" s="218" t="s">
        <v>371</v>
      </c>
      <c r="AF6" s="224" t="s">
        <v>630</v>
      </c>
      <c r="AG6" s="218" t="s">
        <v>631</v>
      </c>
      <c r="AH6" s="224" t="s">
        <v>369</v>
      </c>
      <c r="AI6" s="216" t="s">
        <v>368</v>
      </c>
      <c r="AJ6" s="218" t="s">
        <v>370</v>
      </c>
      <c r="AK6" s="58" t="s">
        <v>422</v>
      </c>
      <c r="AL6" s="49" t="s">
        <v>419</v>
      </c>
      <c r="AM6" s="61" t="s">
        <v>420</v>
      </c>
      <c r="AN6" s="224" t="s">
        <v>281</v>
      </c>
      <c r="AO6" s="216" t="s">
        <v>610</v>
      </c>
      <c r="AP6" s="216" t="s">
        <v>609</v>
      </c>
      <c r="AQ6" s="216" t="s">
        <v>611</v>
      </c>
      <c r="AR6" s="216" t="s">
        <v>612</v>
      </c>
      <c r="AS6" s="218" t="s">
        <v>613</v>
      </c>
      <c r="AT6" s="224" t="s">
        <v>331</v>
      </c>
      <c r="AU6" s="216" t="s">
        <v>332</v>
      </c>
      <c r="AV6" s="218" t="s">
        <v>371</v>
      </c>
      <c r="AW6" s="224" t="s">
        <v>617</v>
      </c>
      <c r="AX6" s="216" t="s">
        <v>618</v>
      </c>
      <c r="AY6" s="218" t="s">
        <v>619</v>
      </c>
      <c r="AZ6" s="58" t="s">
        <v>426</v>
      </c>
      <c r="BA6" s="49" t="s">
        <v>423</v>
      </c>
      <c r="BB6" s="49" t="s">
        <v>424</v>
      </c>
      <c r="BC6" s="218" t="s">
        <v>608</v>
      </c>
      <c r="BD6" s="224" t="s">
        <v>331</v>
      </c>
      <c r="BE6" s="216" t="s">
        <v>332</v>
      </c>
      <c r="BF6" s="218" t="s">
        <v>371</v>
      </c>
      <c r="BG6" s="224" t="s">
        <v>617</v>
      </c>
      <c r="BH6" s="216" t="s">
        <v>618</v>
      </c>
      <c r="BI6" s="218" t="s">
        <v>619</v>
      </c>
      <c r="BJ6" s="216"/>
      <c r="BK6" s="58" t="s">
        <v>430</v>
      </c>
      <c r="BL6" s="49" t="s">
        <v>427</v>
      </c>
      <c r="BM6" s="49" t="s">
        <v>428</v>
      </c>
      <c r="BN6" s="218" t="s">
        <v>626</v>
      </c>
      <c r="BO6" s="224" t="s">
        <v>331</v>
      </c>
      <c r="BP6" s="216" t="s">
        <v>332</v>
      </c>
      <c r="BQ6" s="218" t="s">
        <v>371</v>
      </c>
      <c r="BR6" s="224" t="s">
        <v>617</v>
      </c>
      <c r="BS6" s="216" t="s">
        <v>618</v>
      </c>
      <c r="BT6" s="218" t="s">
        <v>619</v>
      </c>
      <c r="BU6" s="219" t="s">
        <v>372</v>
      </c>
      <c r="BV6" s="215" t="s">
        <v>373</v>
      </c>
      <c r="BW6" s="220" t="s">
        <v>374</v>
      </c>
      <c r="BX6" s="215" t="s">
        <v>633</v>
      </c>
    </row>
    <row r="7" spans="1:78" x14ac:dyDescent="0.25">
      <c r="Q7" s="49">
        <v>0</v>
      </c>
      <c r="R7" s="58">
        <f t="shared" ref="R7:R38" si="0">AK7+AZ7+BK7</f>
        <v>0</v>
      </c>
      <c r="S7" s="49">
        <f t="shared" ref="S7:S70" si="1">VIN_var</f>
        <v>12</v>
      </c>
      <c r="T7" s="61">
        <f t="shared" ref="T7:T38" si="2">(R7)/(S7*EFF_est)</f>
        <v>0</v>
      </c>
      <c r="U7" s="58">
        <f t="shared" ref="U7:U38" si="3">IF(R7&lt;((((Np/NS1_)*(AL7)/((S7+((Np/NS1_)*(AL7)))))^2)*(S7^2))/(2*Lm*Fsw),1,2)</f>
        <v>1</v>
      </c>
      <c r="V7" s="49">
        <f t="shared" ref="V7:V38" si="4">CHOOSE(U7,SQRT((2*Lm*R7*Fsw)/((S7^2)*EFF_est)),(((Np/NS1_)*(AL7))/(S7+((Np/NS1_)*(AL7)))))</f>
        <v>0</v>
      </c>
      <c r="W7" s="49">
        <f t="shared" ref="W7:W38" si="5">CHOOSE(U7,(NS1_*S7*V7)/(Np*AL7),1-V7)</f>
        <v>0</v>
      </c>
      <c r="X7" s="49">
        <f>CHOOSE(U7,1-V7-W7,0)</f>
        <v>1</v>
      </c>
      <c r="Y7" s="58">
        <v>0</v>
      </c>
      <c r="Z7" s="49">
        <f t="shared" ref="Z7:Z38" si="6">(S7*V7)/(Lm*Fsw)</f>
        <v>0</v>
      </c>
      <c r="AA7" s="49">
        <f>Y7+(Z7/2)</f>
        <v>0</v>
      </c>
      <c r="AB7" s="61">
        <f t="shared" ref="AB7:AB38" si="7">CHOOSE(U7,AA7*SQRT(V7/3),SQRT(V7*((AA7^2)+((Z7^2)/(3))-(AA7*Z7))))</f>
        <v>0</v>
      </c>
      <c r="AC7" s="58">
        <v>0</v>
      </c>
      <c r="AD7" s="49">
        <f>(AB7^2)*Rdcr</f>
        <v>0</v>
      </c>
      <c r="AE7" s="61">
        <f>AC7+AD7</f>
        <v>0</v>
      </c>
      <c r="AF7" s="58">
        <f t="shared" ref="AF7:AF38" si="8">R7*0.02</f>
        <v>0</v>
      </c>
      <c r="AG7" s="61">
        <f t="shared" ref="AG7:AG38" si="9">R7*0.02</f>
        <v>0</v>
      </c>
      <c r="AH7" s="58">
        <f t="shared" ref="AH7:AH38" si="10">(AB7^2)*RDS_on</f>
        <v>0</v>
      </c>
      <c r="AI7" s="49">
        <f t="shared" ref="AI7:AI38" si="11">((Y7*(S7+((Np/NS1_)*VOUT1)))/2)*Fsw*(tr_sw+tf_sw)</f>
        <v>0</v>
      </c>
      <c r="AJ7" s="61">
        <f>AH7+AI7</f>
        <v>0</v>
      </c>
      <c r="AK7" s="58">
        <f t="shared" ref="AK7:AK38" si="12">Q7*$B$11</f>
        <v>0</v>
      </c>
      <c r="AL7" s="49">
        <f t="shared" ref="AL7:AL70" si="13">VOUT1</f>
        <v>15</v>
      </c>
      <c r="AM7" s="61">
        <f>AK7/AL7</f>
        <v>0</v>
      </c>
      <c r="AN7" s="58"/>
      <c r="AS7" s="61"/>
      <c r="AT7" s="58"/>
      <c r="AV7" s="61"/>
      <c r="AW7" s="58"/>
      <c r="AY7" s="61"/>
      <c r="AZ7" s="58">
        <f t="shared" ref="AZ7:AZ38" si="14">IF(EN_OUT_2=1,Q7*$B$15,0)</f>
        <v>0</v>
      </c>
      <c r="BA7" s="49">
        <f t="shared" ref="BA7:BA38" si="15">IF(EN_OUT_2=1,VOUT2,0)</f>
        <v>0</v>
      </c>
      <c r="BB7" s="49">
        <f t="shared" ref="BB7:BB8" si="16">IF(EN_OUT_2=1,AZ7/BA7,0)</f>
        <v>0</v>
      </c>
      <c r="BC7" s="61"/>
      <c r="BD7" s="58"/>
      <c r="BF7" s="61"/>
      <c r="BG7" s="58"/>
      <c r="BI7" s="61"/>
      <c r="BK7" s="58">
        <f t="shared" ref="BK7:BK38" si="17">IF(EN_OUT_3=1,Q7*$B$19,0)</f>
        <v>0</v>
      </c>
      <c r="BL7" s="49">
        <f t="shared" ref="BL7:BL70" si="18">IF(EN_OUT_3=1,VOUT3,0)</f>
        <v>0</v>
      </c>
      <c r="BM7" s="49">
        <f t="shared" ref="BM7:BM38" si="19">IF(EN_OUT_3=1,BK7/BL7,0)</f>
        <v>0</v>
      </c>
      <c r="BN7" s="61"/>
      <c r="BO7" s="58"/>
      <c r="BQ7" s="61"/>
      <c r="BR7" s="58"/>
      <c r="BT7" s="61"/>
      <c r="BU7" s="58">
        <f t="shared" ref="BU7:BU38" si="20">(AB7^2)*R_cs</f>
        <v>0</v>
      </c>
      <c r="BV7" s="49">
        <f t="shared" ref="BV7:BV70" si="21">Qg_tot*Vcc*Fsw</f>
        <v>5.9629500000000002E-2</v>
      </c>
      <c r="BW7" s="61">
        <f t="shared" ref="BW7:BW38" si="22">IQ*S7</f>
        <v>5.4000000000000003E-3</v>
      </c>
      <c r="BX7" s="49">
        <f>BF7+BQ7+AE7+AG7</f>
        <v>0</v>
      </c>
      <c r="BY7" s="49">
        <f>BW7+BV7+BU7+BT7+BQ7+BI7+BF7++AY7+AV7+AJ7+AF7+AE7+AG7</f>
        <v>6.5029500000000004E-2</v>
      </c>
      <c r="BZ7" s="49">
        <f>R7/(R7+BY7)</f>
        <v>0</v>
      </c>
    </row>
    <row r="8" spans="1:78" x14ac:dyDescent="0.25">
      <c r="M8" s="49">
        <f>Fsw</f>
        <v>252400</v>
      </c>
      <c r="Q8" s="49">
        <v>1</v>
      </c>
      <c r="R8" s="219">
        <f t="shared" si="0"/>
        <v>0.01</v>
      </c>
      <c r="S8" s="215">
        <f t="shared" si="1"/>
        <v>12</v>
      </c>
      <c r="T8" s="220">
        <f t="shared" si="2"/>
        <v>8.3333333333333339E-4</v>
      </c>
      <c r="U8" s="219">
        <f t="shared" si="3"/>
        <v>1</v>
      </c>
      <c r="V8" s="215">
        <f t="shared" si="4"/>
        <v>7.9435508432942004E-2</v>
      </c>
      <c r="W8" s="215">
        <f t="shared" si="5"/>
        <v>6.3548406746353606E-2</v>
      </c>
      <c r="X8" s="215">
        <f t="shared" ref="X8:X71" si="23">CHOOSE(U8,1-V8-W8,0)</f>
        <v>0.85701608482070435</v>
      </c>
      <c r="Y8" s="219">
        <f t="shared" ref="Y8:Y39" si="24">R8/(S8*EFF_est*V8)</f>
        <v>1.0490690495634178E-2</v>
      </c>
      <c r="Z8" s="215">
        <f t="shared" si="6"/>
        <v>2.098138099126836E-2</v>
      </c>
      <c r="AA8" s="215">
        <f t="shared" ref="AA8:AA71" si="25">Y8+(Z8/2)</f>
        <v>2.098138099126836E-2</v>
      </c>
      <c r="AB8" s="220">
        <f>CHOOSE(U8,AA8*SQRT(V8/3),SQRT(V8*((AA8^2)+((Z8^2)/(3))-(AA8*Z8))))</f>
        <v>3.414135728544908E-3</v>
      </c>
      <c r="AC8" s="219">
        <v>0</v>
      </c>
      <c r="AD8" s="215">
        <f t="shared" ref="AD8:AD38" si="26">(AB8^2)*Rdcr</f>
        <v>1.7857486488123963E-4</v>
      </c>
      <c r="AE8" s="220">
        <f t="shared" ref="AE8:AE71" si="27">AC8+AD8</f>
        <v>1.7857486488123963E-4</v>
      </c>
      <c r="AF8" s="58">
        <f t="shared" si="8"/>
        <v>2.0000000000000001E-4</v>
      </c>
      <c r="AG8" s="61">
        <f t="shared" si="9"/>
        <v>2.0000000000000001E-4</v>
      </c>
      <c r="AH8" s="58">
        <f>(AB8^2)*RDS_on</f>
        <v>1.0141000812446376E-7</v>
      </c>
      <c r="AI8" s="49">
        <f>((Y8*(S8+((Np/NS1_)*VOUT1)))/2)*Fsw*(tr_sw+tf_sw)</f>
        <v>7.4547321442098929E-4</v>
      </c>
      <c r="AJ8" s="61">
        <f>AH8+AI8</f>
        <v>7.4557462442911371E-4</v>
      </c>
      <c r="AK8" s="219">
        <f t="shared" si="12"/>
        <v>0.01</v>
      </c>
      <c r="AL8" s="215">
        <f t="shared" si="13"/>
        <v>15</v>
      </c>
      <c r="AM8" s="220">
        <f t="shared" ref="AM8:AM71" si="28">AK8/AL8</f>
        <v>6.6666666666666664E-4</v>
      </c>
      <c r="AN8" s="219">
        <f t="shared" ref="AN8:AN39" si="29">IF(((AL8*AO8)/(Fsw*$AO$2))/2&gt;AP8,1,2)</f>
        <v>2</v>
      </c>
      <c r="AO8" s="215">
        <f t="shared" ref="AO8:AO39" si="30">AM8/AP8</f>
        <v>6.3548406746353606E-2</v>
      </c>
      <c r="AP8" s="215">
        <f t="shared" ref="AP8:AP39" si="31">Np*$Y8*AK8/(R8*NS1_)</f>
        <v>1.0490690495634178E-2</v>
      </c>
      <c r="AQ8" s="215">
        <f t="shared" ref="AQ8:AQ39" si="32">(AL8*AO8)/(Fsw*$AO$2)</f>
        <v>2.098138099126836E-2</v>
      </c>
      <c r="AR8" s="215">
        <f>AP8+(AQ8/2)</f>
        <v>2.098138099126836E-2</v>
      </c>
      <c r="AS8" s="220">
        <f>CHOOSE(AN8,AR8*SQRT(AO8/3),SQRT(AO8*((AR8^2)+((AQ8^2)/(3))-(AQ8*AR8))))</f>
        <v>3.0536958293748734E-3</v>
      </c>
      <c r="AT8" s="219"/>
      <c r="AU8" s="215">
        <f t="shared" ref="AU8:AU39" si="33">(AM8^2)*Rdcr1</f>
        <v>6.8088888888888887E-6</v>
      </c>
      <c r="AV8" s="220">
        <f>AT8+AU8</f>
        <v>6.8088888888888887E-6</v>
      </c>
      <c r="AW8" s="219">
        <f t="shared" ref="AW8:AW39" si="34">(VOUT1+((NS1_/Np)*S8))*QRR1_*Fsw</f>
        <v>6.8148E-2</v>
      </c>
      <c r="AX8" s="215">
        <f t="shared" ref="AX8:AX39" si="35">AM8*VD1_</f>
        <v>1.9999999999999998E-4</v>
      </c>
      <c r="AY8" s="220">
        <f>AW8+AX8</f>
        <v>6.8348000000000006E-2</v>
      </c>
      <c r="AZ8" s="219">
        <f t="shared" si="14"/>
        <v>0</v>
      </c>
      <c r="BA8" s="215">
        <f t="shared" si="15"/>
        <v>0</v>
      </c>
      <c r="BB8" s="215">
        <f t="shared" si="16"/>
        <v>0</v>
      </c>
      <c r="BC8" s="61">
        <f t="shared" ref="BC8:BC39" si="36">IF(EN_OUT_2=1,AZ8/BA8,0)</f>
        <v>0</v>
      </c>
      <c r="BD8" s="58">
        <v>0</v>
      </c>
      <c r="BE8" s="49">
        <f>(BB8^2)*Rdcr2</f>
        <v>0</v>
      </c>
      <c r="BF8" s="61">
        <f>BD8+BE8</f>
        <v>0</v>
      </c>
      <c r="BG8" s="58">
        <f t="shared" ref="BG8:BG39" si="37">(VOUT2+((NS2_/Np)*S8))*QRR2_*Fsw</f>
        <v>0</v>
      </c>
      <c r="BH8" s="49">
        <f t="shared" ref="BH8:BH39" si="38">BB8*VD2_</f>
        <v>0</v>
      </c>
      <c r="BI8" s="61">
        <f t="shared" ref="BI8:BI39" si="39">BH8+BG8</f>
        <v>0</v>
      </c>
      <c r="BK8" s="219">
        <f t="shared" si="17"/>
        <v>0</v>
      </c>
      <c r="BL8" s="215">
        <f t="shared" si="18"/>
        <v>0</v>
      </c>
      <c r="BM8" s="215">
        <f t="shared" si="19"/>
        <v>0</v>
      </c>
      <c r="BN8" s="61">
        <f t="shared" ref="BN8:BN39" si="40">Y8*(Np/NS3_)*(BK8/R8)</f>
        <v>0</v>
      </c>
      <c r="BO8" s="58">
        <v>0</v>
      </c>
      <c r="BP8" s="49">
        <f t="shared" ref="BP8:BP39" si="41">(BM8^2)*Rdcr3</f>
        <v>0</v>
      </c>
      <c r="BQ8" s="61">
        <f>BO8+BP8</f>
        <v>0</v>
      </c>
      <c r="BR8" s="58">
        <f t="shared" ref="BR8:BR39" si="42">(VOUT3+((NS3_/Np)*S8))*QRR3_*Fsw</f>
        <v>0</v>
      </c>
      <c r="BS8" s="49">
        <f>BM8*VD3_</f>
        <v>0</v>
      </c>
      <c r="BT8" s="61">
        <f>BS8+BR8</f>
        <v>0</v>
      </c>
      <c r="BU8" s="58">
        <f>(AB8^2)*R_cs</f>
        <v>2.3312645545853737E-7</v>
      </c>
      <c r="BV8" s="49">
        <f t="shared" si="21"/>
        <v>5.9629500000000002E-2</v>
      </c>
      <c r="BW8" s="61">
        <f t="shared" si="22"/>
        <v>5.4000000000000003E-3</v>
      </c>
      <c r="BX8" s="49">
        <f>BF8+BQ8+AE8</f>
        <v>1.7857486488123963E-4</v>
      </c>
      <c r="BY8" s="49">
        <f t="shared" ref="BY8:BY71" si="43">BW8+BV8+BU8+BT8+BQ8+BI8+BF8++AY8+AV8+AJ8+AF8+AE8+AG8</f>
        <v>0.1347086915046547</v>
      </c>
      <c r="BZ8" s="49">
        <f t="shared" ref="BZ8:BZ39" si="44">(R8/(R8+BY8))*100</f>
        <v>6.9104349545433763</v>
      </c>
    </row>
    <row r="9" spans="1:78" x14ac:dyDescent="0.25">
      <c r="N9" s="49" t="s">
        <v>187</v>
      </c>
      <c r="O9" s="49">
        <f>VIN_var</f>
        <v>12</v>
      </c>
      <c r="P9" s="49" t="s">
        <v>11</v>
      </c>
      <c r="Q9" s="49">
        <v>2</v>
      </c>
      <c r="R9" s="219">
        <f t="shared" si="0"/>
        <v>0.02</v>
      </c>
      <c r="S9" s="215">
        <f t="shared" si="1"/>
        <v>12</v>
      </c>
      <c r="T9" s="220">
        <f t="shared" si="2"/>
        <v>1.6666666666666668E-3</v>
      </c>
      <c r="U9" s="219">
        <f t="shared" si="3"/>
        <v>1</v>
      </c>
      <c r="V9" s="215">
        <f t="shared" si="4"/>
        <v>0.11233877335986894</v>
      </c>
      <c r="W9" s="215">
        <f t="shared" si="5"/>
        <v>8.9871018687895141E-2</v>
      </c>
      <c r="X9" s="215">
        <f t="shared" si="23"/>
        <v>0.79779020795223587</v>
      </c>
      <c r="Y9" s="219">
        <f t="shared" si="24"/>
        <v>1.4836076777584384E-2</v>
      </c>
      <c r="Z9" s="215">
        <f t="shared" si="6"/>
        <v>2.9672153555168765E-2</v>
      </c>
      <c r="AA9" s="215">
        <f t="shared" si="25"/>
        <v>2.9672153555168765E-2</v>
      </c>
      <c r="AB9" s="220">
        <f t="shared" si="7"/>
        <v>5.7418689906460832E-3</v>
      </c>
      <c r="AC9" s="219">
        <v>0</v>
      </c>
      <c r="AD9" s="215">
        <f t="shared" si="26"/>
        <v>5.0508599162798378E-4</v>
      </c>
      <c r="AE9" s="220">
        <f t="shared" si="27"/>
        <v>5.0508599162798378E-4</v>
      </c>
      <c r="AF9" s="58">
        <f t="shared" si="8"/>
        <v>4.0000000000000002E-4</v>
      </c>
      <c r="AG9" s="61">
        <f t="shared" si="9"/>
        <v>4.0000000000000002E-4</v>
      </c>
      <c r="AH9" s="58">
        <f t="shared" si="10"/>
        <v>2.8683081769996466E-7</v>
      </c>
      <c r="AI9" s="49">
        <f t="shared" si="11"/>
        <v>1.0542583302200297E-3</v>
      </c>
      <c r="AJ9" s="61">
        <f t="shared" ref="AJ9:AJ71" si="45">AH9+AI9</f>
        <v>1.0545451610377296E-3</v>
      </c>
      <c r="AK9" s="219">
        <f t="shared" si="12"/>
        <v>0.02</v>
      </c>
      <c r="AL9" s="215">
        <f t="shared" si="13"/>
        <v>15</v>
      </c>
      <c r="AM9" s="220">
        <f t="shared" si="28"/>
        <v>1.3333333333333333E-3</v>
      </c>
      <c r="AN9" s="219">
        <f t="shared" si="29"/>
        <v>2</v>
      </c>
      <c r="AO9" s="215">
        <f t="shared" si="30"/>
        <v>8.9871018687895141E-2</v>
      </c>
      <c r="AP9" s="215">
        <f t="shared" si="31"/>
        <v>1.4836076777584384E-2</v>
      </c>
      <c r="AQ9" s="215">
        <f t="shared" si="32"/>
        <v>2.9672153555168765E-2</v>
      </c>
      <c r="AR9" s="215">
        <f t="shared" ref="AR9:AR72" si="46">AP9+(AQ9/2)</f>
        <v>2.9672153555168765E-2</v>
      </c>
      <c r="AS9" s="220">
        <f t="shared" ref="AS9:AS72" si="47">CHOOSE(AN9,AR9*SQRT(AO9/3),SQRT(AO9*((AR9^2)+((AQ9^2)/(3))-(AQ9*AR9))))</f>
        <v>5.1356837523930986E-3</v>
      </c>
      <c r="AT9" s="219"/>
      <c r="AU9" s="215">
        <f t="shared" si="33"/>
        <v>2.7235555555555555E-5</v>
      </c>
      <c r="AV9" s="220">
        <f t="shared" ref="AV9:AV72" si="48">AT9+AU9</f>
        <v>2.7235555555555555E-5</v>
      </c>
      <c r="AW9" s="219">
        <f t="shared" si="34"/>
        <v>6.8148E-2</v>
      </c>
      <c r="AX9" s="215">
        <f t="shared" si="35"/>
        <v>3.9999999999999996E-4</v>
      </c>
      <c r="AY9" s="220">
        <f t="shared" ref="AY9:AY72" si="49">AW9+AX9</f>
        <v>6.8547999999999998E-2</v>
      </c>
      <c r="AZ9" s="219">
        <f t="shared" si="14"/>
        <v>0</v>
      </c>
      <c r="BA9" s="215">
        <f t="shared" si="15"/>
        <v>0</v>
      </c>
      <c r="BB9" s="215">
        <f t="shared" ref="BB9:BB72" si="50">IF(EN_OUT_2=1,AZ9/BA9,0)</f>
        <v>0</v>
      </c>
      <c r="BC9" s="61">
        <f t="shared" si="36"/>
        <v>0</v>
      </c>
      <c r="BD9" s="58">
        <v>0</v>
      </c>
      <c r="BE9" s="49">
        <f t="shared" ref="BE9:BE39" si="51">(BB9^2)*Rdcr2</f>
        <v>0</v>
      </c>
      <c r="BF9" s="61">
        <f t="shared" ref="BF9:BF72" si="52">BD9+BE9</f>
        <v>0</v>
      </c>
      <c r="BG9" s="58">
        <f t="shared" si="37"/>
        <v>0</v>
      </c>
      <c r="BH9" s="49">
        <f t="shared" si="38"/>
        <v>0</v>
      </c>
      <c r="BI9" s="61">
        <f t="shared" si="39"/>
        <v>0</v>
      </c>
      <c r="BK9" s="219">
        <f t="shared" si="17"/>
        <v>0</v>
      </c>
      <c r="BL9" s="215">
        <f t="shared" si="18"/>
        <v>0</v>
      </c>
      <c r="BM9" s="215">
        <f t="shared" si="19"/>
        <v>0</v>
      </c>
      <c r="BN9" s="61">
        <f t="shared" si="40"/>
        <v>0</v>
      </c>
      <c r="BO9" s="58">
        <v>0</v>
      </c>
      <c r="BP9" s="49">
        <f t="shared" si="41"/>
        <v>0</v>
      </c>
      <c r="BQ9" s="61">
        <f t="shared" ref="BQ9:BQ72" si="53">BO9+BP9</f>
        <v>0</v>
      </c>
      <c r="BR9" s="58">
        <f t="shared" si="42"/>
        <v>0</v>
      </c>
      <c r="BS9" s="49">
        <f t="shared" ref="BS9:BS39" si="54">BM9*VD3_</f>
        <v>0</v>
      </c>
      <c r="BT9" s="61">
        <f t="shared" ref="BT9:BT72" si="55">BS9+BR9</f>
        <v>0</v>
      </c>
      <c r="BU9" s="58">
        <f t="shared" si="20"/>
        <v>6.5938119011486142E-7</v>
      </c>
      <c r="BV9" s="49">
        <f t="shared" si="21"/>
        <v>5.9629500000000002E-2</v>
      </c>
      <c r="BW9" s="61">
        <f t="shared" si="22"/>
        <v>5.4000000000000003E-3</v>
      </c>
      <c r="BX9" s="49">
        <f t="shared" ref="BX9:BX71" si="56">BF9+BQ9+AE9+AG9</f>
        <v>9.0508599162798385E-4</v>
      </c>
      <c r="BY9" s="49">
        <f t="shared" si="43"/>
        <v>0.13596502608941141</v>
      </c>
      <c r="BZ9" s="49">
        <f t="shared" si="44"/>
        <v>12.823387718048037</v>
      </c>
    </row>
    <row r="10" spans="1:78" x14ac:dyDescent="0.25">
      <c r="A10" s="49" t="s">
        <v>422</v>
      </c>
      <c r="B10" s="50">
        <f>VOUT1*IOUT1</f>
        <v>1.5</v>
      </c>
      <c r="Q10" s="49">
        <v>3</v>
      </c>
      <c r="R10" s="219">
        <f t="shared" si="0"/>
        <v>0.03</v>
      </c>
      <c r="S10" s="215">
        <f t="shared" si="1"/>
        <v>12</v>
      </c>
      <c r="T10" s="220">
        <f t="shared" si="2"/>
        <v>2.5000000000000001E-3</v>
      </c>
      <c r="U10" s="219">
        <f t="shared" si="3"/>
        <v>1</v>
      </c>
      <c r="V10" s="215">
        <f t="shared" si="4"/>
        <v>0.13758633653092153</v>
      </c>
      <c r="W10" s="215">
        <f t="shared" si="5"/>
        <v>0.11006906922473722</v>
      </c>
      <c r="X10" s="215">
        <f t="shared" si="23"/>
        <v>0.75234459424434119</v>
      </c>
      <c r="Y10" s="219">
        <f t="shared" si="24"/>
        <v>1.817040894491833E-2</v>
      </c>
      <c r="Z10" s="215">
        <f t="shared" si="6"/>
        <v>3.6340817889836646E-2</v>
      </c>
      <c r="AA10" s="215">
        <f t="shared" si="25"/>
        <v>3.6340817889836653E-2</v>
      </c>
      <c r="AB10" s="220">
        <f t="shared" si="7"/>
        <v>7.7825464866195567E-3</v>
      </c>
      <c r="AC10" s="219">
        <v>0</v>
      </c>
      <c r="AD10" s="215">
        <f t="shared" si="26"/>
        <v>9.2790221678716231E-4</v>
      </c>
      <c r="AE10" s="220">
        <f t="shared" si="27"/>
        <v>9.2790221678716231E-4</v>
      </c>
      <c r="AF10" s="58">
        <f t="shared" si="8"/>
        <v>5.9999999999999995E-4</v>
      </c>
      <c r="AG10" s="61">
        <f t="shared" si="9"/>
        <v>5.9999999999999995E-4</v>
      </c>
      <c r="AH10" s="58">
        <f t="shared" si="10"/>
        <v>5.2694185940263129E-7</v>
      </c>
      <c r="AI10" s="49">
        <f t="shared" si="11"/>
        <v>1.2911974830588418E-3</v>
      </c>
      <c r="AJ10" s="61">
        <f t="shared" si="45"/>
        <v>1.2917244249182444E-3</v>
      </c>
      <c r="AK10" s="219">
        <f t="shared" si="12"/>
        <v>0.03</v>
      </c>
      <c r="AL10" s="215">
        <f t="shared" si="13"/>
        <v>15</v>
      </c>
      <c r="AM10" s="220">
        <f t="shared" si="28"/>
        <v>2E-3</v>
      </c>
      <c r="AN10" s="219">
        <f t="shared" si="29"/>
        <v>2</v>
      </c>
      <c r="AO10" s="215">
        <f t="shared" si="30"/>
        <v>0.11006906922473722</v>
      </c>
      <c r="AP10" s="215">
        <f t="shared" si="31"/>
        <v>1.817040894491833E-2</v>
      </c>
      <c r="AQ10" s="215">
        <f t="shared" si="32"/>
        <v>3.6340817889836646E-2</v>
      </c>
      <c r="AR10" s="215">
        <f t="shared" si="46"/>
        <v>3.6340817889836653E-2</v>
      </c>
      <c r="AS10" s="220">
        <f t="shared" si="47"/>
        <v>6.960921192853394E-3</v>
      </c>
      <c r="AT10" s="219"/>
      <c r="AU10" s="215">
        <f t="shared" si="33"/>
        <v>6.1279999999999996E-5</v>
      </c>
      <c r="AV10" s="220">
        <f t="shared" si="48"/>
        <v>6.1279999999999996E-5</v>
      </c>
      <c r="AW10" s="219">
        <f t="shared" si="34"/>
        <v>6.8148E-2</v>
      </c>
      <c r="AX10" s="215">
        <f t="shared" si="35"/>
        <v>5.9999999999999995E-4</v>
      </c>
      <c r="AY10" s="220">
        <f t="shared" si="49"/>
        <v>6.8748000000000004E-2</v>
      </c>
      <c r="AZ10" s="219">
        <f t="shared" si="14"/>
        <v>0</v>
      </c>
      <c r="BA10" s="215">
        <f t="shared" si="15"/>
        <v>0</v>
      </c>
      <c r="BB10" s="215">
        <f t="shared" si="50"/>
        <v>0</v>
      </c>
      <c r="BC10" s="61">
        <f t="shared" si="36"/>
        <v>0</v>
      </c>
      <c r="BD10" s="58">
        <v>0</v>
      </c>
      <c r="BE10" s="49">
        <f t="shared" si="51"/>
        <v>0</v>
      </c>
      <c r="BF10" s="61">
        <f t="shared" si="52"/>
        <v>0</v>
      </c>
      <c r="BG10" s="58">
        <f t="shared" si="37"/>
        <v>0</v>
      </c>
      <c r="BH10" s="49">
        <f t="shared" si="38"/>
        <v>0</v>
      </c>
      <c r="BI10" s="61">
        <f t="shared" si="39"/>
        <v>0</v>
      </c>
      <c r="BK10" s="219">
        <f t="shared" si="17"/>
        <v>0</v>
      </c>
      <c r="BL10" s="215">
        <f t="shared" si="18"/>
        <v>0</v>
      </c>
      <c r="BM10" s="215">
        <f t="shared" si="19"/>
        <v>0</v>
      </c>
      <c r="BN10" s="61">
        <f t="shared" si="40"/>
        <v>0</v>
      </c>
      <c r="BO10" s="58">
        <v>0</v>
      </c>
      <c r="BP10" s="49">
        <f t="shared" si="41"/>
        <v>0</v>
      </c>
      <c r="BQ10" s="61">
        <f t="shared" si="53"/>
        <v>0</v>
      </c>
      <c r="BR10" s="58">
        <f t="shared" si="42"/>
        <v>0</v>
      </c>
      <c r="BS10" s="49">
        <f t="shared" si="54"/>
        <v>0</v>
      </c>
      <c r="BT10" s="61">
        <f t="shared" si="55"/>
        <v>0</v>
      </c>
      <c r="BU10" s="58">
        <f t="shared" si="20"/>
        <v>1.2113605963278881E-6</v>
      </c>
      <c r="BV10" s="49">
        <f t="shared" si="21"/>
        <v>5.9629500000000002E-2</v>
      </c>
      <c r="BW10" s="61">
        <f t="shared" si="22"/>
        <v>5.4000000000000003E-3</v>
      </c>
      <c r="BX10" s="49">
        <f t="shared" si="56"/>
        <v>1.5279022167871623E-3</v>
      </c>
      <c r="BY10" s="49">
        <f t="shared" si="43"/>
        <v>0.13725961800230169</v>
      </c>
      <c r="BZ10" s="49">
        <f t="shared" si="44"/>
        <v>17.936188279221803</v>
      </c>
    </row>
    <row r="11" spans="1:78" x14ac:dyDescent="0.25">
      <c r="A11" s="49" t="s">
        <v>593</v>
      </c>
      <c r="B11" s="49">
        <f>B10/(O11)</f>
        <v>0.01</v>
      </c>
      <c r="N11" s="49" t="s">
        <v>278</v>
      </c>
      <c r="O11" s="49">
        <v>150</v>
      </c>
      <c r="Q11" s="49">
        <v>4</v>
      </c>
      <c r="R11" s="219">
        <f t="shared" si="0"/>
        <v>0.04</v>
      </c>
      <c r="S11" s="215">
        <f t="shared" si="1"/>
        <v>12</v>
      </c>
      <c r="T11" s="220">
        <f t="shared" si="2"/>
        <v>3.3333333333333335E-3</v>
      </c>
      <c r="U11" s="219">
        <f t="shared" si="3"/>
        <v>1</v>
      </c>
      <c r="V11" s="215">
        <f t="shared" si="4"/>
        <v>0.15887101686588401</v>
      </c>
      <c r="W11" s="215">
        <f t="shared" si="5"/>
        <v>0.12709681349270721</v>
      </c>
      <c r="X11" s="215">
        <f t="shared" si="23"/>
        <v>0.71403216964140881</v>
      </c>
      <c r="Y11" s="219">
        <f t="shared" si="24"/>
        <v>2.0981380991268356E-2</v>
      </c>
      <c r="Z11" s="215">
        <f t="shared" si="6"/>
        <v>4.196276198253672E-2</v>
      </c>
      <c r="AA11" s="215">
        <f t="shared" si="25"/>
        <v>4.196276198253672E-2</v>
      </c>
      <c r="AB11" s="220">
        <f t="shared" si="7"/>
        <v>9.6566341021815123E-3</v>
      </c>
      <c r="AC11" s="219">
        <v>0</v>
      </c>
      <c r="AD11" s="215">
        <f t="shared" si="26"/>
        <v>1.4285989190499168E-3</v>
      </c>
      <c r="AE11" s="220">
        <f t="shared" si="27"/>
        <v>1.4285989190499168E-3</v>
      </c>
      <c r="AF11" s="58">
        <f t="shared" si="8"/>
        <v>8.0000000000000004E-4</v>
      </c>
      <c r="AG11" s="61">
        <f t="shared" si="9"/>
        <v>8.0000000000000004E-4</v>
      </c>
      <c r="AH11" s="58">
        <f t="shared" si="10"/>
        <v>8.1128006499570985E-7</v>
      </c>
      <c r="AI11" s="49">
        <f t="shared" si="11"/>
        <v>1.4909464288419786E-3</v>
      </c>
      <c r="AJ11" s="61">
        <f t="shared" si="45"/>
        <v>1.4917577089069744E-3</v>
      </c>
      <c r="AK11" s="219">
        <f t="shared" si="12"/>
        <v>0.04</v>
      </c>
      <c r="AL11" s="215">
        <f t="shared" si="13"/>
        <v>15</v>
      </c>
      <c r="AM11" s="220">
        <f t="shared" si="28"/>
        <v>2.6666666666666666E-3</v>
      </c>
      <c r="AN11" s="219">
        <f t="shared" si="29"/>
        <v>2</v>
      </c>
      <c r="AO11" s="215">
        <f t="shared" si="30"/>
        <v>0.12709681349270721</v>
      </c>
      <c r="AP11" s="215">
        <f t="shared" si="31"/>
        <v>2.0981380991268356E-2</v>
      </c>
      <c r="AQ11" s="215">
        <f t="shared" si="32"/>
        <v>4.196276198253672E-2</v>
      </c>
      <c r="AR11" s="215">
        <f t="shared" si="46"/>
        <v>4.196276198253672E-2</v>
      </c>
      <c r="AS11" s="220">
        <f t="shared" si="47"/>
        <v>8.6371561145282064E-3</v>
      </c>
      <c r="AT11" s="219"/>
      <c r="AU11" s="215">
        <f t="shared" si="33"/>
        <v>1.0894222222222222E-4</v>
      </c>
      <c r="AV11" s="220">
        <f t="shared" si="48"/>
        <v>1.0894222222222222E-4</v>
      </c>
      <c r="AW11" s="219">
        <f t="shared" si="34"/>
        <v>6.8148E-2</v>
      </c>
      <c r="AX11" s="215">
        <f t="shared" si="35"/>
        <v>7.9999999999999993E-4</v>
      </c>
      <c r="AY11" s="220">
        <f t="shared" si="49"/>
        <v>6.8947999999999995E-2</v>
      </c>
      <c r="AZ11" s="219">
        <f t="shared" si="14"/>
        <v>0</v>
      </c>
      <c r="BA11" s="215">
        <f t="shared" si="15"/>
        <v>0</v>
      </c>
      <c r="BB11" s="215">
        <f t="shared" si="50"/>
        <v>0</v>
      </c>
      <c r="BC11" s="61">
        <f t="shared" si="36"/>
        <v>0</v>
      </c>
      <c r="BD11" s="58">
        <v>0</v>
      </c>
      <c r="BE11" s="49">
        <f t="shared" si="51"/>
        <v>0</v>
      </c>
      <c r="BF11" s="61">
        <f t="shared" si="52"/>
        <v>0</v>
      </c>
      <c r="BG11" s="58">
        <f t="shared" si="37"/>
        <v>0</v>
      </c>
      <c r="BH11" s="49">
        <f t="shared" si="38"/>
        <v>0</v>
      </c>
      <c r="BI11" s="61">
        <f t="shared" si="39"/>
        <v>0</v>
      </c>
      <c r="BK11" s="219">
        <f t="shared" si="17"/>
        <v>0</v>
      </c>
      <c r="BL11" s="215">
        <f t="shared" si="18"/>
        <v>0</v>
      </c>
      <c r="BM11" s="215">
        <f t="shared" si="19"/>
        <v>0</v>
      </c>
      <c r="BN11" s="61">
        <f t="shared" si="40"/>
        <v>0</v>
      </c>
      <c r="BO11" s="58">
        <v>0</v>
      </c>
      <c r="BP11" s="49">
        <f t="shared" si="41"/>
        <v>0</v>
      </c>
      <c r="BQ11" s="61">
        <f t="shared" si="53"/>
        <v>0</v>
      </c>
      <c r="BR11" s="58">
        <f t="shared" si="42"/>
        <v>0</v>
      </c>
      <c r="BS11" s="49">
        <f t="shared" si="54"/>
        <v>0</v>
      </c>
      <c r="BT11" s="61">
        <f t="shared" si="55"/>
        <v>0</v>
      </c>
      <c r="BU11" s="58">
        <f t="shared" si="20"/>
        <v>1.8650116436682988E-6</v>
      </c>
      <c r="BV11" s="49">
        <f t="shared" si="21"/>
        <v>5.9629500000000002E-2</v>
      </c>
      <c r="BW11" s="61">
        <f t="shared" si="22"/>
        <v>5.4000000000000003E-3</v>
      </c>
      <c r="BX11" s="49">
        <f t="shared" si="56"/>
        <v>2.2285989190499169E-3</v>
      </c>
      <c r="BY11" s="49">
        <f t="shared" si="43"/>
        <v>0.13860866386182275</v>
      </c>
      <c r="BZ11" s="49">
        <f t="shared" si="44"/>
        <v>22.39533017891296</v>
      </c>
    </row>
    <row r="12" spans="1:78" x14ac:dyDescent="0.25">
      <c r="N12" s="49" t="s">
        <v>279</v>
      </c>
      <c r="O12" s="49">
        <f>IOUT1/(O11)</f>
        <v>6.6666666666666675E-4</v>
      </c>
      <c r="Q12" s="49">
        <v>5</v>
      </c>
      <c r="R12" s="219">
        <f t="shared" si="0"/>
        <v>0.05</v>
      </c>
      <c r="S12" s="215">
        <f t="shared" si="1"/>
        <v>12</v>
      </c>
      <c r="T12" s="220">
        <f t="shared" si="2"/>
        <v>4.1666666666666666E-3</v>
      </c>
      <c r="U12" s="219">
        <f t="shared" si="3"/>
        <v>1</v>
      </c>
      <c r="V12" s="215">
        <f t="shared" si="4"/>
        <v>0.17762319668331611</v>
      </c>
      <c r="W12" s="215">
        <f t="shared" si="5"/>
        <v>0.14209855734665286</v>
      </c>
      <c r="X12" s="215">
        <f t="shared" si="23"/>
        <v>0.68027824597003095</v>
      </c>
      <c r="Y12" s="219">
        <f t="shared" si="24"/>
        <v>2.3457897079148988E-2</v>
      </c>
      <c r="Z12" s="215">
        <f t="shared" si="6"/>
        <v>4.6915794158297969E-2</v>
      </c>
      <c r="AA12" s="215">
        <f t="shared" si="25"/>
        <v>4.6915794158297969E-2</v>
      </c>
      <c r="AB12" s="220">
        <f t="shared" si="7"/>
        <v>1.1415850841690101E-2</v>
      </c>
      <c r="AC12" s="219">
        <v>0</v>
      </c>
      <c r="AD12" s="215">
        <f t="shared" si="26"/>
        <v>1.9965276847364582E-3</v>
      </c>
      <c r="AE12" s="220">
        <f t="shared" si="27"/>
        <v>1.9965276847364582E-3</v>
      </c>
      <c r="AF12" s="58">
        <f t="shared" si="8"/>
        <v>1E-3</v>
      </c>
      <c r="AG12" s="61">
        <f t="shared" si="9"/>
        <v>1E-3</v>
      </c>
      <c r="AH12" s="58">
        <f t="shared" si="10"/>
        <v>1.1337983588255344E-6</v>
      </c>
      <c r="AI12" s="49">
        <f t="shared" si="11"/>
        <v>1.666928782850609E-3</v>
      </c>
      <c r="AJ12" s="61">
        <f t="shared" si="45"/>
        <v>1.6680625812094346E-3</v>
      </c>
      <c r="AK12" s="219">
        <f t="shared" si="12"/>
        <v>0.05</v>
      </c>
      <c r="AL12" s="215">
        <f t="shared" si="13"/>
        <v>15</v>
      </c>
      <c r="AM12" s="220">
        <f t="shared" si="28"/>
        <v>3.3333333333333335E-3</v>
      </c>
      <c r="AN12" s="219">
        <f t="shared" si="29"/>
        <v>2</v>
      </c>
      <c r="AO12" s="215">
        <f t="shared" si="30"/>
        <v>0.14209855734665289</v>
      </c>
      <c r="AP12" s="215">
        <f t="shared" si="31"/>
        <v>2.3457897079148988E-2</v>
      </c>
      <c r="AQ12" s="215">
        <f t="shared" si="32"/>
        <v>4.6915794158297969E-2</v>
      </c>
      <c r="AR12" s="215">
        <f t="shared" si="46"/>
        <v>4.6915794158297969E-2</v>
      </c>
      <c r="AS12" s="220">
        <f t="shared" si="47"/>
        <v>1.0210647401206903E-2</v>
      </c>
      <c r="AT12" s="219"/>
      <c r="AU12" s="215">
        <f t="shared" si="33"/>
        <v>1.7022222222222227E-4</v>
      </c>
      <c r="AV12" s="220">
        <f t="shared" si="48"/>
        <v>1.7022222222222227E-4</v>
      </c>
      <c r="AW12" s="219">
        <f t="shared" si="34"/>
        <v>6.8148E-2</v>
      </c>
      <c r="AX12" s="215">
        <f t="shared" si="35"/>
        <v>1E-3</v>
      </c>
      <c r="AY12" s="220">
        <f t="shared" si="49"/>
        <v>6.9148000000000001E-2</v>
      </c>
      <c r="AZ12" s="219">
        <f t="shared" si="14"/>
        <v>0</v>
      </c>
      <c r="BA12" s="215">
        <f t="shared" si="15"/>
        <v>0</v>
      </c>
      <c r="BB12" s="215">
        <f t="shared" si="50"/>
        <v>0</v>
      </c>
      <c r="BC12" s="61">
        <f t="shared" si="36"/>
        <v>0</v>
      </c>
      <c r="BD12" s="58">
        <v>0</v>
      </c>
      <c r="BE12" s="49">
        <f t="shared" si="51"/>
        <v>0</v>
      </c>
      <c r="BF12" s="61">
        <f t="shared" si="52"/>
        <v>0</v>
      </c>
      <c r="BG12" s="58">
        <f t="shared" si="37"/>
        <v>0</v>
      </c>
      <c r="BH12" s="49">
        <f t="shared" si="38"/>
        <v>0</v>
      </c>
      <c r="BI12" s="61">
        <f t="shared" si="39"/>
        <v>0</v>
      </c>
      <c r="BK12" s="219">
        <f t="shared" si="17"/>
        <v>0</v>
      </c>
      <c r="BL12" s="215">
        <f t="shared" si="18"/>
        <v>0</v>
      </c>
      <c r="BM12" s="215">
        <f t="shared" si="19"/>
        <v>0</v>
      </c>
      <c r="BN12" s="61">
        <f t="shared" si="40"/>
        <v>0</v>
      </c>
      <c r="BO12" s="58">
        <v>0</v>
      </c>
      <c r="BP12" s="49">
        <f t="shared" si="41"/>
        <v>0</v>
      </c>
      <c r="BQ12" s="61">
        <f t="shared" si="53"/>
        <v>0</v>
      </c>
      <c r="BR12" s="58">
        <f t="shared" si="42"/>
        <v>0</v>
      </c>
      <c r="BS12" s="49">
        <f t="shared" si="54"/>
        <v>0</v>
      </c>
      <c r="BT12" s="61">
        <f t="shared" si="55"/>
        <v>0</v>
      </c>
      <c r="BU12" s="58">
        <f t="shared" si="20"/>
        <v>2.6064330087943323E-6</v>
      </c>
      <c r="BV12" s="49">
        <f t="shared" si="21"/>
        <v>5.9629500000000002E-2</v>
      </c>
      <c r="BW12" s="61">
        <f t="shared" si="22"/>
        <v>5.4000000000000003E-3</v>
      </c>
      <c r="BX12" s="49">
        <f t="shared" si="56"/>
        <v>2.9965276847364582E-3</v>
      </c>
      <c r="BY12" s="49">
        <f t="shared" si="43"/>
        <v>0.14001491892117693</v>
      </c>
      <c r="BZ12" s="49">
        <f t="shared" si="44"/>
        <v>26.31372330334824</v>
      </c>
    </row>
    <row r="13" spans="1:78" x14ac:dyDescent="0.25">
      <c r="Q13" s="49">
        <v>6</v>
      </c>
      <c r="R13" s="219">
        <f t="shared" si="0"/>
        <v>0.06</v>
      </c>
      <c r="S13" s="215">
        <f t="shared" si="1"/>
        <v>12</v>
      </c>
      <c r="T13" s="220">
        <f t="shared" si="2"/>
        <v>5.0000000000000001E-3</v>
      </c>
      <c r="U13" s="219">
        <f t="shared" si="3"/>
        <v>1</v>
      </c>
      <c r="V13" s="215">
        <f t="shared" si="4"/>
        <v>0.19457646311925805</v>
      </c>
      <c r="W13" s="215">
        <f t="shared" si="5"/>
        <v>0.15566117049540645</v>
      </c>
      <c r="X13" s="215">
        <f t="shared" si="23"/>
        <v>0.64976236638533558</v>
      </c>
      <c r="Y13" s="219">
        <f t="shared" si="24"/>
        <v>2.5696838763768898E-2</v>
      </c>
      <c r="Z13" s="215">
        <f t="shared" si="6"/>
        <v>5.139367752753779E-2</v>
      </c>
      <c r="AA13" s="215">
        <f t="shared" si="25"/>
        <v>5.139367752753779E-2</v>
      </c>
      <c r="AB13" s="220">
        <f t="shared" si="7"/>
        <v>1.3088630884287552E-2</v>
      </c>
      <c r="AC13" s="219">
        <v>0</v>
      </c>
      <c r="AD13" s="215">
        <f t="shared" si="26"/>
        <v>2.6245037990729292E-3</v>
      </c>
      <c r="AE13" s="220">
        <f t="shared" si="27"/>
        <v>2.6245037990729292E-3</v>
      </c>
      <c r="AF13" s="58">
        <f t="shared" si="8"/>
        <v>1.1999999999999999E-3</v>
      </c>
      <c r="AG13" s="61">
        <f t="shared" si="9"/>
        <v>1.1999999999999999E-3</v>
      </c>
      <c r="AH13" s="58">
        <f t="shared" si="10"/>
        <v>1.4904166482985954E-6</v>
      </c>
      <c r="AI13" s="49">
        <f t="shared" si="11"/>
        <v>1.8260289922438185E-3</v>
      </c>
      <c r="AJ13" s="61">
        <f t="shared" si="45"/>
        <v>1.8275194088921171E-3</v>
      </c>
      <c r="AK13" s="219">
        <f t="shared" si="12"/>
        <v>0.06</v>
      </c>
      <c r="AL13" s="215">
        <f t="shared" si="13"/>
        <v>15</v>
      </c>
      <c r="AM13" s="220">
        <f t="shared" si="28"/>
        <v>4.0000000000000001E-3</v>
      </c>
      <c r="AN13" s="219">
        <f t="shared" si="29"/>
        <v>2</v>
      </c>
      <c r="AO13" s="215">
        <f t="shared" si="30"/>
        <v>0.15566117049540645</v>
      </c>
      <c r="AP13" s="215">
        <f t="shared" si="31"/>
        <v>2.5696838763768898E-2</v>
      </c>
      <c r="AQ13" s="215">
        <f t="shared" si="32"/>
        <v>5.139367752753779E-2</v>
      </c>
      <c r="AR13" s="215">
        <f t="shared" si="46"/>
        <v>5.139367752753779E-2</v>
      </c>
      <c r="AS13" s="220">
        <f t="shared" si="47"/>
        <v>1.1706827355868062E-2</v>
      </c>
      <c r="AT13" s="219"/>
      <c r="AU13" s="215">
        <f t="shared" si="33"/>
        <v>2.4511999999999998E-4</v>
      </c>
      <c r="AV13" s="220">
        <f t="shared" si="48"/>
        <v>2.4511999999999998E-4</v>
      </c>
      <c r="AW13" s="219">
        <f t="shared" si="34"/>
        <v>6.8148E-2</v>
      </c>
      <c r="AX13" s="215">
        <f t="shared" si="35"/>
        <v>1.1999999999999999E-3</v>
      </c>
      <c r="AY13" s="220">
        <f t="shared" si="49"/>
        <v>6.9348000000000007E-2</v>
      </c>
      <c r="AZ13" s="219">
        <f t="shared" si="14"/>
        <v>0</v>
      </c>
      <c r="BA13" s="215">
        <f t="shared" si="15"/>
        <v>0</v>
      </c>
      <c r="BB13" s="215">
        <f t="shared" si="50"/>
        <v>0</v>
      </c>
      <c r="BC13" s="61">
        <f t="shared" si="36"/>
        <v>0</v>
      </c>
      <c r="BD13" s="58">
        <v>0</v>
      </c>
      <c r="BE13" s="49">
        <f t="shared" si="51"/>
        <v>0</v>
      </c>
      <c r="BF13" s="61">
        <f t="shared" si="52"/>
        <v>0</v>
      </c>
      <c r="BG13" s="58">
        <f t="shared" si="37"/>
        <v>0</v>
      </c>
      <c r="BH13" s="49">
        <f t="shared" si="38"/>
        <v>0</v>
      </c>
      <c r="BI13" s="61">
        <f t="shared" si="39"/>
        <v>0</v>
      </c>
      <c r="BK13" s="219">
        <f t="shared" si="17"/>
        <v>0</v>
      </c>
      <c r="BL13" s="215">
        <f t="shared" si="18"/>
        <v>0</v>
      </c>
      <c r="BM13" s="215">
        <f t="shared" si="19"/>
        <v>0</v>
      </c>
      <c r="BN13" s="61">
        <f t="shared" si="40"/>
        <v>0</v>
      </c>
      <c r="BO13" s="58">
        <v>0</v>
      </c>
      <c r="BP13" s="49">
        <f t="shared" si="41"/>
        <v>0</v>
      </c>
      <c r="BQ13" s="61">
        <f t="shared" si="53"/>
        <v>0</v>
      </c>
      <c r="BR13" s="58">
        <f t="shared" si="42"/>
        <v>0</v>
      </c>
      <c r="BS13" s="49">
        <f t="shared" si="54"/>
        <v>0</v>
      </c>
      <c r="BT13" s="61">
        <f t="shared" si="55"/>
        <v>0</v>
      </c>
      <c r="BU13" s="58">
        <f t="shared" si="20"/>
        <v>3.4262451685025187E-6</v>
      </c>
      <c r="BV13" s="49">
        <f t="shared" si="21"/>
        <v>5.9629500000000002E-2</v>
      </c>
      <c r="BW13" s="61">
        <f t="shared" si="22"/>
        <v>5.4000000000000003E-3</v>
      </c>
      <c r="BX13" s="49">
        <f t="shared" si="56"/>
        <v>3.8245037990729293E-3</v>
      </c>
      <c r="BY13" s="49">
        <f t="shared" si="43"/>
        <v>0.14147806945313354</v>
      </c>
      <c r="BZ13" s="49">
        <f t="shared" si="44"/>
        <v>29.779916078636436</v>
      </c>
    </row>
    <row r="14" spans="1:78" x14ac:dyDescent="0.25">
      <c r="A14" s="49" t="s">
        <v>426</v>
      </c>
      <c r="B14" s="64">
        <f>VOUT2*IOUT2</f>
        <v>0</v>
      </c>
      <c r="Q14" s="49">
        <v>7</v>
      </c>
      <c r="R14" s="219">
        <f t="shared" si="0"/>
        <v>7.0000000000000007E-2</v>
      </c>
      <c r="S14" s="215">
        <f t="shared" si="1"/>
        <v>12</v>
      </c>
      <c r="T14" s="220">
        <f t="shared" si="2"/>
        <v>5.8333333333333336E-3</v>
      </c>
      <c r="U14" s="219">
        <f t="shared" si="3"/>
        <v>1</v>
      </c>
      <c r="V14" s="215">
        <f t="shared" si="4"/>
        <v>0.21016660058153866</v>
      </c>
      <c r="W14" s="215">
        <f t="shared" si="5"/>
        <v>0.16813328046523093</v>
      </c>
      <c r="X14" s="215">
        <f t="shared" si="23"/>
        <v>0.62170011895323041</v>
      </c>
      <c r="Y14" s="219">
        <f t="shared" si="24"/>
        <v>2.775575813279697E-2</v>
      </c>
      <c r="Z14" s="215">
        <f t="shared" si="6"/>
        <v>5.5511516265593946E-2</v>
      </c>
      <c r="AA14" s="215">
        <f t="shared" si="25"/>
        <v>5.5511516265593946E-2</v>
      </c>
      <c r="AB14" s="220">
        <f t="shared" si="7"/>
        <v>1.4692791389339304E-2</v>
      </c>
      <c r="AC14" s="219">
        <v>0</v>
      </c>
      <c r="AD14" s="215">
        <f t="shared" si="26"/>
        <v>3.3072527801790538E-3</v>
      </c>
      <c r="AE14" s="220">
        <f t="shared" si="27"/>
        <v>3.3072527801790538E-3</v>
      </c>
      <c r="AF14" s="58">
        <f t="shared" si="8"/>
        <v>1.4000000000000002E-3</v>
      </c>
      <c r="AG14" s="61">
        <f t="shared" si="9"/>
        <v>1.4000000000000002E-3</v>
      </c>
      <c r="AH14" s="58">
        <f t="shared" si="10"/>
        <v>1.8781396336525958E-6</v>
      </c>
      <c r="AI14" s="49">
        <f t="shared" si="11"/>
        <v>1.9723367344178675E-3</v>
      </c>
      <c r="AJ14" s="61">
        <f t="shared" si="45"/>
        <v>1.9742148740515201E-3</v>
      </c>
      <c r="AK14" s="219">
        <f t="shared" si="12"/>
        <v>7.0000000000000007E-2</v>
      </c>
      <c r="AL14" s="215">
        <f t="shared" si="13"/>
        <v>15</v>
      </c>
      <c r="AM14" s="220">
        <f t="shared" si="28"/>
        <v>4.6666666666666671E-3</v>
      </c>
      <c r="AN14" s="219">
        <f t="shared" si="29"/>
        <v>2</v>
      </c>
      <c r="AO14" s="215">
        <f t="shared" si="30"/>
        <v>0.16813328046523093</v>
      </c>
      <c r="AP14" s="215">
        <f t="shared" si="31"/>
        <v>2.775575813279697E-2</v>
      </c>
      <c r="AQ14" s="215">
        <f t="shared" si="32"/>
        <v>5.5511516265593946E-2</v>
      </c>
      <c r="AR14" s="215">
        <f t="shared" si="46"/>
        <v>5.5511516265593946E-2</v>
      </c>
      <c r="AS14" s="220">
        <f t="shared" si="47"/>
        <v>1.3141632130314503E-2</v>
      </c>
      <c r="AT14" s="219"/>
      <c r="AU14" s="215">
        <f t="shared" si="33"/>
        <v>3.3363555555555565E-4</v>
      </c>
      <c r="AV14" s="220">
        <f t="shared" si="48"/>
        <v>3.3363555555555565E-4</v>
      </c>
      <c r="AW14" s="219">
        <f t="shared" si="34"/>
        <v>6.8148E-2</v>
      </c>
      <c r="AX14" s="215">
        <f t="shared" si="35"/>
        <v>1.4E-3</v>
      </c>
      <c r="AY14" s="220">
        <f t="shared" si="49"/>
        <v>6.9547999999999999E-2</v>
      </c>
      <c r="AZ14" s="219">
        <f t="shared" si="14"/>
        <v>0</v>
      </c>
      <c r="BA14" s="215">
        <f t="shared" si="15"/>
        <v>0</v>
      </c>
      <c r="BB14" s="215">
        <f t="shared" si="50"/>
        <v>0</v>
      </c>
      <c r="BC14" s="61">
        <f t="shared" si="36"/>
        <v>0</v>
      </c>
      <c r="BD14" s="58">
        <v>0</v>
      </c>
      <c r="BE14" s="49">
        <f t="shared" si="51"/>
        <v>0</v>
      </c>
      <c r="BF14" s="61">
        <f t="shared" si="52"/>
        <v>0</v>
      </c>
      <c r="BG14" s="58">
        <f t="shared" si="37"/>
        <v>0</v>
      </c>
      <c r="BH14" s="49">
        <f t="shared" si="38"/>
        <v>0</v>
      </c>
      <c r="BI14" s="61">
        <f t="shared" si="39"/>
        <v>0</v>
      </c>
      <c r="BK14" s="219">
        <f t="shared" si="17"/>
        <v>0</v>
      </c>
      <c r="BL14" s="215">
        <f t="shared" si="18"/>
        <v>0</v>
      </c>
      <c r="BM14" s="215">
        <f t="shared" si="19"/>
        <v>0</v>
      </c>
      <c r="BN14" s="61">
        <f t="shared" si="40"/>
        <v>0</v>
      </c>
      <c r="BO14" s="58">
        <v>0</v>
      </c>
      <c r="BP14" s="49">
        <f t="shared" si="41"/>
        <v>0</v>
      </c>
      <c r="BQ14" s="61">
        <f t="shared" si="53"/>
        <v>0</v>
      </c>
      <c r="BR14" s="58">
        <f t="shared" si="42"/>
        <v>0</v>
      </c>
      <c r="BS14" s="49">
        <f t="shared" si="54"/>
        <v>0</v>
      </c>
      <c r="BT14" s="61">
        <f t="shared" si="55"/>
        <v>0</v>
      </c>
      <c r="BU14" s="58">
        <f t="shared" si="20"/>
        <v>4.3175623762128643E-6</v>
      </c>
      <c r="BV14" s="49">
        <f t="shared" si="21"/>
        <v>5.9629500000000002E-2</v>
      </c>
      <c r="BW14" s="61">
        <f t="shared" si="22"/>
        <v>5.4000000000000003E-3</v>
      </c>
      <c r="BX14" s="49">
        <f t="shared" si="56"/>
        <v>4.7072527801790536E-3</v>
      </c>
      <c r="BY14" s="49">
        <f t="shared" si="43"/>
        <v>0.14299692077216236</v>
      </c>
      <c r="BZ14" s="49">
        <f t="shared" si="44"/>
        <v>32.86432486734271</v>
      </c>
    </row>
    <row r="15" spans="1:78" x14ac:dyDescent="0.25">
      <c r="A15" s="49" t="s">
        <v>594</v>
      </c>
      <c r="B15" s="49">
        <f>POUT2/O11</f>
        <v>0</v>
      </c>
      <c r="O15" s="49">
        <f>0.205*2.5/(Lm*Fsw)</f>
        <v>1.1280595175206904E-2</v>
      </c>
      <c r="Q15" s="49">
        <v>8</v>
      </c>
      <c r="R15" s="219">
        <f t="shared" si="0"/>
        <v>0.08</v>
      </c>
      <c r="S15" s="215">
        <f t="shared" si="1"/>
        <v>12</v>
      </c>
      <c r="T15" s="220">
        <f t="shared" si="2"/>
        <v>6.6666666666666671E-3</v>
      </c>
      <c r="U15" s="219">
        <f t="shared" si="3"/>
        <v>1</v>
      </c>
      <c r="V15" s="215">
        <f t="shared" si="4"/>
        <v>0.22467754671973789</v>
      </c>
      <c r="W15" s="215">
        <f t="shared" si="5"/>
        <v>0.17974203737579028</v>
      </c>
      <c r="X15" s="215">
        <f t="shared" si="23"/>
        <v>0.59558041590447175</v>
      </c>
      <c r="Y15" s="219">
        <f t="shared" si="24"/>
        <v>2.9672153555168768E-2</v>
      </c>
      <c r="Z15" s="215">
        <f t="shared" si="6"/>
        <v>5.934430711033753E-2</v>
      </c>
      <c r="AA15" s="215">
        <f t="shared" si="25"/>
        <v>5.934430711033753E-2</v>
      </c>
      <c r="AB15" s="220">
        <f t="shared" si="7"/>
        <v>1.6240457999882409E-2</v>
      </c>
      <c r="AC15" s="219">
        <v>0</v>
      </c>
      <c r="AD15" s="215">
        <f t="shared" si="26"/>
        <v>4.0406879330238702E-3</v>
      </c>
      <c r="AE15" s="220">
        <f t="shared" si="27"/>
        <v>4.0406879330238702E-3</v>
      </c>
      <c r="AF15" s="58">
        <f t="shared" si="8"/>
        <v>1.6000000000000001E-3</v>
      </c>
      <c r="AG15" s="61">
        <f t="shared" si="9"/>
        <v>1.6000000000000001E-3</v>
      </c>
      <c r="AH15" s="58">
        <f t="shared" si="10"/>
        <v>2.2946465415997173E-6</v>
      </c>
      <c r="AI15" s="49">
        <f t="shared" si="11"/>
        <v>2.1085166604400594E-3</v>
      </c>
      <c r="AJ15" s="61">
        <f t="shared" si="45"/>
        <v>2.110811306981659E-3</v>
      </c>
      <c r="AK15" s="219">
        <f t="shared" si="12"/>
        <v>0.08</v>
      </c>
      <c r="AL15" s="215">
        <f t="shared" si="13"/>
        <v>15</v>
      </c>
      <c r="AM15" s="220">
        <f t="shared" si="28"/>
        <v>5.3333333333333332E-3</v>
      </c>
      <c r="AN15" s="219">
        <f t="shared" si="29"/>
        <v>2</v>
      </c>
      <c r="AO15" s="215">
        <f t="shared" si="30"/>
        <v>0.17974203737579028</v>
      </c>
      <c r="AP15" s="215">
        <f t="shared" si="31"/>
        <v>2.9672153555168768E-2</v>
      </c>
      <c r="AQ15" s="215">
        <f t="shared" si="32"/>
        <v>5.934430711033753E-2</v>
      </c>
      <c r="AR15" s="215">
        <f t="shared" si="46"/>
        <v>5.934430711033753E-2</v>
      </c>
      <c r="AS15" s="220">
        <f t="shared" si="47"/>
        <v>1.4525907229386936E-2</v>
      </c>
      <c r="AT15" s="219"/>
      <c r="AU15" s="215">
        <f t="shared" si="33"/>
        <v>4.3576888888888888E-4</v>
      </c>
      <c r="AV15" s="220">
        <f t="shared" si="48"/>
        <v>4.3576888888888888E-4</v>
      </c>
      <c r="AW15" s="219">
        <f t="shared" si="34"/>
        <v>6.8148E-2</v>
      </c>
      <c r="AX15" s="215">
        <f t="shared" si="35"/>
        <v>1.5999999999999999E-3</v>
      </c>
      <c r="AY15" s="220">
        <f t="shared" si="49"/>
        <v>6.9748000000000004E-2</v>
      </c>
      <c r="AZ15" s="219">
        <f t="shared" si="14"/>
        <v>0</v>
      </c>
      <c r="BA15" s="215">
        <f t="shared" si="15"/>
        <v>0</v>
      </c>
      <c r="BB15" s="215">
        <f t="shared" si="50"/>
        <v>0</v>
      </c>
      <c r="BC15" s="61">
        <f t="shared" si="36"/>
        <v>0</v>
      </c>
      <c r="BD15" s="58">
        <v>0</v>
      </c>
      <c r="BE15" s="49">
        <f t="shared" si="51"/>
        <v>0</v>
      </c>
      <c r="BF15" s="61">
        <f t="shared" si="52"/>
        <v>0</v>
      </c>
      <c r="BG15" s="58">
        <f t="shared" si="37"/>
        <v>0</v>
      </c>
      <c r="BH15" s="49">
        <f t="shared" si="38"/>
        <v>0</v>
      </c>
      <c r="BI15" s="61">
        <f t="shared" si="39"/>
        <v>0</v>
      </c>
      <c r="BK15" s="219">
        <f t="shared" si="17"/>
        <v>0</v>
      </c>
      <c r="BL15" s="215">
        <f t="shared" si="18"/>
        <v>0</v>
      </c>
      <c r="BM15" s="215">
        <f t="shared" si="19"/>
        <v>0</v>
      </c>
      <c r="BN15" s="61">
        <f t="shared" si="40"/>
        <v>0</v>
      </c>
      <c r="BO15" s="58">
        <v>0</v>
      </c>
      <c r="BP15" s="49">
        <f t="shared" si="41"/>
        <v>0</v>
      </c>
      <c r="BQ15" s="61">
        <f t="shared" si="53"/>
        <v>0</v>
      </c>
      <c r="BR15" s="58">
        <f t="shared" si="42"/>
        <v>0</v>
      </c>
      <c r="BS15" s="49">
        <f t="shared" si="54"/>
        <v>0</v>
      </c>
      <c r="BT15" s="61">
        <f t="shared" si="55"/>
        <v>0</v>
      </c>
      <c r="BU15" s="58">
        <f t="shared" si="20"/>
        <v>5.2750495209188914E-6</v>
      </c>
      <c r="BV15" s="49">
        <f t="shared" si="21"/>
        <v>5.9629500000000002E-2</v>
      </c>
      <c r="BW15" s="61">
        <f t="shared" si="22"/>
        <v>5.4000000000000003E-3</v>
      </c>
      <c r="BX15" s="49">
        <f t="shared" si="56"/>
        <v>5.6406879330238701E-3</v>
      </c>
      <c r="BY15" s="49">
        <f t="shared" si="43"/>
        <v>0.14457004317841529</v>
      </c>
      <c r="BZ15" s="49">
        <f t="shared" si="44"/>
        <v>35.623629433264171</v>
      </c>
    </row>
    <row r="16" spans="1:78" x14ac:dyDescent="0.25">
      <c r="Q16" s="49">
        <v>9</v>
      </c>
      <c r="R16" s="219">
        <f t="shared" si="0"/>
        <v>0.09</v>
      </c>
      <c r="S16" s="215">
        <f t="shared" si="1"/>
        <v>12</v>
      </c>
      <c r="T16" s="220">
        <f t="shared" si="2"/>
        <v>7.4999999999999997E-3</v>
      </c>
      <c r="U16" s="219">
        <f t="shared" si="3"/>
        <v>1</v>
      </c>
      <c r="V16" s="215">
        <f t="shared" si="4"/>
        <v>0.23830652529882598</v>
      </c>
      <c r="W16" s="215">
        <f t="shared" si="5"/>
        <v>0.19064522023906078</v>
      </c>
      <c r="X16" s="215">
        <f t="shared" si="23"/>
        <v>0.57104825446211316</v>
      </c>
      <c r="Y16" s="219">
        <f t="shared" si="24"/>
        <v>3.1472071486902543E-2</v>
      </c>
      <c r="Z16" s="215">
        <f t="shared" si="6"/>
        <v>6.2944142973805073E-2</v>
      </c>
      <c r="AA16" s="215">
        <f t="shared" si="25"/>
        <v>6.2944142973805073E-2</v>
      </c>
      <c r="AB16" s="220">
        <f t="shared" si="7"/>
        <v>1.7740369637327891E-2</v>
      </c>
      <c r="AC16" s="219">
        <v>0</v>
      </c>
      <c r="AD16" s="215">
        <f t="shared" si="26"/>
        <v>4.8215213517934672E-3</v>
      </c>
      <c r="AE16" s="220">
        <f t="shared" si="27"/>
        <v>4.8215213517934672E-3</v>
      </c>
      <c r="AF16" s="58">
        <f t="shared" si="8"/>
        <v>1.8E-3</v>
      </c>
      <c r="AG16" s="61">
        <f t="shared" si="9"/>
        <v>1.8E-3</v>
      </c>
      <c r="AH16" s="58">
        <f t="shared" si="10"/>
        <v>2.7380702193605198E-6</v>
      </c>
      <c r="AI16" s="49">
        <f t="shared" si="11"/>
        <v>2.2364196432629688E-3</v>
      </c>
      <c r="AJ16" s="61">
        <f t="shared" si="45"/>
        <v>2.2391577134823295E-3</v>
      </c>
      <c r="AK16" s="219">
        <f t="shared" si="12"/>
        <v>0.09</v>
      </c>
      <c r="AL16" s="215">
        <f t="shared" si="13"/>
        <v>15</v>
      </c>
      <c r="AM16" s="220">
        <f t="shared" si="28"/>
        <v>6.0000000000000001E-3</v>
      </c>
      <c r="AN16" s="219">
        <f t="shared" si="29"/>
        <v>2</v>
      </c>
      <c r="AO16" s="215">
        <f t="shared" si="30"/>
        <v>0.19064522023906078</v>
      </c>
      <c r="AP16" s="215">
        <f t="shared" si="31"/>
        <v>3.1472071486902543E-2</v>
      </c>
      <c r="AQ16" s="215">
        <f t="shared" si="32"/>
        <v>6.2944142973805073E-2</v>
      </c>
      <c r="AR16" s="215">
        <f t="shared" si="46"/>
        <v>6.2944142973805073E-2</v>
      </c>
      <c r="AS16" s="220">
        <f t="shared" si="47"/>
        <v>1.5867468982015381E-2</v>
      </c>
      <c r="AT16" s="219"/>
      <c r="AU16" s="215">
        <f t="shared" si="33"/>
        <v>5.5152000000000001E-4</v>
      </c>
      <c r="AV16" s="220">
        <f t="shared" si="48"/>
        <v>5.5152000000000001E-4</v>
      </c>
      <c r="AW16" s="219">
        <f t="shared" si="34"/>
        <v>6.8148E-2</v>
      </c>
      <c r="AX16" s="215">
        <f t="shared" si="35"/>
        <v>1.8E-3</v>
      </c>
      <c r="AY16" s="220">
        <f t="shared" si="49"/>
        <v>6.9947999999999996E-2</v>
      </c>
      <c r="AZ16" s="219">
        <f t="shared" si="14"/>
        <v>0</v>
      </c>
      <c r="BA16" s="215">
        <f t="shared" si="15"/>
        <v>0</v>
      </c>
      <c r="BB16" s="215">
        <f t="shared" si="50"/>
        <v>0</v>
      </c>
      <c r="BC16" s="61">
        <f t="shared" si="36"/>
        <v>0</v>
      </c>
      <c r="BD16" s="58">
        <v>0</v>
      </c>
      <c r="BE16" s="49">
        <f t="shared" si="51"/>
        <v>0</v>
      </c>
      <c r="BF16" s="61">
        <f t="shared" si="52"/>
        <v>0</v>
      </c>
      <c r="BG16" s="58">
        <f t="shared" si="37"/>
        <v>0</v>
      </c>
      <c r="BH16" s="49">
        <f t="shared" si="38"/>
        <v>0</v>
      </c>
      <c r="BI16" s="61">
        <f t="shared" si="39"/>
        <v>0</v>
      </c>
      <c r="BK16" s="219">
        <f t="shared" si="17"/>
        <v>0</v>
      </c>
      <c r="BL16" s="215">
        <f t="shared" si="18"/>
        <v>0</v>
      </c>
      <c r="BM16" s="215">
        <f t="shared" si="19"/>
        <v>0</v>
      </c>
      <c r="BN16" s="61">
        <f t="shared" si="40"/>
        <v>0</v>
      </c>
      <c r="BO16" s="58">
        <v>0</v>
      </c>
      <c r="BP16" s="49">
        <f t="shared" si="41"/>
        <v>0</v>
      </c>
      <c r="BQ16" s="61">
        <f t="shared" si="53"/>
        <v>0</v>
      </c>
      <c r="BR16" s="58">
        <f t="shared" si="42"/>
        <v>0</v>
      </c>
      <c r="BS16" s="49">
        <f t="shared" si="54"/>
        <v>0</v>
      </c>
      <c r="BT16" s="61">
        <f t="shared" si="55"/>
        <v>0</v>
      </c>
      <c r="BU16" s="58">
        <f t="shared" si="20"/>
        <v>6.2944142973805057E-6</v>
      </c>
      <c r="BV16" s="49">
        <f t="shared" si="21"/>
        <v>5.9629500000000002E-2</v>
      </c>
      <c r="BW16" s="61">
        <f t="shared" si="22"/>
        <v>5.4000000000000003E-3</v>
      </c>
      <c r="BX16" s="49">
        <f t="shared" si="56"/>
        <v>6.6215213517934676E-3</v>
      </c>
      <c r="BY16" s="49">
        <f t="shared" si="43"/>
        <v>0.14619599347957316</v>
      </c>
      <c r="BZ16" s="49">
        <f t="shared" si="44"/>
        <v>38.103948620865765</v>
      </c>
    </row>
    <row r="17" spans="1:78" x14ac:dyDescent="0.25">
      <c r="Q17" s="49">
        <v>10</v>
      </c>
      <c r="R17" s="219">
        <f t="shared" si="0"/>
        <v>0.1</v>
      </c>
      <c r="S17" s="215">
        <f t="shared" si="1"/>
        <v>12</v>
      </c>
      <c r="T17" s="220">
        <f t="shared" si="2"/>
        <v>8.3333333333333332E-3</v>
      </c>
      <c r="U17" s="219">
        <f t="shared" si="3"/>
        <v>1</v>
      </c>
      <c r="V17" s="215">
        <f t="shared" si="4"/>
        <v>0.2511971337416094</v>
      </c>
      <c r="W17" s="215">
        <f t="shared" si="5"/>
        <v>0.20095770699328749</v>
      </c>
      <c r="X17" s="215">
        <f t="shared" si="23"/>
        <v>0.54784515926510302</v>
      </c>
      <c r="Y17" s="219">
        <f t="shared" si="24"/>
        <v>3.3174476194084708E-2</v>
      </c>
      <c r="Z17" s="215">
        <f t="shared" si="6"/>
        <v>6.6348952388169416E-2</v>
      </c>
      <c r="AA17" s="215">
        <f t="shared" si="25"/>
        <v>6.6348952388169416E-2</v>
      </c>
      <c r="AB17" s="220">
        <f t="shared" si="7"/>
        <v>1.9199096099696611E-2</v>
      </c>
      <c r="AC17" s="219">
        <v>0</v>
      </c>
      <c r="AD17" s="215">
        <f t="shared" si="26"/>
        <v>5.6470330588153077E-3</v>
      </c>
      <c r="AE17" s="220">
        <f t="shared" si="27"/>
        <v>5.6470330588153077E-3</v>
      </c>
      <c r="AF17" s="58">
        <f t="shared" si="8"/>
        <v>2E-3</v>
      </c>
      <c r="AG17" s="61">
        <f t="shared" si="9"/>
        <v>2E-3</v>
      </c>
      <c r="AH17" s="58">
        <f t="shared" si="10"/>
        <v>3.2068660320948547E-6</v>
      </c>
      <c r="AI17" s="49">
        <f t="shared" si="11"/>
        <v>2.3573932922174071E-3</v>
      </c>
      <c r="AJ17" s="61">
        <f t="shared" si="45"/>
        <v>2.3606001582495021E-3</v>
      </c>
      <c r="AK17" s="219">
        <f t="shared" si="12"/>
        <v>0.1</v>
      </c>
      <c r="AL17" s="215">
        <f t="shared" si="13"/>
        <v>15</v>
      </c>
      <c r="AM17" s="220">
        <f t="shared" si="28"/>
        <v>6.6666666666666671E-3</v>
      </c>
      <c r="AN17" s="219">
        <f t="shared" si="29"/>
        <v>2</v>
      </c>
      <c r="AO17" s="215">
        <f t="shared" si="30"/>
        <v>0.20095770699328752</v>
      </c>
      <c r="AP17" s="215">
        <f t="shared" si="31"/>
        <v>3.3174476194084708E-2</v>
      </c>
      <c r="AQ17" s="215">
        <f t="shared" si="32"/>
        <v>6.6348952388169416E-2</v>
      </c>
      <c r="AR17" s="215">
        <f t="shared" si="46"/>
        <v>6.6348952388169416E-2</v>
      </c>
      <c r="AS17" s="220">
        <f t="shared" si="47"/>
        <v>1.7172193594189082E-2</v>
      </c>
      <c r="AT17" s="219"/>
      <c r="AU17" s="215">
        <f t="shared" si="33"/>
        <v>6.8088888888888908E-4</v>
      </c>
      <c r="AV17" s="220">
        <f t="shared" si="48"/>
        <v>6.8088888888888908E-4</v>
      </c>
      <c r="AW17" s="219">
        <f t="shared" si="34"/>
        <v>6.8148E-2</v>
      </c>
      <c r="AX17" s="215">
        <f t="shared" si="35"/>
        <v>2E-3</v>
      </c>
      <c r="AY17" s="220">
        <f t="shared" si="49"/>
        <v>7.0148000000000002E-2</v>
      </c>
      <c r="AZ17" s="219">
        <f t="shared" si="14"/>
        <v>0</v>
      </c>
      <c r="BA17" s="215">
        <f t="shared" si="15"/>
        <v>0</v>
      </c>
      <c r="BB17" s="215">
        <f t="shared" si="50"/>
        <v>0</v>
      </c>
      <c r="BC17" s="61">
        <f t="shared" si="36"/>
        <v>0</v>
      </c>
      <c r="BD17" s="58">
        <v>0</v>
      </c>
      <c r="BE17" s="49">
        <f t="shared" si="51"/>
        <v>0</v>
      </c>
      <c r="BF17" s="61">
        <f t="shared" si="52"/>
        <v>0</v>
      </c>
      <c r="BG17" s="58">
        <f t="shared" si="37"/>
        <v>0</v>
      </c>
      <c r="BH17" s="49">
        <f t="shared" si="38"/>
        <v>0</v>
      </c>
      <c r="BI17" s="61">
        <f t="shared" si="39"/>
        <v>0</v>
      </c>
      <c r="BK17" s="219">
        <f t="shared" si="17"/>
        <v>0</v>
      </c>
      <c r="BL17" s="215">
        <f t="shared" si="18"/>
        <v>0</v>
      </c>
      <c r="BM17" s="215">
        <f t="shared" si="19"/>
        <v>0</v>
      </c>
      <c r="BN17" s="61">
        <f t="shared" si="40"/>
        <v>0</v>
      </c>
      <c r="BO17" s="58">
        <v>0</v>
      </c>
      <c r="BP17" s="49">
        <f t="shared" si="41"/>
        <v>0</v>
      </c>
      <c r="BQ17" s="61">
        <f t="shared" si="53"/>
        <v>0</v>
      </c>
      <c r="BR17" s="58">
        <f t="shared" si="42"/>
        <v>0</v>
      </c>
      <c r="BS17" s="49">
        <f t="shared" si="54"/>
        <v>0</v>
      </c>
      <c r="BT17" s="61">
        <f t="shared" si="55"/>
        <v>0</v>
      </c>
      <c r="BU17" s="58">
        <f t="shared" si="20"/>
        <v>7.3721058209077132E-6</v>
      </c>
      <c r="BV17" s="49">
        <f t="shared" si="21"/>
        <v>5.9629500000000002E-2</v>
      </c>
      <c r="BW17" s="61">
        <f t="shared" si="22"/>
        <v>5.4000000000000003E-3</v>
      </c>
      <c r="BX17" s="49">
        <f t="shared" si="56"/>
        <v>7.6470330588153078E-3</v>
      </c>
      <c r="BY17" s="49">
        <f t="shared" si="43"/>
        <v>0.14787339421177464</v>
      </c>
      <c r="BZ17" s="49">
        <f t="shared" si="44"/>
        <v>40.343176127472312</v>
      </c>
    </row>
    <row r="18" spans="1:78" x14ac:dyDescent="0.25">
      <c r="A18" s="49" t="s">
        <v>592</v>
      </c>
      <c r="B18" s="64">
        <f>VOUT3*IOUT3</f>
        <v>0</v>
      </c>
      <c r="Q18" s="49">
        <v>11</v>
      </c>
      <c r="R18" s="219">
        <f t="shared" si="0"/>
        <v>0.11</v>
      </c>
      <c r="S18" s="215">
        <f t="shared" si="1"/>
        <v>12</v>
      </c>
      <c r="T18" s="220">
        <f t="shared" si="2"/>
        <v>9.1666666666666667E-3</v>
      </c>
      <c r="U18" s="219">
        <f t="shared" si="3"/>
        <v>1</v>
      </c>
      <c r="V18" s="215">
        <f t="shared" si="4"/>
        <v>0.26345777650318086</v>
      </c>
      <c r="W18" s="215">
        <f t="shared" si="5"/>
        <v>0.21076622120254468</v>
      </c>
      <c r="X18" s="215">
        <f t="shared" si="23"/>
        <v>0.52577600229427435</v>
      </c>
      <c r="Y18" s="219">
        <f t="shared" si="24"/>
        <v>3.4793684165766101E-2</v>
      </c>
      <c r="Z18" s="215">
        <f t="shared" si="6"/>
        <v>6.9587368331532187E-2</v>
      </c>
      <c r="AA18" s="215">
        <f t="shared" si="25"/>
        <v>6.9587368331532201E-2</v>
      </c>
      <c r="AB18" s="220">
        <f t="shared" si="7"/>
        <v>2.0621739495100988E-2</v>
      </c>
      <c r="AC18" s="219">
        <v>0</v>
      </c>
      <c r="AD18" s="215">
        <f t="shared" si="26"/>
        <v>6.5149240617943379E-3</v>
      </c>
      <c r="AE18" s="220">
        <f t="shared" si="27"/>
        <v>6.5149240617943379E-3</v>
      </c>
      <c r="AF18" s="58">
        <f t="shared" si="8"/>
        <v>2.2000000000000001E-3</v>
      </c>
      <c r="AG18" s="61">
        <f t="shared" si="9"/>
        <v>2.2000000000000001E-3</v>
      </c>
      <c r="AH18" s="58">
        <f t="shared" si="10"/>
        <v>3.699728416293129E-6</v>
      </c>
      <c r="AI18" s="49">
        <f t="shared" si="11"/>
        <v>2.4724549434945804E-3</v>
      </c>
      <c r="AJ18" s="61">
        <f t="shared" si="45"/>
        <v>2.4761546719108737E-3</v>
      </c>
      <c r="AK18" s="219">
        <f t="shared" si="12"/>
        <v>0.11</v>
      </c>
      <c r="AL18" s="215">
        <f t="shared" si="13"/>
        <v>15</v>
      </c>
      <c r="AM18" s="220">
        <f t="shared" si="28"/>
        <v>7.3333333333333332E-3</v>
      </c>
      <c r="AN18" s="219">
        <f t="shared" si="29"/>
        <v>2</v>
      </c>
      <c r="AO18" s="215">
        <f t="shared" si="30"/>
        <v>0.21076622120254465</v>
      </c>
      <c r="AP18" s="215">
        <f t="shared" si="31"/>
        <v>3.4793684165766101E-2</v>
      </c>
      <c r="AQ18" s="215">
        <f t="shared" si="32"/>
        <v>6.9587368331532187E-2</v>
      </c>
      <c r="AR18" s="215">
        <f t="shared" si="46"/>
        <v>6.9587368331532201E-2</v>
      </c>
      <c r="AS18" s="220">
        <f t="shared" si="47"/>
        <v>1.8444644530135199E-2</v>
      </c>
      <c r="AT18" s="219"/>
      <c r="AU18" s="215">
        <f t="shared" si="33"/>
        <v>8.2387555555555551E-4</v>
      </c>
      <c r="AV18" s="220">
        <f t="shared" si="48"/>
        <v>8.2387555555555551E-4</v>
      </c>
      <c r="AW18" s="219">
        <f t="shared" si="34"/>
        <v>6.8148E-2</v>
      </c>
      <c r="AX18" s="215">
        <f t="shared" si="35"/>
        <v>2.1999999999999997E-3</v>
      </c>
      <c r="AY18" s="220">
        <f t="shared" si="49"/>
        <v>7.0347999999999994E-2</v>
      </c>
      <c r="AZ18" s="219">
        <f t="shared" si="14"/>
        <v>0</v>
      </c>
      <c r="BA18" s="215">
        <f t="shared" si="15"/>
        <v>0</v>
      </c>
      <c r="BB18" s="215">
        <f t="shared" si="50"/>
        <v>0</v>
      </c>
      <c r="BC18" s="61">
        <f t="shared" si="36"/>
        <v>0</v>
      </c>
      <c r="BD18" s="58">
        <v>0</v>
      </c>
      <c r="BE18" s="49">
        <f t="shared" si="51"/>
        <v>0</v>
      </c>
      <c r="BF18" s="61">
        <f t="shared" si="52"/>
        <v>0</v>
      </c>
      <c r="BG18" s="58">
        <f t="shared" si="37"/>
        <v>0</v>
      </c>
      <c r="BH18" s="49">
        <f t="shared" si="38"/>
        <v>0</v>
      </c>
      <c r="BI18" s="61">
        <f t="shared" si="39"/>
        <v>0</v>
      </c>
      <c r="BK18" s="219">
        <f t="shared" si="17"/>
        <v>0</v>
      </c>
      <c r="BL18" s="215">
        <f t="shared" si="18"/>
        <v>0</v>
      </c>
      <c r="BM18" s="215">
        <f t="shared" si="19"/>
        <v>0</v>
      </c>
      <c r="BN18" s="61">
        <f t="shared" si="40"/>
        <v>0</v>
      </c>
      <c r="BO18" s="58">
        <v>0</v>
      </c>
      <c r="BP18" s="49">
        <f t="shared" si="41"/>
        <v>0</v>
      </c>
      <c r="BQ18" s="61">
        <f t="shared" si="53"/>
        <v>0</v>
      </c>
      <c r="BR18" s="58">
        <f t="shared" si="42"/>
        <v>0</v>
      </c>
      <c r="BS18" s="49">
        <f t="shared" si="54"/>
        <v>0</v>
      </c>
      <c r="BT18" s="61">
        <f t="shared" si="55"/>
        <v>0</v>
      </c>
      <c r="BU18" s="58">
        <f t="shared" si="20"/>
        <v>8.5051227960761595E-6</v>
      </c>
      <c r="BV18" s="49">
        <f t="shared" si="21"/>
        <v>5.9629500000000002E-2</v>
      </c>
      <c r="BW18" s="61">
        <f t="shared" si="22"/>
        <v>5.4000000000000003E-3</v>
      </c>
      <c r="BX18" s="49">
        <f t="shared" si="56"/>
        <v>8.7149240617943376E-3</v>
      </c>
      <c r="BY18" s="49">
        <f t="shared" si="43"/>
        <v>0.14960095941205684</v>
      </c>
      <c r="BZ18" s="49">
        <f t="shared" si="44"/>
        <v>42.372724757692545</v>
      </c>
    </row>
    <row r="19" spans="1:78" x14ac:dyDescent="0.25">
      <c r="A19" s="49" t="s">
        <v>595</v>
      </c>
      <c r="B19" s="49">
        <f>POUT3/O11</f>
        <v>0</v>
      </c>
      <c r="Q19" s="49">
        <v>12</v>
      </c>
      <c r="R19" s="219">
        <f t="shared" si="0"/>
        <v>0.12</v>
      </c>
      <c r="S19" s="215">
        <f t="shared" si="1"/>
        <v>12</v>
      </c>
      <c r="T19" s="220">
        <f t="shared" si="2"/>
        <v>0.01</v>
      </c>
      <c r="U19" s="219">
        <f t="shared" si="3"/>
        <v>1</v>
      </c>
      <c r="V19" s="215">
        <f t="shared" si="4"/>
        <v>0.27517267306184306</v>
      </c>
      <c r="W19" s="215">
        <f t="shared" si="5"/>
        <v>0.22013813844947444</v>
      </c>
      <c r="X19" s="215">
        <f t="shared" si="23"/>
        <v>0.50468918848868238</v>
      </c>
      <c r="Y19" s="219">
        <f t="shared" si="24"/>
        <v>3.634081788983666E-2</v>
      </c>
      <c r="Z19" s="215">
        <f t="shared" si="6"/>
        <v>7.2681635779673293E-2</v>
      </c>
      <c r="AA19" s="215">
        <f t="shared" si="25"/>
        <v>7.2681635779673306E-2</v>
      </c>
      <c r="AB19" s="220">
        <f t="shared" si="7"/>
        <v>2.2012365582352918E-2</v>
      </c>
      <c r="AC19" s="219">
        <v>0</v>
      </c>
      <c r="AD19" s="215">
        <f t="shared" si="26"/>
        <v>7.4232177342973002E-3</v>
      </c>
      <c r="AE19" s="220">
        <f t="shared" si="27"/>
        <v>7.4232177342973002E-3</v>
      </c>
      <c r="AF19" s="58">
        <f t="shared" si="8"/>
        <v>2.3999999999999998E-3</v>
      </c>
      <c r="AG19" s="61">
        <f t="shared" si="9"/>
        <v>2.3999999999999998E-3</v>
      </c>
      <c r="AH19" s="58">
        <f t="shared" si="10"/>
        <v>4.2155348752210511E-6</v>
      </c>
      <c r="AI19" s="49">
        <f t="shared" si="11"/>
        <v>2.5823949661176837E-3</v>
      </c>
      <c r="AJ19" s="61">
        <f t="shared" si="45"/>
        <v>2.5866105009929048E-3</v>
      </c>
      <c r="AK19" s="219">
        <f t="shared" si="12"/>
        <v>0.12</v>
      </c>
      <c r="AL19" s="215">
        <f t="shared" si="13"/>
        <v>15</v>
      </c>
      <c r="AM19" s="220">
        <f t="shared" si="28"/>
        <v>8.0000000000000002E-3</v>
      </c>
      <c r="AN19" s="219">
        <f t="shared" si="29"/>
        <v>2</v>
      </c>
      <c r="AO19" s="215">
        <f t="shared" si="30"/>
        <v>0.22013813844947444</v>
      </c>
      <c r="AP19" s="215">
        <f t="shared" si="31"/>
        <v>3.634081788983666E-2</v>
      </c>
      <c r="AQ19" s="215">
        <f t="shared" si="32"/>
        <v>7.2681635779673293E-2</v>
      </c>
      <c r="AR19" s="215">
        <f t="shared" si="46"/>
        <v>7.2681635779673306E-2</v>
      </c>
      <c r="AS19" s="220">
        <f t="shared" si="47"/>
        <v>1.9688458315087146E-2</v>
      </c>
      <c r="AT19" s="219"/>
      <c r="AU19" s="215">
        <f t="shared" si="33"/>
        <v>9.8047999999999994E-4</v>
      </c>
      <c r="AV19" s="220">
        <f t="shared" si="48"/>
        <v>9.8047999999999994E-4</v>
      </c>
      <c r="AW19" s="219">
        <f t="shared" si="34"/>
        <v>6.8148E-2</v>
      </c>
      <c r="AX19" s="215">
        <f t="shared" si="35"/>
        <v>2.3999999999999998E-3</v>
      </c>
      <c r="AY19" s="220">
        <f t="shared" si="49"/>
        <v>7.0548E-2</v>
      </c>
      <c r="AZ19" s="219">
        <f t="shared" si="14"/>
        <v>0</v>
      </c>
      <c r="BA19" s="215">
        <f t="shared" si="15"/>
        <v>0</v>
      </c>
      <c r="BB19" s="215">
        <f t="shared" si="50"/>
        <v>0</v>
      </c>
      <c r="BC19" s="61">
        <f t="shared" si="36"/>
        <v>0</v>
      </c>
      <c r="BD19" s="58">
        <v>0</v>
      </c>
      <c r="BE19" s="49">
        <f t="shared" si="51"/>
        <v>0</v>
      </c>
      <c r="BF19" s="61">
        <f t="shared" si="52"/>
        <v>0</v>
      </c>
      <c r="BG19" s="58">
        <f t="shared" si="37"/>
        <v>0</v>
      </c>
      <c r="BH19" s="49">
        <f t="shared" si="38"/>
        <v>0</v>
      </c>
      <c r="BI19" s="61">
        <f t="shared" si="39"/>
        <v>0</v>
      </c>
      <c r="BK19" s="219">
        <f t="shared" si="17"/>
        <v>0</v>
      </c>
      <c r="BL19" s="215">
        <f t="shared" si="18"/>
        <v>0</v>
      </c>
      <c r="BM19" s="215">
        <f t="shared" si="19"/>
        <v>0</v>
      </c>
      <c r="BN19" s="61">
        <f t="shared" si="40"/>
        <v>0</v>
      </c>
      <c r="BO19" s="58">
        <v>0</v>
      </c>
      <c r="BP19" s="49">
        <f t="shared" si="41"/>
        <v>0</v>
      </c>
      <c r="BQ19" s="61">
        <f t="shared" si="53"/>
        <v>0</v>
      </c>
      <c r="BR19" s="58">
        <f t="shared" si="42"/>
        <v>0</v>
      </c>
      <c r="BS19" s="49">
        <f t="shared" si="54"/>
        <v>0</v>
      </c>
      <c r="BT19" s="61">
        <f t="shared" si="55"/>
        <v>0</v>
      </c>
      <c r="BU19" s="58">
        <f t="shared" si="20"/>
        <v>9.6908847706231065E-6</v>
      </c>
      <c r="BV19" s="49">
        <f t="shared" si="21"/>
        <v>5.9629500000000002E-2</v>
      </c>
      <c r="BW19" s="61">
        <f t="shared" si="22"/>
        <v>5.4000000000000003E-3</v>
      </c>
      <c r="BX19" s="49">
        <f t="shared" si="56"/>
        <v>9.8232177342973005E-3</v>
      </c>
      <c r="BY19" s="49">
        <f t="shared" si="43"/>
        <v>0.15137749912006085</v>
      </c>
      <c r="BZ19" s="49">
        <f t="shared" si="44"/>
        <v>44.218846584222696</v>
      </c>
    </row>
    <row r="20" spans="1:78" x14ac:dyDescent="0.25">
      <c r="Q20" s="49">
        <v>13</v>
      </c>
      <c r="R20" s="219">
        <f t="shared" si="0"/>
        <v>0.13</v>
      </c>
      <c r="S20" s="215">
        <f t="shared" si="1"/>
        <v>12</v>
      </c>
      <c r="T20" s="220">
        <f t="shared" si="2"/>
        <v>1.0833333333333334E-2</v>
      </c>
      <c r="U20" s="219">
        <f t="shared" si="3"/>
        <v>1</v>
      </c>
      <c r="V20" s="215">
        <f t="shared" si="4"/>
        <v>0.28640879874752451</v>
      </c>
      <c r="W20" s="215">
        <f t="shared" si="5"/>
        <v>0.22912703899801959</v>
      </c>
      <c r="X20" s="215">
        <f t="shared" si="23"/>
        <v>0.48446416225445588</v>
      </c>
      <c r="Y20" s="219">
        <f t="shared" si="24"/>
        <v>3.7824722497031768E-2</v>
      </c>
      <c r="Z20" s="215">
        <f t="shared" si="6"/>
        <v>7.5649444994063522E-2</v>
      </c>
      <c r="AA20" s="215">
        <f t="shared" si="25"/>
        <v>7.5649444994063536E-2</v>
      </c>
      <c r="AB20" s="220">
        <f t="shared" si="7"/>
        <v>2.3374282935202599E-2</v>
      </c>
      <c r="AC20" s="219">
        <v>0</v>
      </c>
      <c r="AD20" s="215">
        <f t="shared" si="26"/>
        <v>8.3701908138987206E-3</v>
      </c>
      <c r="AE20" s="220">
        <f t="shared" si="27"/>
        <v>8.3701908138987206E-3</v>
      </c>
      <c r="AF20" s="58">
        <f t="shared" si="8"/>
        <v>2.6000000000000003E-3</v>
      </c>
      <c r="AG20" s="61">
        <f t="shared" si="9"/>
        <v>2.6000000000000003E-3</v>
      </c>
      <c r="AH20" s="58">
        <f t="shared" si="10"/>
        <v>4.7533067937936591E-6</v>
      </c>
      <c r="AI20" s="49">
        <f t="shared" si="11"/>
        <v>2.6878418990798386E-3</v>
      </c>
      <c r="AJ20" s="61">
        <f t="shared" si="45"/>
        <v>2.6925952058736323E-3</v>
      </c>
      <c r="AK20" s="219">
        <f t="shared" si="12"/>
        <v>0.13</v>
      </c>
      <c r="AL20" s="215">
        <f t="shared" si="13"/>
        <v>15</v>
      </c>
      <c r="AM20" s="220">
        <f t="shared" si="28"/>
        <v>8.6666666666666663E-3</v>
      </c>
      <c r="AN20" s="219">
        <f t="shared" si="29"/>
        <v>2</v>
      </c>
      <c r="AO20" s="215">
        <f t="shared" si="30"/>
        <v>0.22912703899801959</v>
      </c>
      <c r="AP20" s="215">
        <f t="shared" si="31"/>
        <v>3.7824722497031768E-2</v>
      </c>
      <c r="AQ20" s="215">
        <f t="shared" si="32"/>
        <v>7.5649444994063522E-2</v>
      </c>
      <c r="AR20" s="215">
        <f t="shared" si="46"/>
        <v>7.5649444994063536E-2</v>
      </c>
      <c r="AS20" s="220">
        <f t="shared" si="47"/>
        <v>2.0906594227370529E-2</v>
      </c>
      <c r="AT20" s="219"/>
      <c r="AU20" s="215">
        <f t="shared" si="33"/>
        <v>1.1507022222222222E-3</v>
      </c>
      <c r="AV20" s="220">
        <f t="shared" si="48"/>
        <v>1.1507022222222222E-3</v>
      </c>
      <c r="AW20" s="219">
        <f t="shared" si="34"/>
        <v>6.8148E-2</v>
      </c>
      <c r="AX20" s="215">
        <f t="shared" si="35"/>
        <v>2.5999999999999999E-3</v>
      </c>
      <c r="AY20" s="220">
        <f t="shared" si="49"/>
        <v>7.0748000000000005E-2</v>
      </c>
      <c r="AZ20" s="219">
        <f t="shared" si="14"/>
        <v>0</v>
      </c>
      <c r="BA20" s="215">
        <f t="shared" si="15"/>
        <v>0</v>
      </c>
      <c r="BB20" s="215">
        <f t="shared" si="50"/>
        <v>0</v>
      </c>
      <c r="BC20" s="61">
        <f t="shared" si="36"/>
        <v>0</v>
      </c>
      <c r="BD20" s="58">
        <v>0</v>
      </c>
      <c r="BE20" s="49">
        <f t="shared" si="51"/>
        <v>0</v>
      </c>
      <c r="BF20" s="61">
        <f t="shared" si="52"/>
        <v>0</v>
      </c>
      <c r="BG20" s="58">
        <f t="shared" si="37"/>
        <v>0</v>
      </c>
      <c r="BH20" s="49">
        <f t="shared" si="38"/>
        <v>0</v>
      </c>
      <c r="BI20" s="61">
        <f t="shared" si="39"/>
        <v>0</v>
      </c>
      <c r="BK20" s="219">
        <f t="shared" si="17"/>
        <v>0</v>
      </c>
      <c r="BL20" s="215">
        <f t="shared" si="18"/>
        <v>0</v>
      </c>
      <c r="BM20" s="215">
        <f t="shared" si="19"/>
        <v>0</v>
      </c>
      <c r="BN20" s="61">
        <f t="shared" si="40"/>
        <v>0</v>
      </c>
      <c r="BO20" s="58">
        <v>0</v>
      </c>
      <c r="BP20" s="49">
        <f t="shared" si="41"/>
        <v>0</v>
      </c>
      <c r="BQ20" s="61">
        <f t="shared" si="53"/>
        <v>0</v>
      </c>
      <c r="BR20" s="58">
        <f t="shared" si="42"/>
        <v>0</v>
      </c>
      <c r="BS20" s="49">
        <f t="shared" si="54"/>
        <v>0</v>
      </c>
      <c r="BT20" s="61">
        <f t="shared" si="55"/>
        <v>0</v>
      </c>
      <c r="BU20" s="58">
        <f t="shared" si="20"/>
        <v>1.0927142054698068E-5</v>
      </c>
      <c r="BV20" s="49">
        <f t="shared" si="21"/>
        <v>5.9629500000000002E-2</v>
      </c>
      <c r="BW20" s="61">
        <f t="shared" si="22"/>
        <v>5.4000000000000003E-3</v>
      </c>
      <c r="BX20" s="49">
        <f t="shared" si="56"/>
        <v>1.097019081389872E-2</v>
      </c>
      <c r="BY20" s="49">
        <f t="shared" si="43"/>
        <v>0.15320191538404926</v>
      </c>
      <c r="BZ20" s="49">
        <f t="shared" si="44"/>
        <v>45.903644339307306</v>
      </c>
    </row>
    <row r="21" spans="1:78" x14ac:dyDescent="0.25">
      <c r="Q21" s="49">
        <v>14</v>
      </c>
      <c r="R21" s="219">
        <f t="shared" si="0"/>
        <v>0.14000000000000001</v>
      </c>
      <c r="S21" s="215">
        <f t="shared" si="1"/>
        <v>12</v>
      </c>
      <c r="T21" s="220">
        <f t="shared" si="2"/>
        <v>1.1666666666666667E-2</v>
      </c>
      <c r="U21" s="219">
        <f t="shared" si="3"/>
        <v>1</v>
      </c>
      <c r="V21" s="215">
        <f t="shared" si="4"/>
        <v>0.29722045690026117</v>
      </c>
      <c r="W21" s="215">
        <f t="shared" si="5"/>
        <v>0.23777636552020892</v>
      </c>
      <c r="X21" s="215">
        <f t="shared" si="23"/>
        <v>0.46500317757952986</v>
      </c>
      <c r="Y21" s="219">
        <f t="shared" si="24"/>
        <v>3.9252569585348812E-2</v>
      </c>
      <c r="Z21" s="215">
        <f t="shared" si="6"/>
        <v>7.850513917069761E-2</v>
      </c>
      <c r="AA21" s="215">
        <f t="shared" si="25"/>
        <v>7.8505139170697624E-2</v>
      </c>
      <c r="AB21" s="220">
        <f t="shared" si="7"/>
        <v>2.4710231218732125E-2</v>
      </c>
      <c r="AC21" s="219">
        <v>0</v>
      </c>
      <c r="AD21" s="215">
        <f t="shared" si="26"/>
        <v>9.3543234718506812E-3</v>
      </c>
      <c r="AE21" s="220">
        <f t="shared" si="27"/>
        <v>9.3543234718506812E-3</v>
      </c>
      <c r="AF21" s="58">
        <f t="shared" si="8"/>
        <v>2.8000000000000004E-3</v>
      </c>
      <c r="AG21" s="61">
        <f t="shared" si="9"/>
        <v>2.8000000000000004E-3</v>
      </c>
      <c r="AH21" s="58">
        <f t="shared" si="10"/>
        <v>5.3121810838838719E-6</v>
      </c>
      <c r="AI21" s="49">
        <f t="shared" si="11"/>
        <v>2.7893053593804097E-3</v>
      </c>
      <c r="AJ21" s="61">
        <f t="shared" si="45"/>
        <v>2.7946175404642937E-3</v>
      </c>
      <c r="AK21" s="219">
        <f t="shared" si="12"/>
        <v>0.14000000000000001</v>
      </c>
      <c r="AL21" s="215">
        <f t="shared" si="13"/>
        <v>15</v>
      </c>
      <c r="AM21" s="220">
        <f t="shared" si="28"/>
        <v>9.3333333333333341E-3</v>
      </c>
      <c r="AN21" s="219">
        <f t="shared" si="29"/>
        <v>2</v>
      </c>
      <c r="AO21" s="215">
        <f t="shared" si="30"/>
        <v>0.23777636552020889</v>
      </c>
      <c r="AP21" s="215">
        <f t="shared" si="31"/>
        <v>3.9252569585348812E-2</v>
      </c>
      <c r="AQ21" s="215">
        <f t="shared" si="32"/>
        <v>7.850513917069761E-2</v>
      </c>
      <c r="AR21" s="215">
        <f t="shared" si="46"/>
        <v>7.8505139170697624E-2</v>
      </c>
      <c r="AS21" s="220">
        <f t="shared" si="47"/>
        <v>2.2101502697929005E-2</v>
      </c>
      <c r="AT21" s="219"/>
      <c r="AU21" s="215">
        <f t="shared" si="33"/>
        <v>1.3345422222222226E-3</v>
      </c>
      <c r="AV21" s="220">
        <f t="shared" si="48"/>
        <v>1.3345422222222226E-3</v>
      </c>
      <c r="AW21" s="219">
        <f t="shared" si="34"/>
        <v>6.8148E-2</v>
      </c>
      <c r="AX21" s="215">
        <f t="shared" si="35"/>
        <v>2.8E-3</v>
      </c>
      <c r="AY21" s="220">
        <f t="shared" si="49"/>
        <v>7.0947999999999997E-2</v>
      </c>
      <c r="AZ21" s="219">
        <f t="shared" si="14"/>
        <v>0</v>
      </c>
      <c r="BA21" s="215">
        <f t="shared" si="15"/>
        <v>0</v>
      </c>
      <c r="BB21" s="215">
        <f t="shared" si="50"/>
        <v>0</v>
      </c>
      <c r="BC21" s="61">
        <f t="shared" si="36"/>
        <v>0</v>
      </c>
      <c r="BD21" s="58">
        <v>0</v>
      </c>
      <c r="BE21" s="49">
        <f t="shared" si="51"/>
        <v>0</v>
      </c>
      <c r="BF21" s="61">
        <f t="shared" si="52"/>
        <v>0</v>
      </c>
      <c r="BG21" s="58">
        <f t="shared" si="37"/>
        <v>0</v>
      </c>
      <c r="BH21" s="49">
        <f t="shared" si="38"/>
        <v>0</v>
      </c>
      <c r="BI21" s="61">
        <f t="shared" si="39"/>
        <v>0</v>
      </c>
      <c r="BK21" s="219">
        <f t="shared" si="17"/>
        <v>0</v>
      </c>
      <c r="BL21" s="215">
        <f t="shared" si="18"/>
        <v>0</v>
      </c>
      <c r="BM21" s="215">
        <f t="shared" si="19"/>
        <v>0</v>
      </c>
      <c r="BN21" s="61">
        <f t="shared" si="40"/>
        <v>0</v>
      </c>
      <c r="BO21" s="58">
        <v>0</v>
      </c>
      <c r="BP21" s="49">
        <f t="shared" si="41"/>
        <v>0</v>
      </c>
      <c r="BQ21" s="61">
        <f t="shared" si="53"/>
        <v>0</v>
      </c>
      <c r="BR21" s="58">
        <f t="shared" si="42"/>
        <v>0</v>
      </c>
      <c r="BS21" s="49">
        <f t="shared" si="54"/>
        <v>0</v>
      </c>
      <c r="BT21" s="61">
        <f t="shared" si="55"/>
        <v>0</v>
      </c>
      <c r="BU21" s="58">
        <f t="shared" si="20"/>
        <v>1.2211910537664075E-5</v>
      </c>
      <c r="BV21" s="49">
        <f t="shared" si="21"/>
        <v>5.9629500000000002E-2</v>
      </c>
      <c r="BW21" s="61">
        <f t="shared" si="22"/>
        <v>5.4000000000000003E-3</v>
      </c>
      <c r="BX21" s="49">
        <f t="shared" si="56"/>
        <v>1.2154323471850682E-2</v>
      </c>
      <c r="BY21" s="49">
        <f t="shared" si="43"/>
        <v>0.15507319514507487</v>
      </c>
      <c r="BZ21" s="49">
        <f t="shared" si="44"/>
        <v>47.445854894128217</v>
      </c>
    </row>
    <row r="22" spans="1:78" x14ac:dyDescent="0.25">
      <c r="Q22" s="49">
        <v>15</v>
      </c>
      <c r="R22" s="219">
        <f t="shared" si="0"/>
        <v>0.15</v>
      </c>
      <c r="S22" s="215">
        <f t="shared" si="1"/>
        <v>12</v>
      </c>
      <c r="T22" s="220">
        <f t="shared" si="2"/>
        <v>1.2499999999999999E-2</v>
      </c>
      <c r="U22" s="219">
        <f t="shared" si="3"/>
        <v>1</v>
      </c>
      <c r="V22" s="215">
        <f t="shared" si="4"/>
        <v>0.30765240125830318</v>
      </c>
      <c r="W22" s="215">
        <f t="shared" si="5"/>
        <v>0.24612192100664254</v>
      </c>
      <c r="X22" s="215">
        <f t="shared" si="23"/>
        <v>0.44622567773505428</v>
      </c>
      <c r="Y22" s="219">
        <f t="shared" si="24"/>
        <v>4.0630269579807608E-2</v>
      </c>
      <c r="Z22" s="215">
        <f t="shared" si="6"/>
        <v>8.1260539159615217E-2</v>
      </c>
      <c r="AA22" s="215">
        <f t="shared" si="25"/>
        <v>8.1260539159615217E-2</v>
      </c>
      <c r="AB22" s="220">
        <f t="shared" si="7"/>
        <v>2.602251255477572E-2</v>
      </c>
      <c r="AC22" s="219">
        <v>0</v>
      </c>
      <c r="AD22" s="215">
        <f t="shared" si="26"/>
        <v>1.0374262166044207E-2</v>
      </c>
      <c r="AE22" s="220">
        <f t="shared" si="27"/>
        <v>1.0374262166044207E-2</v>
      </c>
      <c r="AF22" s="58">
        <f t="shared" si="8"/>
        <v>3.0000000000000001E-3</v>
      </c>
      <c r="AG22" s="61">
        <f t="shared" si="9"/>
        <v>3.0000000000000001E-3</v>
      </c>
      <c r="AH22" s="58">
        <f t="shared" si="10"/>
        <v>5.8913890890721009E-6</v>
      </c>
      <c r="AI22" s="49">
        <f t="shared" si="11"/>
        <v>2.8872053444962023E-3</v>
      </c>
      <c r="AJ22" s="61">
        <f t="shared" si="45"/>
        <v>2.8930967335852745E-3</v>
      </c>
      <c r="AK22" s="219">
        <f t="shared" si="12"/>
        <v>0.15</v>
      </c>
      <c r="AL22" s="215">
        <f t="shared" si="13"/>
        <v>15</v>
      </c>
      <c r="AM22" s="220">
        <f t="shared" si="28"/>
        <v>0.01</v>
      </c>
      <c r="AN22" s="219">
        <f t="shared" si="29"/>
        <v>2</v>
      </c>
      <c r="AO22" s="215">
        <f t="shared" si="30"/>
        <v>0.24612192100664257</v>
      </c>
      <c r="AP22" s="215">
        <f t="shared" si="31"/>
        <v>4.0630269579807608E-2</v>
      </c>
      <c r="AQ22" s="215">
        <f t="shared" si="32"/>
        <v>8.126053915961523E-2</v>
      </c>
      <c r="AR22" s="215">
        <f t="shared" si="46"/>
        <v>8.126053915961523E-2</v>
      </c>
      <c r="AS22" s="220">
        <f t="shared" si="47"/>
        <v>2.3275242807128099E-2</v>
      </c>
      <c r="AT22" s="219"/>
      <c r="AU22" s="215">
        <f t="shared" si="33"/>
        <v>1.5320000000000002E-3</v>
      </c>
      <c r="AV22" s="220">
        <f t="shared" si="48"/>
        <v>1.5320000000000002E-3</v>
      </c>
      <c r="AW22" s="219">
        <f t="shared" si="34"/>
        <v>6.8148E-2</v>
      </c>
      <c r="AX22" s="215">
        <f t="shared" si="35"/>
        <v>3.0000000000000001E-3</v>
      </c>
      <c r="AY22" s="220">
        <f t="shared" si="49"/>
        <v>7.1148000000000003E-2</v>
      </c>
      <c r="AZ22" s="219">
        <f t="shared" si="14"/>
        <v>0</v>
      </c>
      <c r="BA22" s="215">
        <f t="shared" si="15"/>
        <v>0</v>
      </c>
      <c r="BB22" s="215">
        <f t="shared" si="50"/>
        <v>0</v>
      </c>
      <c r="BC22" s="61">
        <f t="shared" si="36"/>
        <v>0</v>
      </c>
      <c r="BD22" s="58">
        <v>0</v>
      </c>
      <c r="BE22" s="49">
        <f t="shared" si="51"/>
        <v>0</v>
      </c>
      <c r="BF22" s="61">
        <f t="shared" si="52"/>
        <v>0</v>
      </c>
      <c r="BG22" s="58">
        <f t="shared" si="37"/>
        <v>0</v>
      </c>
      <c r="BH22" s="49">
        <f t="shared" si="38"/>
        <v>0</v>
      </c>
      <c r="BI22" s="61">
        <f t="shared" si="39"/>
        <v>0</v>
      </c>
      <c r="BK22" s="219">
        <f t="shared" si="17"/>
        <v>0</v>
      </c>
      <c r="BL22" s="215">
        <f t="shared" si="18"/>
        <v>0</v>
      </c>
      <c r="BM22" s="215">
        <f t="shared" si="19"/>
        <v>0</v>
      </c>
      <c r="BN22" s="61">
        <f t="shared" si="40"/>
        <v>0</v>
      </c>
      <c r="BO22" s="58">
        <v>0</v>
      </c>
      <c r="BP22" s="49">
        <f t="shared" si="41"/>
        <v>0</v>
      </c>
      <c r="BQ22" s="61">
        <f t="shared" si="53"/>
        <v>0</v>
      </c>
      <c r="BR22" s="58">
        <f t="shared" si="42"/>
        <v>0</v>
      </c>
      <c r="BS22" s="49">
        <f t="shared" si="54"/>
        <v>0</v>
      </c>
      <c r="BT22" s="61">
        <f t="shared" si="55"/>
        <v>0</v>
      </c>
      <c r="BU22" s="58">
        <f t="shared" si="20"/>
        <v>1.3543423193269199E-5</v>
      </c>
      <c r="BV22" s="49">
        <f t="shared" si="21"/>
        <v>5.9629500000000002E-2</v>
      </c>
      <c r="BW22" s="61">
        <f t="shared" si="22"/>
        <v>5.4000000000000003E-3</v>
      </c>
      <c r="BX22" s="49">
        <f t="shared" si="56"/>
        <v>1.3374262166044208E-2</v>
      </c>
      <c r="BY22" s="49">
        <f t="shared" si="43"/>
        <v>0.15699040232282277</v>
      </c>
      <c r="BZ22" s="49">
        <f t="shared" si="44"/>
        <v>48.861462399161283</v>
      </c>
    </row>
    <row r="23" spans="1:78" x14ac:dyDescent="0.25">
      <c r="Q23" s="49">
        <v>16</v>
      </c>
      <c r="R23" s="219">
        <f t="shared" si="0"/>
        <v>0.16</v>
      </c>
      <c r="S23" s="215">
        <f t="shared" si="1"/>
        <v>12</v>
      </c>
      <c r="T23" s="220">
        <f t="shared" si="2"/>
        <v>1.3333333333333334E-2</v>
      </c>
      <c r="U23" s="219">
        <f t="shared" si="3"/>
        <v>1</v>
      </c>
      <c r="V23" s="215">
        <f t="shared" si="4"/>
        <v>0.31774203373176801</v>
      </c>
      <c r="W23" s="215">
        <f t="shared" si="5"/>
        <v>0.25419362698541442</v>
      </c>
      <c r="X23" s="215">
        <f t="shared" si="23"/>
        <v>0.42806433928281756</v>
      </c>
      <c r="Y23" s="219">
        <f t="shared" si="24"/>
        <v>4.1962761982536713E-2</v>
      </c>
      <c r="Z23" s="215">
        <f t="shared" si="6"/>
        <v>8.392552396507344E-2</v>
      </c>
      <c r="AA23" s="215">
        <f t="shared" si="25"/>
        <v>8.392552396507344E-2</v>
      </c>
      <c r="AB23" s="220">
        <f t="shared" si="7"/>
        <v>2.7313085828359264E-2</v>
      </c>
      <c r="AC23" s="219">
        <v>0</v>
      </c>
      <c r="AD23" s="215">
        <f t="shared" si="26"/>
        <v>1.1428791352399336E-2</v>
      </c>
      <c r="AE23" s="220">
        <f t="shared" si="27"/>
        <v>1.1428791352399336E-2</v>
      </c>
      <c r="AF23" s="58">
        <f t="shared" si="8"/>
        <v>3.2000000000000002E-3</v>
      </c>
      <c r="AG23" s="61">
        <f t="shared" si="9"/>
        <v>3.2000000000000002E-3</v>
      </c>
      <c r="AH23" s="58">
        <f t="shared" si="10"/>
        <v>6.4902405199656805E-6</v>
      </c>
      <c r="AI23" s="49">
        <f t="shared" si="11"/>
        <v>2.9818928576839572E-3</v>
      </c>
      <c r="AJ23" s="61">
        <f t="shared" si="45"/>
        <v>2.9883830982039227E-3</v>
      </c>
      <c r="AK23" s="219">
        <f t="shared" si="12"/>
        <v>0.16</v>
      </c>
      <c r="AL23" s="215">
        <f t="shared" si="13"/>
        <v>15</v>
      </c>
      <c r="AM23" s="220">
        <f t="shared" si="28"/>
        <v>1.0666666666666666E-2</v>
      </c>
      <c r="AN23" s="219">
        <f t="shared" si="29"/>
        <v>2</v>
      </c>
      <c r="AO23" s="215">
        <f t="shared" si="30"/>
        <v>0.25419362698541442</v>
      </c>
      <c r="AP23" s="215">
        <f t="shared" si="31"/>
        <v>4.1962761982536713E-2</v>
      </c>
      <c r="AQ23" s="215">
        <f t="shared" si="32"/>
        <v>8.392552396507344E-2</v>
      </c>
      <c r="AR23" s="215">
        <f t="shared" si="46"/>
        <v>8.392552396507344E-2</v>
      </c>
      <c r="AS23" s="220">
        <f t="shared" si="47"/>
        <v>2.4429566634998987E-2</v>
      </c>
      <c r="AT23" s="219"/>
      <c r="AU23" s="215">
        <f t="shared" si="33"/>
        <v>1.7430755555555555E-3</v>
      </c>
      <c r="AV23" s="220">
        <f t="shared" si="48"/>
        <v>1.7430755555555555E-3</v>
      </c>
      <c r="AW23" s="219">
        <f t="shared" si="34"/>
        <v>6.8148E-2</v>
      </c>
      <c r="AX23" s="215">
        <f t="shared" si="35"/>
        <v>3.1999999999999997E-3</v>
      </c>
      <c r="AY23" s="220">
        <f t="shared" si="49"/>
        <v>7.1347999999999995E-2</v>
      </c>
      <c r="AZ23" s="219">
        <f t="shared" si="14"/>
        <v>0</v>
      </c>
      <c r="BA23" s="215">
        <f t="shared" si="15"/>
        <v>0</v>
      </c>
      <c r="BB23" s="215">
        <f t="shared" si="50"/>
        <v>0</v>
      </c>
      <c r="BC23" s="61">
        <f t="shared" si="36"/>
        <v>0</v>
      </c>
      <c r="BD23" s="58">
        <v>0</v>
      </c>
      <c r="BE23" s="49">
        <f t="shared" si="51"/>
        <v>0</v>
      </c>
      <c r="BF23" s="61">
        <f t="shared" si="52"/>
        <v>0</v>
      </c>
      <c r="BG23" s="58">
        <f t="shared" si="37"/>
        <v>0</v>
      </c>
      <c r="BH23" s="49">
        <f t="shared" si="38"/>
        <v>0</v>
      </c>
      <c r="BI23" s="61">
        <f t="shared" si="39"/>
        <v>0</v>
      </c>
      <c r="BK23" s="219">
        <f t="shared" si="17"/>
        <v>0</v>
      </c>
      <c r="BL23" s="215">
        <f t="shared" si="18"/>
        <v>0</v>
      </c>
      <c r="BM23" s="215">
        <f t="shared" si="19"/>
        <v>0</v>
      </c>
      <c r="BN23" s="61">
        <f t="shared" si="40"/>
        <v>0</v>
      </c>
      <c r="BO23" s="58">
        <v>0</v>
      </c>
      <c r="BP23" s="49">
        <f t="shared" si="41"/>
        <v>0</v>
      </c>
      <c r="BQ23" s="61">
        <f t="shared" si="53"/>
        <v>0</v>
      </c>
      <c r="BR23" s="58">
        <f t="shared" si="42"/>
        <v>0</v>
      </c>
      <c r="BS23" s="49">
        <f t="shared" si="54"/>
        <v>0</v>
      </c>
      <c r="BT23" s="61">
        <f t="shared" si="55"/>
        <v>0</v>
      </c>
      <c r="BU23" s="58">
        <f t="shared" si="20"/>
        <v>1.4920093149346392E-5</v>
      </c>
      <c r="BV23" s="49">
        <f t="shared" si="21"/>
        <v>5.9629500000000002E-2</v>
      </c>
      <c r="BW23" s="61">
        <f t="shared" si="22"/>
        <v>5.4000000000000003E-3</v>
      </c>
      <c r="BX23" s="49">
        <f t="shared" si="56"/>
        <v>1.4628791352399336E-2</v>
      </c>
      <c r="BY23" s="49">
        <f t="shared" si="43"/>
        <v>0.15895267009930816</v>
      </c>
      <c r="BZ23" s="49">
        <f t="shared" si="44"/>
        <v>50.164182651357912</v>
      </c>
    </row>
    <row r="24" spans="1:78" x14ac:dyDescent="0.25">
      <c r="Q24" s="49">
        <v>17</v>
      </c>
      <c r="R24" s="219">
        <f t="shared" si="0"/>
        <v>0.17</v>
      </c>
      <c r="S24" s="215">
        <f t="shared" si="1"/>
        <v>12</v>
      </c>
      <c r="T24" s="220">
        <f t="shared" si="2"/>
        <v>1.4166666666666668E-2</v>
      </c>
      <c r="U24" s="219">
        <f t="shared" si="3"/>
        <v>1</v>
      </c>
      <c r="V24" s="215">
        <f t="shared" si="4"/>
        <v>0.32752099169366228</v>
      </c>
      <c r="W24" s="215">
        <f t="shared" si="5"/>
        <v>0.26201679335492983</v>
      </c>
      <c r="X24" s="215">
        <f t="shared" si="23"/>
        <v>0.41046221495140783</v>
      </c>
      <c r="Y24" s="219">
        <f t="shared" si="24"/>
        <v>4.325422499916301E-2</v>
      </c>
      <c r="Z24" s="215">
        <f t="shared" si="6"/>
        <v>8.650844999832602E-2</v>
      </c>
      <c r="AA24" s="215">
        <f t="shared" si="25"/>
        <v>8.650844999832602E-2</v>
      </c>
      <c r="AB24" s="220">
        <f t="shared" si="7"/>
        <v>2.8583636052542202E-2</v>
      </c>
      <c r="AC24" s="219">
        <v>0</v>
      </c>
      <c r="AD24" s="215">
        <f t="shared" si="26"/>
        <v>1.2516811509757796E-2</v>
      </c>
      <c r="AE24" s="220">
        <f t="shared" si="27"/>
        <v>1.2516811509757796E-2</v>
      </c>
      <c r="AF24" s="58">
        <f t="shared" si="8"/>
        <v>3.4000000000000002E-3</v>
      </c>
      <c r="AG24" s="61">
        <f t="shared" si="9"/>
        <v>3.4000000000000002E-3</v>
      </c>
      <c r="AH24" s="58">
        <f t="shared" si="10"/>
        <v>7.1081109748624557E-6</v>
      </c>
      <c r="AI24" s="49">
        <f t="shared" si="11"/>
        <v>3.0736648041264619E-3</v>
      </c>
      <c r="AJ24" s="61">
        <f t="shared" si="45"/>
        <v>3.0807729151013244E-3</v>
      </c>
      <c r="AK24" s="219">
        <f t="shared" si="12"/>
        <v>0.17</v>
      </c>
      <c r="AL24" s="215">
        <f t="shared" si="13"/>
        <v>15</v>
      </c>
      <c r="AM24" s="220">
        <f t="shared" si="28"/>
        <v>1.1333333333333334E-2</v>
      </c>
      <c r="AN24" s="219">
        <f t="shared" si="29"/>
        <v>2</v>
      </c>
      <c r="AO24" s="215">
        <f t="shared" si="30"/>
        <v>0.26201679335492983</v>
      </c>
      <c r="AP24" s="215">
        <f t="shared" si="31"/>
        <v>4.325422499916301E-2</v>
      </c>
      <c r="AQ24" s="215">
        <f t="shared" si="32"/>
        <v>8.650844999832602E-2</v>
      </c>
      <c r="AR24" s="215">
        <f t="shared" si="46"/>
        <v>8.650844999832602E-2</v>
      </c>
      <c r="AS24" s="220">
        <f t="shared" si="47"/>
        <v>2.5565981303039248E-2</v>
      </c>
      <c r="AT24" s="219"/>
      <c r="AU24" s="215">
        <f t="shared" si="33"/>
        <v>1.9677688888888891E-3</v>
      </c>
      <c r="AV24" s="220">
        <f t="shared" si="48"/>
        <v>1.9677688888888891E-3</v>
      </c>
      <c r="AW24" s="219">
        <f t="shared" si="34"/>
        <v>6.8148E-2</v>
      </c>
      <c r="AX24" s="215">
        <f t="shared" si="35"/>
        <v>3.4000000000000002E-3</v>
      </c>
      <c r="AY24" s="220">
        <f t="shared" si="49"/>
        <v>7.1548E-2</v>
      </c>
      <c r="AZ24" s="219">
        <f t="shared" si="14"/>
        <v>0</v>
      </c>
      <c r="BA24" s="215">
        <f t="shared" si="15"/>
        <v>0</v>
      </c>
      <c r="BB24" s="215">
        <f t="shared" si="50"/>
        <v>0</v>
      </c>
      <c r="BC24" s="61">
        <f t="shared" si="36"/>
        <v>0</v>
      </c>
      <c r="BD24" s="58">
        <v>0</v>
      </c>
      <c r="BE24" s="49">
        <f t="shared" si="51"/>
        <v>0</v>
      </c>
      <c r="BF24" s="61">
        <f t="shared" si="52"/>
        <v>0</v>
      </c>
      <c r="BG24" s="58">
        <f t="shared" si="37"/>
        <v>0</v>
      </c>
      <c r="BH24" s="49">
        <f t="shared" si="38"/>
        <v>0</v>
      </c>
      <c r="BI24" s="61">
        <f t="shared" si="39"/>
        <v>0</v>
      </c>
      <c r="BK24" s="219">
        <f t="shared" si="17"/>
        <v>0</v>
      </c>
      <c r="BL24" s="215">
        <f t="shared" si="18"/>
        <v>0</v>
      </c>
      <c r="BM24" s="215">
        <f t="shared" si="19"/>
        <v>0</v>
      </c>
      <c r="BN24" s="61">
        <f t="shared" si="40"/>
        <v>0</v>
      </c>
      <c r="BO24" s="58">
        <v>0</v>
      </c>
      <c r="BP24" s="49">
        <f t="shared" si="41"/>
        <v>0</v>
      </c>
      <c r="BQ24" s="61">
        <f t="shared" si="53"/>
        <v>0</v>
      </c>
      <c r="BR24" s="58">
        <f t="shared" si="42"/>
        <v>0</v>
      </c>
      <c r="BS24" s="49">
        <f t="shared" si="54"/>
        <v>0</v>
      </c>
      <c r="BT24" s="61">
        <f t="shared" si="55"/>
        <v>0</v>
      </c>
      <c r="BU24" s="58">
        <f t="shared" si="20"/>
        <v>1.6340484999683805E-5</v>
      </c>
      <c r="BV24" s="49">
        <f t="shared" si="21"/>
        <v>5.9629500000000002E-2</v>
      </c>
      <c r="BW24" s="61">
        <f t="shared" si="22"/>
        <v>5.4000000000000003E-3</v>
      </c>
      <c r="BX24" s="49">
        <f t="shared" si="56"/>
        <v>1.5916811509757794E-2</v>
      </c>
      <c r="BY24" s="49">
        <f t="shared" si="43"/>
        <v>0.16095919379874774</v>
      </c>
      <c r="BZ24" s="49">
        <f t="shared" si="44"/>
        <v>51.365849079078593</v>
      </c>
    </row>
    <row r="25" spans="1:78" s="217" customFormat="1" x14ac:dyDescent="0.25">
      <c r="Q25" s="217">
        <v>18</v>
      </c>
      <c r="R25" s="219">
        <f t="shared" si="0"/>
        <v>0.18</v>
      </c>
      <c r="S25" s="215">
        <f t="shared" si="1"/>
        <v>12</v>
      </c>
      <c r="T25" s="220">
        <f t="shared" si="2"/>
        <v>1.4999999999999999E-2</v>
      </c>
      <c r="U25" s="219">
        <f t="shared" si="3"/>
        <v>1</v>
      </c>
      <c r="V25" s="215">
        <f t="shared" si="4"/>
        <v>0.3370163200796068</v>
      </c>
      <c r="W25" s="215">
        <f t="shared" si="5"/>
        <v>0.26961305606368546</v>
      </c>
      <c r="X25" s="215">
        <f t="shared" si="23"/>
        <v>0.39337062385670774</v>
      </c>
      <c r="Y25" s="219">
        <f t="shared" si="24"/>
        <v>4.4508230332753147E-2</v>
      </c>
      <c r="Z25" s="215">
        <f t="shared" si="6"/>
        <v>8.9016460665506295E-2</v>
      </c>
      <c r="AA25" s="215">
        <f t="shared" si="25"/>
        <v>8.9016460665506295E-2</v>
      </c>
      <c r="AB25" s="220">
        <f t="shared" si="7"/>
        <v>2.9835626466609727E-2</v>
      </c>
      <c r="AC25" s="219">
        <v>0</v>
      </c>
      <c r="AD25" s="215">
        <f t="shared" si="26"/>
        <v>1.3637321773955562E-2</v>
      </c>
      <c r="AE25" s="220">
        <f t="shared" si="27"/>
        <v>1.3637321773955562E-2</v>
      </c>
      <c r="AF25" s="58">
        <f t="shared" si="8"/>
        <v>3.5999999999999999E-3</v>
      </c>
      <c r="AG25" s="61">
        <f t="shared" si="9"/>
        <v>3.5999999999999999E-3</v>
      </c>
      <c r="AH25" s="58">
        <f t="shared" si="10"/>
        <v>7.744432077899046E-6</v>
      </c>
      <c r="AI25" s="49">
        <f t="shared" si="11"/>
        <v>3.1627749906600884E-3</v>
      </c>
      <c r="AJ25" s="225">
        <f t="shared" si="45"/>
        <v>3.1705194227379875E-3</v>
      </c>
      <c r="AK25" s="219">
        <f t="shared" si="12"/>
        <v>0.18</v>
      </c>
      <c r="AL25" s="215">
        <f t="shared" si="13"/>
        <v>15</v>
      </c>
      <c r="AM25" s="220">
        <f t="shared" si="28"/>
        <v>1.2E-2</v>
      </c>
      <c r="AN25" s="219">
        <f t="shared" si="29"/>
        <v>2</v>
      </c>
      <c r="AO25" s="215">
        <f t="shared" si="30"/>
        <v>0.26961305606368541</v>
      </c>
      <c r="AP25" s="215">
        <f t="shared" si="31"/>
        <v>4.4508230332753154E-2</v>
      </c>
      <c r="AQ25" s="215">
        <f t="shared" si="32"/>
        <v>8.9016460665506281E-2</v>
      </c>
      <c r="AR25" s="215">
        <f t="shared" si="46"/>
        <v>8.9016460665506295E-2</v>
      </c>
      <c r="AS25" s="220">
        <f t="shared" si="47"/>
        <v>2.6685795572252494E-2</v>
      </c>
      <c r="AT25" s="219"/>
      <c r="AU25" s="215">
        <f t="shared" si="33"/>
        <v>2.20608E-3</v>
      </c>
      <c r="AV25" s="220">
        <f t="shared" si="48"/>
        <v>2.20608E-3</v>
      </c>
      <c r="AW25" s="219">
        <f t="shared" si="34"/>
        <v>6.8148E-2</v>
      </c>
      <c r="AX25" s="215">
        <f t="shared" si="35"/>
        <v>3.5999999999999999E-3</v>
      </c>
      <c r="AY25" s="220">
        <f t="shared" si="49"/>
        <v>7.1748000000000006E-2</v>
      </c>
      <c r="AZ25" s="219">
        <f t="shared" si="14"/>
        <v>0</v>
      </c>
      <c r="BA25" s="215">
        <f t="shared" si="15"/>
        <v>0</v>
      </c>
      <c r="BB25" s="215">
        <f t="shared" si="50"/>
        <v>0</v>
      </c>
      <c r="BC25" s="61">
        <f t="shared" si="36"/>
        <v>0</v>
      </c>
      <c r="BD25" s="58">
        <v>0</v>
      </c>
      <c r="BE25" s="49">
        <f t="shared" si="51"/>
        <v>0</v>
      </c>
      <c r="BF25" s="61">
        <f t="shared" si="52"/>
        <v>0</v>
      </c>
      <c r="BG25" s="58">
        <f t="shared" si="37"/>
        <v>0</v>
      </c>
      <c r="BH25" s="49">
        <f t="shared" si="38"/>
        <v>0</v>
      </c>
      <c r="BI25" s="61">
        <f t="shared" si="39"/>
        <v>0</v>
      </c>
      <c r="BJ25" s="49"/>
      <c r="BK25" s="219">
        <f t="shared" si="17"/>
        <v>0</v>
      </c>
      <c r="BL25" s="215">
        <f t="shared" si="18"/>
        <v>0</v>
      </c>
      <c r="BM25" s="215">
        <f t="shared" si="19"/>
        <v>0</v>
      </c>
      <c r="BN25" s="61">
        <f t="shared" si="40"/>
        <v>0</v>
      </c>
      <c r="BO25" s="58">
        <v>0</v>
      </c>
      <c r="BP25" s="49">
        <f t="shared" si="41"/>
        <v>0</v>
      </c>
      <c r="BQ25" s="61">
        <f t="shared" si="53"/>
        <v>0</v>
      </c>
      <c r="BR25" s="58">
        <f t="shared" si="42"/>
        <v>0</v>
      </c>
      <c r="BS25" s="49">
        <f t="shared" si="54"/>
        <v>0</v>
      </c>
      <c r="BT25" s="61">
        <f t="shared" si="55"/>
        <v>0</v>
      </c>
      <c r="BU25" s="58">
        <f t="shared" si="20"/>
        <v>1.7803292133101257E-5</v>
      </c>
      <c r="BV25" s="49">
        <f t="shared" si="21"/>
        <v>5.9629500000000002E-2</v>
      </c>
      <c r="BW25" s="61">
        <f t="shared" si="22"/>
        <v>5.4000000000000003E-3</v>
      </c>
      <c r="BX25" s="49">
        <f t="shared" si="56"/>
        <v>1.7237321773955563E-2</v>
      </c>
      <c r="BY25" s="49">
        <f t="shared" si="43"/>
        <v>0.16300922448882668</v>
      </c>
      <c r="BZ25" s="49">
        <f t="shared" si="44"/>
        <v>52.476722825238006</v>
      </c>
    </row>
    <row r="26" spans="1:78" x14ac:dyDescent="0.25">
      <c r="Q26" s="49">
        <v>19</v>
      </c>
      <c r="R26" s="219">
        <f t="shared" si="0"/>
        <v>0.19</v>
      </c>
      <c r="S26" s="215">
        <f t="shared" si="1"/>
        <v>12</v>
      </c>
      <c r="T26" s="220">
        <f t="shared" si="2"/>
        <v>1.5833333333333335E-2</v>
      </c>
      <c r="U26" s="219">
        <f t="shared" si="3"/>
        <v>1</v>
      </c>
      <c r="V26" s="215">
        <f t="shared" si="4"/>
        <v>0.34625135378796718</v>
      </c>
      <c r="W26" s="215">
        <f t="shared" si="5"/>
        <v>0.27700108303037374</v>
      </c>
      <c r="X26" s="215">
        <f t="shared" si="23"/>
        <v>0.37674756318165903</v>
      </c>
      <c r="Y26" s="219">
        <f t="shared" si="24"/>
        <v>4.5727859718432011E-2</v>
      </c>
      <c r="Z26" s="215">
        <f t="shared" si="6"/>
        <v>9.1455719436864022E-2</v>
      </c>
      <c r="AA26" s="215">
        <f t="shared" si="25"/>
        <v>9.1455719436864022E-2</v>
      </c>
      <c r="AB26" s="220">
        <f t="shared" si="7"/>
        <v>3.1070338385494296E-2</v>
      </c>
      <c r="AC26" s="219">
        <v>0</v>
      </c>
      <c r="AD26" s="215">
        <f t="shared" si="26"/>
        <v>1.4789406007601324E-2</v>
      </c>
      <c r="AE26" s="220">
        <f t="shared" si="27"/>
        <v>1.4789406007601324E-2</v>
      </c>
      <c r="AF26" s="58">
        <f t="shared" si="8"/>
        <v>3.8E-3</v>
      </c>
      <c r="AG26" s="61">
        <f t="shared" si="9"/>
        <v>3.8E-3</v>
      </c>
      <c r="AH26" s="58">
        <f t="shared" si="10"/>
        <v>8.3986835682853462E-6</v>
      </c>
      <c r="AI26" s="49">
        <f t="shared" si="11"/>
        <v>3.2494424067775205E-3</v>
      </c>
      <c r="AJ26" s="61">
        <f t="shared" si="45"/>
        <v>3.257841090345806E-3</v>
      </c>
      <c r="AK26" s="219">
        <f t="shared" si="12"/>
        <v>0.19</v>
      </c>
      <c r="AL26" s="215">
        <f t="shared" si="13"/>
        <v>15</v>
      </c>
      <c r="AM26" s="220">
        <f t="shared" si="28"/>
        <v>1.2666666666666666E-2</v>
      </c>
      <c r="AN26" s="219">
        <f t="shared" si="29"/>
        <v>2</v>
      </c>
      <c r="AO26" s="215">
        <f t="shared" si="30"/>
        <v>0.27700108303037368</v>
      </c>
      <c r="AP26" s="215">
        <f t="shared" si="31"/>
        <v>4.5727859718432011E-2</v>
      </c>
      <c r="AQ26" s="215">
        <f t="shared" si="32"/>
        <v>9.1455719436864008E-2</v>
      </c>
      <c r="AR26" s="215">
        <f t="shared" si="46"/>
        <v>9.1455719436864008E-2</v>
      </c>
      <c r="AS26" s="220">
        <f t="shared" si="47"/>
        <v>2.7790155485554521E-2</v>
      </c>
      <c r="AT26" s="219"/>
      <c r="AU26" s="215">
        <f t="shared" si="33"/>
        <v>2.458008888888889E-3</v>
      </c>
      <c r="AV26" s="220">
        <f t="shared" si="48"/>
        <v>2.458008888888889E-3</v>
      </c>
      <c r="AW26" s="219">
        <f t="shared" si="34"/>
        <v>6.8148E-2</v>
      </c>
      <c r="AX26" s="215">
        <f t="shared" si="35"/>
        <v>3.7999999999999996E-3</v>
      </c>
      <c r="AY26" s="220">
        <f t="shared" si="49"/>
        <v>7.1947999999999998E-2</v>
      </c>
      <c r="AZ26" s="219">
        <f t="shared" si="14"/>
        <v>0</v>
      </c>
      <c r="BA26" s="215">
        <f t="shared" si="15"/>
        <v>0</v>
      </c>
      <c r="BB26" s="215">
        <f t="shared" si="50"/>
        <v>0</v>
      </c>
      <c r="BC26" s="61">
        <f t="shared" si="36"/>
        <v>0</v>
      </c>
      <c r="BD26" s="58">
        <v>0</v>
      </c>
      <c r="BE26" s="49">
        <f t="shared" si="51"/>
        <v>0</v>
      </c>
      <c r="BF26" s="61">
        <f t="shared" si="52"/>
        <v>0</v>
      </c>
      <c r="BG26" s="58">
        <f t="shared" si="37"/>
        <v>0</v>
      </c>
      <c r="BH26" s="49">
        <f t="shared" si="38"/>
        <v>0</v>
      </c>
      <c r="BI26" s="61">
        <f t="shared" si="39"/>
        <v>0</v>
      </c>
      <c r="BK26" s="219">
        <f t="shared" si="17"/>
        <v>0</v>
      </c>
      <c r="BL26" s="215">
        <f t="shared" si="18"/>
        <v>0</v>
      </c>
      <c r="BM26" s="215">
        <f t="shared" si="19"/>
        <v>0</v>
      </c>
      <c r="BN26" s="61">
        <f t="shared" si="40"/>
        <v>0</v>
      </c>
      <c r="BO26" s="58">
        <v>0</v>
      </c>
      <c r="BP26" s="49">
        <f t="shared" si="41"/>
        <v>0</v>
      </c>
      <c r="BQ26" s="61">
        <f t="shared" si="53"/>
        <v>0</v>
      </c>
      <c r="BR26" s="58">
        <f t="shared" si="42"/>
        <v>0</v>
      </c>
      <c r="BS26" s="49">
        <f t="shared" si="54"/>
        <v>0</v>
      </c>
      <c r="BT26" s="61">
        <f t="shared" si="55"/>
        <v>0</v>
      </c>
      <c r="BU26" s="58">
        <f t="shared" si="20"/>
        <v>1.9307318547782407E-5</v>
      </c>
      <c r="BV26" s="49">
        <f t="shared" si="21"/>
        <v>5.9629500000000002E-2</v>
      </c>
      <c r="BW26" s="61">
        <f t="shared" si="22"/>
        <v>5.4000000000000003E-3</v>
      </c>
      <c r="BX26" s="49">
        <f t="shared" si="56"/>
        <v>1.8589406007601325E-2</v>
      </c>
      <c r="BY26" s="49">
        <f t="shared" si="43"/>
        <v>0.16510206330538379</v>
      </c>
      <c r="BZ26" s="49">
        <f t="shared" si="44"/>
        <v>53.505743737850977</v>
      </c>
    </row>
    <row r="27" spans="1:78" x14ac:dyDescent="0.25">
      <c r="Q27" s="49">
        <v>20</v>
      </c>
      <c r="R27" s="219">
        <f t="shared" si="0"/>
        <v>0.2</v>
      </c>
      <c r="S27" s="215">
        <f t="shared" si="1"/>
        <v>12</v>
      </c>
      <c r="T27" s="220">
        <f t="shared" si="2"/>
        <v>1.6666666666666666E-2</v>
      </c>
      <c r="U27" s="219">
        <f t="shared" si="3"/>
        <v>1</v>
      </c>
      <c r="V27" s="215">
        <f t="shared" si="4"/>
        <v>0.35524639336663222</v>
      </c>
      <c r="W27" s="215">
        <f t="shared" si="5"/>
        <v>0.28419711469330572</v>
      </c>
      <c r="X27" s="215">
        <f t="shared" si="23"/>
        <v>0.36055649194006206</v>
      </c>
      <c r="Y27" s="219">
        <f t="shared" si="24"/>
        <v>4.6915794158297976E-2</v>
      </c>
      <c r="Z27" s="215">
        <f t="shared" si="6"/>
        <v>9.3831588316595937E-2</v>
      </c>
      <c r="AA27" s="215">
        <f t="shared" si="25"/>
        <v>9.3831588316595937E-2</v>
      </c>
      <c r="AB27" s="220">
        <f t="shared" si="7"/>
        <v>3.2288902172692903E-2</v>
      </c>
      <c r="AC27" s="219">
        <v>0</v>
      </c>
      <c r="AD27" s="215">
        <f t="shared" si="26"/>
        <v>1.5972221477891662E-2</v>
      </c>
      <c r="AE27" s="220">
        <f t="shared" si="27"/>
        <v>1.5972221477891662E-2</v>
      </c>
      <c r="AF27" s="58">
        <f t="shared" si="8"/>
        <v>4.0000000000000001E-3</v>
      </c>
      <c r="AG27" s="61">
        <f t="shared" si="9"/>
        <v>4.0000000000000001E-3</v>
      </c>
      <c r="AH27" s="58">
        <f t="shared" si="10"/>
        <v>9.0703868706042704E-6</v>
      </c>
      <c r="AI27" s="49">
        <f t="shared" si="11"/>
        <v>3.333857565701218E-3</v>
      </c>
      <c r="AJ27" s="61">
        <f t="shared" si="45"/>
        <v>3.3429279525718225E-3</v>
      </c>
      <c r="AK27" s="219">
        <f t="shared" si="12"/>
        <v>0.2</v>
      </c>
      <c r="AL27" s="215">
        <f t="shared" si="13"/>
        <v>15</v>
      </c>
      <c r="AM27" s="220">
        <f t="shared" si="28"/>
        <v>1.3333333333333334E-2</v>
      </c>
      <c r="AN27" s="219">
        <f t="shared" si="29"/>
        <v>2</v>
      </c>
      <c r="AO27" s="215">
        <f t="shared" si="30"/>
        <v>0.28419711469330577</v>
      </c>
      <c r="AP27" s="215">
        <f t="shared" si="31"/>
        <v>4.6915794158297976E-2</v>
      </c>
      <c r="AQ27" s="215">
        <f t="shared" si="32"/>
        <v>9.3831588316595937E-2</v>
      </c>
      <c r="AR27" s="215">
        <f t="shared" si="46"/>
        <v>9.3831588316595937E-2</v>
      </c>
      <c r="AS27" s="220">
        <f t="shared" si="47"/>
        <v>2.8880072070792798E-2</v>
      </c>
      <c r="AT27" s="219"/>
      <c r="AU27" s="215">
        <f t="shared" si="33"/>
        <v>2.7235555555555563E-3</v>
      </c>
      <c r="AV27" s="220">
        <f t="shared" si="48"/>
        <v>2.7235555555555563E-3</v>
      </c>
      <c r="AW27" s="219">
        <f t="shared" si="34"/>
        <v>6.8148E-2</v>
      </c>
      <c r="AX27" s="215">
        <f t="shared" si="35"/>
        <v>4.0000000000000001E-3</v>
      </c>
      <c r="AY27" s="220">
        <f t="shared" si="49"/>
        <v>7.2148000000000004E-2</v>
      </c>
      <c r="AZ27" s="219">
        <f t="shared" si="14"/>
        <v>0</v>
      </c>
      <c r="BA27" s="215">
        <f t="shared" si="15"/>
        <v>0</v>
      </c>
      <c r="BB27" s="215">
        <f t="shared" si="50"/>
        <v>0</v>
      </c>
      <c r="BC27" s="61">
        <f t="shared" si="36"/>
        <v>0</v>
      </c>
      <c r="BD27" s="58">
        <v>0</v>
      </c>
      <c r="BE27" s="49">
        <f t="shared" si="51"/>
        <v>0</v>
      </c>
      <c r="BF27" s="61">
        <f t="shared" si="52"/>
        <v>0</v>
      </c>
      <c r="BG27" s="58">
        <f t="shared" si="37"/>
        <v>0</v>
      </c>
      <c r="BH27" s="49">
        <f t="shared" si="38"/>
        <v>0</v>
      </c>
      <c r="BI27" s="61">
        <f t="shared" si="39"/>
        <v>0</v>
      </c>
      <c r="BK27" s="219">
        <f t="shared" si="17"/>
        <v>0</v>
      </c>
      <c r="BL27" s="215">
        <f t="shared" si="18"/>
        <v>0</v>
      </c>
      <c r="BM27" s="215">
        <f t="shared" si="19"/>
        <v>0</v>
      </c>
      <c r="BN27" s="61">
        <f t="shared" si="40"/>
        <v>0</v>
      </c>
      <c r="BO27" s="58">
        <v>0</v>
      </c>
      <c r="BP27" s="49">
        <f t="shared" si="41"/>
        <v>0</v>
      </c>
      <c r="BQ27" s="61">
        <f t="shared" si="53"/>
        <v>0</v>
      </c>
      <c r="BR27" s="58">
        <f t="shared" si="42"/>
        <v>0</v>
      </c>
      <c r="BS27" s="49">
        <f t="shared" si="54"/>
        <v>0</v>
      </c>
      <c r="BT27" s="61">
        <f t="shared" si="55"/>
        <v>0</v>
      </c>
      <c r="BU27" s="58">
        <f t="shared" si="20"/>
        <v>2.0851464070354648E-5</v>
      </c>
      <c r="BV27" s="49">
        <f t="shared" si="21"/>
        <v>5.9629500000000002E-2</v>
      </c>
      <c r="BW27" s="61">
        <f t="shared" si="22"/>
        <v>5.4000000000000003E-3</v>
      </c>
      <c r="BX27" s="49">
        <f t="shared" si="56"/>
        <v>1.9972221477891662E-2</v>
      </c>
      <c r="BY27" s="49">
        <f t="shared" si="43"/>
        <v>0.16723705645008941</v>
      </c>
      <c r="BZ27" s="49">
        <f t="shared" si="44"/>
        <v>54.46073496321624</v>
      </c>
    </row>
    <row r="28" spans="1:78" x14ac:dyDescent="0.25">
      <c r="Q28" s="49">
        <v>21</v>
      </c>
      <c r="R28" s="219">
        <f t="shared" si="0"/>
        <v>0.21</v>
      </c>
      <c r="S28" s="215">
        <f t="shared" si="1"/>
        <v>12</v>
      </c>
      <c r="T28" s="220">
        <f t="shared" si="2"/>
        <v>1.7499999999999998E-2</v>
      </c>
      <c r="U28" s="219">
        <f t="shared" si="3"/>
        <v>1</v>
      </c>
      <c r="V28" s="215">
        <f t="shared" si="4"/>
        <v>0.36401923026125965</v>
      </c>
      <c r="W28" s="215">
        <f t="shared" si="5"/>
        <v>0.29121538420900772</v>
      </c>
      <c r="X28" s="215">
        <f t="shared" si="23"/>
        <v>0.34476538552973257</v>
      </c>
      <c r="Y28" s="219">
        <f t="shared" si="24"/>
        <v>4.8074383288597429E-2</v>
      </c>
      <c r="Z28" s="215">
        <f t="shared" si="6"/>
        <v>9.6148766577194844E-2</v>
      </c>
      <c r="AA28" s="215">
        <f t="shared" si="25"/>
        <v>9.6148766577194844E-2</v>
      </c>
      <c r="AB28" s="220">
        <f t="shared" si="7"/>
        <v>3.3492321658363321E-2</v>
      </c>
      <c r="AC28" s="219">
        <v>0</v>
      </c>
      <c r="AD28" s="215">
        <f t="shared" si="26"/>
        <v>1.7184989546230618E-2</v>
      </c>
      <c r="AE28" s="220">
        <f t="shared" si="27"/>
        <v>1.7184989546230618E-2</v>
      </c>
      <c r="AF28" s="58">
        <f t="shared" si="8"/>
        <v>4.1999999999999997E-3</v>
      </c>
      <c r="AG28" s="61">
        <f t="shared" si="9"/>
        <v>4.1999999999999997E-3</v>
      </c>
      <c r="AH28" s="58">
        <f t="shared" si="10"/>
        <v>9.7590998075852728E-6</v>
      </c>
      <c r="AI28" s="49">
        <f t="shared" si="11"/>
        <v>3.4161874336462298E-3</v>
      </c>
      <c r="AJ28" s="61">
        <f t="shared" si="45"/>
        <v>3.425946533453815E-3</v>
      </c>
      <c r="AK28" s="219">
        <f t="shared" si="12"/>
        <v>0.21</v>
      </c>
      <c r="AL28" s="215">
        <f t="shared" si="13"/>
        <v>15</v>
      </c>
      <c r="AM28" s="220">
        <f t="shared" si="28"/>
        <v>1.4E-2</v>
      </c>
      <c r="AN28" s="219">
        <f t="shared" si="29"/>
        <v>2</v>
      </c>
      <c r="AO28" s="215">
        <f t="shared" si="30"/>
        <v>0.29121538420900772</v>
      </c>
      <c r="AP28" s="215">
        <f t="shared" si="31"/>
        <v>4.8074383288597429E-2</v>
      </c>
      <c r="AQ28" s="215">
        <f t="shared" si="32"/>
        <v>9.6148766577194844E-2</v>
      </c>
      <c r="AR28" s="215">
        <f t="shared" si="46"/>
        <v>9.6148766577194844E-2</v>
      </c>
      <c r="AS28" s="220">
        <f t="shared" si="47"/>
        <v>2.9956443180955555E-2</v>
      </c>
      <c r="AT28" s="219"/>
      <c r="AU28" s="215">
        <f t="shared" si="33"/>
        <v>3.0027200000000004E-3</v>
      </c>
      <c r="AV28" s="220">
        <f t="shared" si="48"/>
        <v>3.0027200000000004E-3</v>
      </c>
      <c r="AW28" s="219">
        <f t="shared" si="34"/>
        <v>6.8148E-2</v>
      </c>
      <c r="AX28" s="215">
        <f t="shared" si="35"/>
        <v>4.1999999999999997E-3</v>
      </c>
      <c r="AY28" s="220">
        <f t="shared" si="49"/>
        <v>7.2347999999999996E-2</v>
      </c>
      <c r="AZ28" s="219">
        <f t="shared" si="14"/>
        <v>0</v>
      </c>
      <c r="BA28" s="215">
        <f t="shared" si="15"/>
        <v>0</v>
      </c>
      <c r="BB28" s="215">
        <f t="shared" si="50"/>
        <v>0</v>
      </c>
      <c r="BC28" s="61">
        <f t="shared" si="36"/>
        <v>0</v>
      </c>
      <c r="BD28" s="58">
        <v>0</v>
      </c>
      <c r="BE28" s="49">
        <f t="shared" si="51"/>
        <v>0</v>
      </c>
      <c r="BF28" s="61">
        <f t="shared" si="52"/>
        <v>0</v>
      </c>
      <c r="BG28" s="58">
        <f t="shared" si="37"/>
        <v>0</v>
      </c>
      <c r="BH28" s="49">
        <f t="shared" si="38"/>
        <v>0</v>
      </c>
      <c r="BI28" s="61">
        <f t="shared" si="39"/>
        <v>0</v>
      </c>
      <c r="BK28" s="219">
        <f t="shared" si="17"/>
        <v>0</v>
      </c>
      <c r="BL28" s="215">
        <f t="shared" si="18"/>
        <v>0</v>
      </c>
      <c r="BM28" s="215">
        <f t="shared" si="19"/>
        <v>0</v>
      </c>
      <c r="BN28" s="61">
        <f t="shared" si="40"/>
        <v>0</v>
      </c>
      <c r="BO28" s="58">
        <v>0</v>
      </c>
      <c r="BP28" s="49">
        <f t="shared" si="41"/>
        <v>0</v>
      </c>
      <c r="BQ28" s="61">
        <f t="shared" si="53"/>
        <v>0</v>
      </c>
      <c r="BR28" s="58">
        <f t="shared" si="42"/>
        <v>0</v>
      </c>
      <c r="BS28" s="49">
        <f t="shared" si="54"/>
        <v>0</v>
      </c>
      <c r="BT28" s="61">
        <f t="shared" si="55"/>
        <v>0</v>
      </c>
      <c r="BU28" s="58">
        <f t="shared" si="20"/>
        <v>2.2434712201345454E-5</v>
      </c>
      <c r="BV28" s="49">
        <f t="shared" si="21"/>
        <v>5.9629500000000002E-2</v>
      </c>
      <c r="BW28" s="61">
        <f t="shared" si="22"/>
        <v>5.4000000000000003E-3</v>
      </c>
      <c r="BX28" s="49">
        <f t="shared" si="56"/>
        <v>2.1384989546230616E-2</v>
      </c>
      <c r="BY28" s="49">
        <f t="shared" si="43"/>
        <v>0.16941359079188584</v>
      </c>
      <c r="BZ28" s="49">
        <f t="shared" si="44"/>
        <v>55.348570819959953</v>
      </c>
    </row>
    <row r="29" spans="1:78" x14ac:dyDescent="0.25">
      <c r="Q29" s="49">
        <v>22</v>
      </c>
      <c r="R29" s="219">
        <f t="shared" si="0"/>
        <v>0.22</v>
      </c>
      <c r="S29" s="215">
        <f t="shared" si="1"/>
        <v>12</v>
      </c>
      <c r="T29" s="220">
        <f t="shared" si="2"/>
        <v>1.8333333333333333E-2</v>
      </c>
      <c r="U29" s="219">
        <f t="shared" si="3"/>
        <v>1</v>
      </c>
      <c r="V29" s="215">
        <f t="shared" si="4"/>
        <v>0.37258556064345805</v>
      </c>
      <c r="W29" s="215">
        <f t="shared" si="5"/>
        <v>0.29806844851476644</v>
      </c>
      <c r="X29" s="215">
        <f t="shared" si="23"/>
        <v>0.32934599084177552</v>
      </c>
      <c r="Y29" s="219">
        <f t="shared" si="24"/>
        <v>4.9205700032152425E-2</v>
      </c>
      <c r="Z29" s="215">
        <f t="shared" si="6"/>
        <v>9.8411400064304835E-2</v>
      </c>
      <c r="AA29" s="215">
        <f t="shared" si="25"/>
        <v>9.8411400064304849E-2</v>
      </c>
      <c r="AB29" s="220">
        <f t="shared" si="7"/>
        <v>3.4681493635452726E-2</v>
      </c>
      <c r="AC29" s="219">
        <v>0</v>
      </c>
      <c r="AD29" s="215">
        <f t="shared" si="26"/>
        <v>1.8426987932040725E-2</v>
      </c>
      <c r="AE29" s="220">
        <f t="shared" si="27"/>
        <v>1.8426987932040725E-2</v>
      </c>
      <c r="AF29" s="58">
        <f t="shared" si="8"/>
        <v>4.4000000000000003E-3</v>
      </c>
      <c r="AG29" s="61">
        <f t="shared" si="9"/>
        <v>4.4000000000000003E-3</v>
      </c>
      <c r="AH29" s="58">
        <f t="shared" si="10"/>
        <v>1.0464412206837747E-5</v>
      </c>
      <c r="AI29" s="49">
        <f t="shared" si="11"/>
        <v>3.4965793134464399E-3</v>
      </c>
      <c r="AJ29" s="61">
        <f t="shared" si="45"/>
        <v>3.5070437256532775E-3</v>
      </c>
      <c r="AK29" s="219">
        <f t="shared" si="12"/>
        <v>0.22</v>
      </c>
      <c r="AL29" s="215">
        <f t="shared" si="13"/>
        <v>15</v>
      </c>
      <c r="AM29" s="220">
        <f t="shared" si="28"/>
        <v>1.4666666666666666E-2</v>
      </c>
      <c r="AN29" s="219">
        <f t="shared" si="29"/>
        <v>2</v>
      </c>
      <c r="AO29" s="215">
        <f t="shared" si="30"/>
        <v>0.29806844851476644</v>
      </c>
      <c r="AP29" s="215">
        <f t="shared" si="31"/>
        <v>4.9205700032152425E-2</v>
      </c>
      <c r="AQ29" s="215">
        <f t="shared" si="32"/>
        <v>9.8411400064304835E-2</v>
      </c>
      <c r="AR29" s="215">
        <f t="shared" si="46"/>
        <v>9.8411400064304849E-2</v>
      </c>
      <c r="AS29" s="220">
        <f t="shared" si="47"/>
        <v>3.1020070932039442E-2</v>
      </c>
      <c r="AT29" s="219"/>
      <c r="AU29" s="215">
        <f t="shared" si="33"/>
        <v>3.295502222222222E-3</v>
      </c>
      <c r="AV29" s="220">
        <f t="shared" si="48"/>
        <v>3.295502222222222E-3</v>
      </c>
      <c r="AW29" s="219">
        <f t="shared" si="34"/>
        <v>6.8148E-2</v>
      </c>
      <c r="AX29" s="215">
        <f t="shared" si="35"/>
        <v>4.3999999999999994E-3</v>
      </c>
      <c r="AY29" s="220">
        <f t="shared" si="49"/>
        <v>7.2548000000000001E-2</v>
      </c>
      <c r="AZ29" s="219">
        <f t="shared" si="14"/>
        <v>0</v>
      </c>
      <c r="BA29" s="215">
        <f t="shared" si="15"/>
        <v>0</v>
      </c>
      <c r="BB29" s="215">
        <f t="shared" si="50"/>
        <v>0</v>
      </c>
      <c r="BC29" s="61">
        <f t="shared" si="36"/>
        <v>0</v>
      </c>
      <c r="BD29" s="58">
        <v>0</v>
      </c>
      <c r="BE29" s="49">
        <f t="shared" si="51"/>
        <v>0</v>
      </c>
      <c r="BF29" s="61">
        <f t="shared" si="52"/>
        <v>0</v>
      </c>
      <c r="BG29" s="58">
        <f t="shared" si="37"/>
        <v>0</v>
      </c>
      <c r="BH29" s="49">
        <f t="shared" si="38"/>
        <v>0</v>
      </c>
      <c r="BI29" s="61">
        <f t="shared" si="39"/>
        <v>0</v>
      </c>
      <c r="BK29" s="219">
        <f t="shared" si="17"/>
        <v>0</v>
      </c>
      <c r="BL29" s="215">
        <f t="shared" si="18"/>
        <v>0</v>
      </c>
      <c r="BM29" s="215">
        <f t="shared" si="19"/>
        <v>0</v>
      </c>
      <c r="BN29" s="61">
        <f t="shared" si="40"/>
        <v>0</v>
      </c>
      <c r="BO29" s="58">
        <v>0</v>
      </c>
      <c r="BP29" s="49">
        <f t="shared" si="41"/>
        <v>0</v>
      </c>
      <c r="BQ29" s="61">
        <f t="shared" si="53"/>
        <v>0</v>
      </c>
      <c r="BR29" s="58">
        <f t="shared" si="42"/>
        <v>0</v>
      </c>
      <c r="BS29" s="49">
        <f t="shared" si="54"/>
        <v>0</v>
      </c>
      <c r="BT29" s="61">
        <f t="shared" si="55"/>
        <v>0</v>
      </c>
      <c r="BU29" s="58">
        <f t="shared" si="20"/>
        <v>2.4056120015718959E-5</v>
      </c>
      <c r="BV29" s="49">
        <f t="shared" si="21"/>
        <v>5.9629500000000002E-2</v>
      </c>
      <c r="BW29" s="61">
        <f t="shared" si="22"/>
        <v>5.4000000000000003E-3</v>
      </c>
      <c r="BX29" s="49">
        <f t="shared" si="56"/>
        <v>2.2826987932040726E-2</v>
      </c>
      <c r="BY29" s="49">
        <f t="shared" si="43"/>
        <v>0.17163108999993193</v>
      </c>
      <c r="BZ29" s="49">
        <f t="shared" si="44"/>
        <v>56.175315396956414</v>
      </c>
    </row>
    <row r="30" spans="1:78" x14ac:dyDescent="0.25">
      <c r="Q30" s="49">
        <v>23</v>
      </c>
      <c r="R30" s="219">
        <f t="shared" si="0"/>
        <v>0.23</v>
      </c>
      <c r="S30" s="215">
        <f t="shared" si="1"/>
        <v>12</v>
      </c>
      <c r="T30" s="220">
        <f t="shared" si="2"/>
        <v>1.9166666666666669E-2</v>
      </c>
      <c r="U30" s="219">
        <f t="shared" si="3"/>
        <v>1</v>
      </c>
      <c r="V30" s="215">
        <f t="shared" si="4"/>
        <v>0.38095931541307659</v>
      </c>
      <c r="W30" s="215">
        <f t="shared" si="5"/>
        <v>0.30476745233046126</v>
      </c>
      <c r="X30" s="215">
        <f t="shared" si="23"/>
        <v>0.31427323225646214</v>
      </c>
      <c r="Y30" s="219">
        <f t="shared" si="24"/>
        <v>5.0311584180279541E-2</v>
      </c>
      <c r="Z30" s="215">
        <f t="shared" si="6"/>
        <v>0.10062316836055907</v>
      </c>
      <c r="AA30" s="215">
        <f t="shared" si="25"/>
        <v>0.10062316836055907</v>
      </c>
      <c r="AB30" s="220">
        <f t="shared" si="7"/>
        <v>3.585722360427733E-2</v>
      </c>
      <c r="AC30" s="219">
        <v>0</v>
      </c>
      <c r="AD30" s="215">
        <f t="shared" si="26"/>
        <v>1.9697544224181435E-2</v>
      </c>
      <c r="AE30" s="220">
        <f t="shared" si="27"/>
        <v>1.9697544224181435E-2</v>
      </c>
      <c r="AF30" s="58">
        <f t="shared" si="8"/>
        <v>4.5999999999999999E-3</v>
      </c>
      <c r="AG30" s="61">
        <f t="shared" si="9"/>
        <v>4.5999999999999999E-3</v>
      </c>
      <c r="AH30" s="58">
        <f t="shared" si="10"/>
        <v>1.1185942216082146E-5</v>
      </c>
      <c r="AI30" s="49">
        <f t="shared" si="11"/>
        <v>3.5751639415054436E-3</v>
      </c>
      <c r="AJ30" s="61">
        <f t="shared" si="45"/>
        <v>3.5863498837215256E-3</v>
      </c>
      <c r="AK30" s="219">
        <f t="shared" si="12"/>
        <v>0.23</v>
      </c>
      <c r="AL30" s="215">
        <f t="shared" si="13"/>
        <v>15</v>
      </c>
      <c r="AM30" s="220">
        <f t="shared" si="28"/>
        <v>1.5333333333333334E-2</v>
      </c>
      <c r="AN30" s="219">
        <f t="shared" si="29"/>
        <v>2</v>
      </c>
      <c r="AO30" s="215">
        <f t="shared" si="30"/>
        <v>0.30476745233046126</v>
      </c>
      <c r="AP30" s="215">
        <f t="shared" si="31"/>
        <v>5.0311584180279541E-2</v>
      </c>
      <c r="AQ30" s="215">
        <f t="shared" si="32"/>
        <v>0.10062316836055907</v>
      </c>
      <c r="AR30" s="215">
        <f t="shared" si="46"/>
        <v>0.10062316836055907</v>
      </c>
      <c r="AS30" s="220">
        <f t="shared" si="47"/>
        <v>3.2071675785429653E-2</v>
      </c>
      <c r="AT30" s="219"/>
      <c r="AU30" s="215">
        <f t="shared" si="33"/>
        <v>3.601902222222223E-3</v>
      </c>
      <c r="AV30" s="220">
        <f t="shared" si="48"/>
        <v>3.601902222222223E-3</v>
      </c>
      <c r="AW30" s="219">
        <f t="shared" si="34"/>
        <v>6.8148E-2</v>
      </c>
      <c r="AX30" s="215">
        <f t="shared" si="35"/>
        <v>4.5999999999999999E-3</v>
      </c>
      <c r="AY30" s="220">
        <f t="shared" si="49"/>
        <v>7.2748000000000007E-2</v>
      </c>
      <c r="AZ30" s="219">
        <f t="shared" si="14"/>
        <v>0</v>
      </c>
      <c r="BA30" s="215">
        <f t="shared" si="15"/>
        <v>0</v>
      </c>
      <c r="BB30" s="215">
        <f t="shared" si="50"/>
        <v>0</v>
      </c>
      <c r="BC30" s="61">
        <f t="shared" si="36"/>
        <v>0</v>
      </c>
      <c r="BD30" s="58">
        <v>0</v>
      </c>
      <c r="BE30" s="49">
        <f t="shared" si="51"/>
        <v>0</v>
      </c>
      <c r="BF30" s="61">
        <f t="shared" si="52"/>
        <v>0</v>
      </c>
      <c r="BG30" s="58">
        <f t="shared" si="37"/>
        <v>0</v>
      </c>
      <c r="BH30" s="49">
        <f t="shared" si="38"/>
        <v>0</v>
      </c>
      <c r="BI30" s="61">
        <f t="shared" si="39"/>
        <v>0</v>
      </c>
      <c r="BK30" s="219">
        <f t="shared" si="17"/>
        <v>0</v>
      </c>
      <c r="BL30" s="215">
        <f t="shared" si="18"/>
        <v>0</v>
      </c>
      <c r="BM30" s="215">
        <f t="shared" si="19"/>
        <v>0</v>
      </c>
      <c r="BN30" s="61">
        <f t="shared" si="40"/>
        <v>0</v>
      </c>
      <c r="BO30" s="58">
        <v>0</v>
      </c>
      <c r="BP30" s="49">
        <f t="shared" si="41"/>
        <v>0</v>
      </c>
      <c r="BQ30" s="61">
        <f t="shared" si="53"/>
        <v>0</v>
      </c>
      <c r="BR30" s="58">
        <f t="shared" si="42"/>
        <v>0</v>
      </c>
      <c r="BS30" s="49">
        <f t="shared" si="54"/>
        <v>0</v>
      </c>
      <c r="BT30" s="61">
        <f t="shared" si="55"/>
        <v>0</v>
      </c>
      <c r="BU30" s="58">
        <f t="shared" si="20"/>
        <v>2.5714809692142867E-5</v>
      </c>
      <c r="BV30" s="49">
        <f t="shared" si="21"/>
        <v>5.9629500000000002E-2</v>
      </c>
      <c r="BW30" s="61">
        <f t="shared" si="22"/>
        <v>5.4000000000000003E-3</v>
      </c>
      <c r="BX30" s="49">
        <f t="shared" si="56"/>
        <v>2.4297544224181435E-2</v>
      </c>
      <c r="BY30" s="49">
        <f t="shared" si="43"/>
        <v>0.17388901113981733</v>
      </c>
      <c r="BZ30" s="49">
        <f t="shared" si="44"/>
        <v>56.946337646304315</v>
      </c>
    </row>
    <row r="31" spans="1:78" x14ac:dyDescent="0.25">
      <c r="Q31" s="49">
        <v>24</v>
      </c>
      <c r="R31" s="219">
        <f t="shared" si="0"/>
        <v>0.24</v>
      </c>
      <c r="S31" s="215">
        <f t="shared" si="1"/>
        <v>12</v>
      </c>
      <c r="T31" s="220">
        <f t="shared" si="2"/>
        <v>0.02</v>
      </c>
      <c r="U31" s="219">
        <f t="shared" si="3"/>
        <v>1</v>
      </c>
      <c r="V31" s="215">
        <f t="shared" si="4"/>
        <v>0.38915292623851611</v>
      </c>
      <c r="W31" s="215">
        <f t="shared" si="5"/>
        <v>0.31132234099081291</v>
      </c>
      <c r="X31" s="215">
        <f t="shared" si="23"/>
        <v>0.29952473277067104</v>
      </c>
      <c r="Y31" s="219">
        <f t="shared" si="24"/>
        <v>5.1393677527537797E-2</v>
      </c>
      <c r="Z31" s="215">
        <f t="shared" si="6"/>
        <v>0.10278735505507558</v>
      </c>
      <c r="AA31" s="215">
        <f t="shared" si="25"/>
        <v>0.10278735505507558</v>
      </c>
      <c r="AB31" s="220">
        <f t="shared" si="7"/>
        <v>3.7020238618909622E-2</v>
      </c>
      <c r="AC31" s="219">
        <v>0</v>
      </c>
      <c r="AD31" s="215">
        <f t="shared" si="26"/>
        <v>2.0996030392583433E-2</v>
      </c>
      <c r="AE31" s="220">
        <f t="shared" si="27"/>
        <v>2.0996030392583433E-2</v>
      </c>
      <c r="AF31" s="58">
        <f t="shared" si="8"/>
        <v>4.7999999999999996E-3</v>
      </c>
      <c r="AG31" s="61">
        <f t="shared" si="9"/>
        <v>4.7999999999999996E-3</v>
      </c>
      <c r="AH31" s="58">
        <f t="shared" si="10"/>
        <v>1.1923333186388763E-5</v>
      </c>
      <c r="AI31" s="49">
        <f t="shared" si="11"/>
        <v>3.652057984487637E-3</v>
      </c>
      <c r="AJ31" s="61">
        <f t="shared" si="45"/>
        <v>3.6639813176740257E-3</v>
      </c>
      <c r="AK31" s="219">
        <f t="shared" si="12"/>
        <v>0.24</v>
      </c>
      <c r="AL31" s="215">
        <f t="shared" si="13"/>
        <v>15</v>
      </c>
      <c r="AM31" s="220">
        <f t="shared" si="28"/>
        <v>1.6E-2</v>
      </c>
      <c r="AN31" s="219">
        <f t="shared" si="29"/>
        <v>2</v>
      </c>
      <c r="AO31" s="215">
        <f t="shared" si="30"/>
        <v>0.31132234099081291</v>
      </c>
      <c r="AP31" s="215">
        <f t="shared" si="31"/>
        <v>5.1393677527537797E-2</v>
      </c>
      <c r="AQ31" s="215">
        <f t="shared" si="32"/>
        <v>0.10278735505507558</v>
      </c>
      <c r="AR31" s="215">
        <f t="shared" si="46"/>
        <v>0.10278735505507558</v>
      </c>
      <c r="AS31" s="220">
        <f t="shared" si="47"/>
        <v>3.3111908038057941E-2</v>
      </c>
      <c r="AT31" s="219"/>
      <c r="AU31" s="215">
        <f t="shared" si="33"/>
        <v>3.9219199999999997E-3</v>
      </c>
      <c r="AV31" s="220">
        <f t="shared" si="48"/>
        <v>3.9219199999999997E-3</v>
      </c>
      <c r="AW31" s="219">
        <f t="shared" si="34"/>
        <v>6.8148E-2</v>
      </c>
      <c r="AX31" s="215">
        <f t="shared" si="35"/>
        <v>4.7999999999999996E-3</v>
      </c>
      <c r="AY31" s="220">
        <f t="shared" si="49"/>
        <v>7.2947999999999999E-2</v>
      </c>
      <c r="AZ31" s="219">
        <f t="shared" si="14"/>
        <v>0</v>
      </c>
      <c r="BA31" s="215">
        <f t="shared" si="15"/>
        <v>0</v>
      </c>
      <c r="BB31" s="215">
        <f t="shared" si="50"/>
        <v>0</v>
      </c>
      <c r="BC31" s="61">
        <f t="shared" si="36"/>
        <v>0</v>
      </c>
      <c r="BD31" s="58">
        <v>0</v>
      </c>
      <c r="BE31" s="49">
        <f t="shared" si="51"/>
        <v>0</v>
      </c>
      <c r="BF31" s="61">
        <f t="shared" si="52"/>
        <v>0</v>
      </c>
      <c r="BG31" s="58">
        <f t="shared" si="37"/>
        <v>0</v>
      </c>
      <c r="BH31" s="49">
        <f t="shared" si="38"/>
        <v>0</v>
      </c>
      <c r="BI31" s="61">
        <f t="shared" si="39"/>
        <v>0</v>
      </c>
      <c r="BK31" s="219">
        <f t="shared" si="17"/>
        <v>0</v>
      </c>
      <c r="BL31" s="215">
        <f t="shared" si="18"/>
        <v>0</v>
      </c>
      <c r="BM31" s="215">
        <f t="shared" si="19"/>
        <v>0</v>
      </c>
      <c r="BN31" s="61">
        <f t="shared" si="40"/>
        <v>0</v>
      </c>
      <c r="BO31" s="58">
        <v>0</v>
      </c>
      <c r="BP31" s="49">
        <f t="shared" si="41"/>
        <v>0</v>
      </c>
      <c r="BQ31" s="61">
        <f t="shared" si="53"/>
        <v>0</v>
      </c>
      <c r="BR31" s="58">
        <f t="shared" si="42"/>
        <v>0</v>
      </c>
      <c r="BS31" s="49">
        <f t="shared" si="54"/>
        <v>0</v>
      </c>
      <c r="BT31" s="61">
        <f t="shared" si="55"/>
        <v>0</v>
      </c>
      <c r="BU31" s="58">
        <f t="shared" si="20"/>
        <v>2.7409961348020149E-5</v>
      </c>
      <c r="BV31" s="49">
        <f t="shared" si="21"/>
        <v>5.9629500000000002E-2</v>
      </c>
      <c r="BW31" s="61">
        <f t="shared" si="22"/>
        <v>5.4000000000000003E-3</v>
      </c>
      <c r="BX31" s="49">
        <f t="shared" si="56"/>
        <v>2.5796030392583432E-2</v>
      </c>
      <c r="BY31" s="49">
        <f t="shared" si="43"/>
        <v>0.17618684167160548</v>
      </c>
      <c r="BZ31" s="49">
        <f t="shared" si="44"/>
        <v>57.666407480843262</v>
      </c>
    </row>
    <row r="32" spans="1:78" x14ac:dyDescent="0.25">
      <c r="Q32" s="49">
        <v>25</v>
      </c>
      <c r="R32" s="219">
        <f t="shared" si="0"/>
        <v>0.25</v>
      </c>
      <c r="S32" s="215">
        <f t="shared" si="1"/>
        <v>12</v>
      </c>
      <c r="T32" s="220">
        <f t="shared" si="2"/>
        <v>2.0833333333333332E-2</v>
      </c>
      <c r="U32" s="219">
        <f t="shared" si="3"/>
        <v>1</v>
      </c>
      <c r="V32" s="215">
        <f t="shared" si="4"/>
        <v>0.39717754216470996</v>
      </c>
      <c r="W32" s="215">
        <f t="shared" si="5"/>
        <v>0.31774203373176796</v>
      </c>
      <c r="X32" s="215">
        <f t="shared" si="23"/>
        <v>0.28508042410352213</v>
      </c>
      <c r="Y32" s="219">
        <f t="shared" si="24"/>
        <v>5.2453452478170896E-2</v>
      </c>
      <c r="Z32" s="215">
        <f t="shared" si="6"/>
        <v>0.10490690495634179</v>
      </c>
      <c r="AA32" s="215">
        <f t="shared" si="25"/>
        <v>0.10490690495634179</v>
      </c>
      <c r="AB32" s="220">
        <f t="shared" si="7"/>
        <v>3.817119786718591E-2</v>
      </c>
      <c r="AC32" s="219">
        <v>0</v>
      </c>
      <c r="AD32" s="215">
        <f t="shared" si="26"/>
        <v>2.2321858110154948E-2</v>
      </c>
      <c r="AE32" s="220">
        <f t="shared" si="27"/>
        <v>2.2321858110154948E-2</v>
      </c>
      <c r="AF32" s="58">
        <f t="shared" si="8"/>
        <v>5.0000000000000001E-3</v>
      </c>
      <c r="AG32" s="61">
        <f t="shared" si="9"/>
        <v>5.0000000000000001E-3</v>
      </c>
      <c r="AH32" s="58">
        <f t="shared" si="10"/>
        <v>1.2676251015557964E-5</v>
      </c>
      <c r="AI32" s="49">
        <f t="shared" si="11"/>
        <v>3.7273660721049476E-3</v>
      </c>
      <c r="AJ32" s="61">
        <f t="shared" si="45"/>
        <v>3.7400423231205055E-3</v>
      </c>
      <c r="AK32" s="219">
        <f t="shared" si="12"/>
        <v>0.25</v>
      </c>
      <c r="AL32" s="215">
        <f t="shared" si="13"/>
        <v>15</v>
      </c>
      <c r="AM32" s="220">
        <f t="shared" si="28"/>
        <v>1.6666666666666666E-2</v>
      </c>
      <c r="AN32" s="219">
        <f t="shared" si="29"/>
        <v>2</v>
      </c>
      <c r="AO32" s="215">
        <f t="shared" si="30"/>
        <v>0.31774203373176801</v>
      </c>
      <c r="AP32" s="215">
        <f t="shared" si="31"/>
        <v>5.2453452478170896E-2</v>
      </c>
      <c r="AQ32" s="215">
        <f t="shared" si="32"/>
        <v>0.10490690495634179</v>
      </c>
      <c r="AR32" s="215">
        <f t="shared" si="46"/>
        <v>0.10490690495634179</v>
      </c>
      <c r="AS32" s="220">
        <f t="shared" si="47"/>
        <v>3.4141357285449078E-2</v>
      </c>
      <c r="AT32" s="219"/>
      <c r="AU32" s="215">
        <f t="shared" si="33"/>
        <v>4.2555555555555558E-3</v>
      </c>
      <c r="AV32" s="220">
        <f t="shared" si="48"/>
        <v>4.2555555555555558E-3</v>
      </c>
      <c r="AW32" s="219">
        <f t="shared" si="34"/>
        <v>6.8148E-2</v>
      </c>
      <c r="AX32" s="215">
        <f t="shared" si="35"/>
        <v>5.0000000000000001E-3</v>
      </c>
      <c r="AY32" s="220">
        <f t="shared" si="49"/>
        <v>7.3148000000000005E-2</v>
      </c>
      <c r="AZ32" s="219">
        <f t="shared" si="14"/>
        <v>0</v>
      </c>
      <c r="BA32" s="215">
        <f t="shared" si="15"/>
        <v>0</v>
      </c>
      <c r="BB32" s="215">
        <f t="shared" si="50"/>
        <v>0</v>
      </c>
      <c r="BC32" s="61">
        <f t="shared" si="36"/>
        <v>0</v>
      </c>
      <c r="BD32" s="58">
        <v>0</v>
      </c>
      <c r="BE32" s="49">
        <f t="shared" si="51"/>
        <v>0</v>
      </c>
      <c r="BF32" s="61">
        <f t="shared" si="52"/>
        <v>0</v>
      </c>
      <c r="BG32" s="58">
        <f t="shared" si="37"/>
        <v>0</v>
      </c>
      <c r="BH32" s="49">
        <f t="shared" si="38"/>
        <v>0</v>
      </c>
      <c r="BI32" s="61">
        <f t="shared" si="39"/>
        <v>0</v>
      </c>
      <c r="BK32" s="219">
        <f t="shared" si="17"/>
        <v>0</v>
      </c>
      <c r="BL32" s="215">
        <f t="shared" si="18"/>
        <v>0</v>
      </c>
      <c r="BM32" s="215">
        <f t="shared" si="19"/>
        <v>0</v>
      </c>
      <c r="BN32" s="61">
        <f t="shared" si="40"/>
        <v>0</v>
      </c>
      <c r="BO32" s="58">
        <v>0</v>
      </c>
      <c r="BP32" s="49">
        <f t="shared" si="41"/>
        <v>0</v>
      </c>
      <c r="BQ32" s="61">
        <f t="shared" si="53"/>
        <v>0</v>
      </c>
      <c r="BR32" s="58">
        <f t="shared" si="42"/>
        <v>0</v>
      </c>
      <c r="BS32" s="49">
        <f t="shared" si="54"/>
        <v>0</v>
      </c>
      <c r="BT32" s="61">
        <f t="shared" si="55"/>
        <v>0</v>
      </c>
      <c r="BU32" s="58">
        <f t="shared" si="20"/>
        <v>2.9140806932317165E-5</v>
      </c>
      <c r="BV32" s="49">
        <f t="shared" si="21"/>
        <v>5.9629500000000002E-2</v>
      </c>
      <c r="BW32" s="61">
        <f t="shared" si="22"/>
        <v>5.4000000000000003E-3</v>
      </c>
      <c r="BX32" s="49">
        <f t="shared" si="56"/>
        <v>2.7321858110154949E-2</v>
      </c>
      <c r="BY32" s="49">
        <f t="shared" si="43"/>
        <v>0.17852409679576337</v>
      </c>
      <c r="BZ32" s="49">
        <f t="shared" si="44"/>
        <v>58.3397764254903</v>
      </c>
    </row>
    <row r="33" spans="17:78" x14ac:dyDescent="0.25">
      <c r="Q33" s="49">
        <v>26</v>
      </c>
      <c r="R33" s="219">
        <f t="shared" si="0"/>
        <v>0.26</v>
      </c>
      <c r="S33" s="215">
        <f t="shared" si="1"/>
        <v>12</v>
      </c>
      <c r="T33" s="220">
        <f t="shared" si="2"/>
        <v>2.1666666666666667E-2</v>
      </c>
      <c r="U33" s="219">
        <f t="shared" si="3"/>
        <v>1</v>
      </c>
      <c r="V33" s="215">
        <f t="shared" si="4"/>
        <v>0.40504320757173545</v>
      </c>
      <c r="W33" s="215">
        <f t="shared" si="5"/>
        <v>0.3240345660573884</v>
      </c>
      <c r="X33" s="215">
        <f t="shared" si="23"/>
        <v>0.27092222637087621</v>
      </c>
      <c r="Y33" s="219">
        <f t="shared" si="24"/>
        <v>5.3492235548301043E-2</v>
      </c>
      <c r="Z33" s="215">
        <f t="shared" si="6"/>
        <v>0.10698447109660209</v>
      </c>
      <c r="AA33" s="215">
        <f t="shared" si="25"/>
        <v>0.10698447109660209</v>
      </c>
      <c r="AB33" s="220">
        <f t="shared" si="7"/>
        <v>3.9310701458675865E-2</v>
      </c>
      <c r="AC33" s="219">
        <v>0</v>
      </c>
      <c r="AD33" s="215">
        <f t="shared" si="26"/>
        <v>2.3674474737332515E-2</v>
      </c>
      <c r="AE33" s="220">
        <f t="shared" si="27"/>
        <v>2.3674474737332515E-2</v>
      </c>
      <c r="AF33" s="58">
        <f t="shared" si="8"/>
        <v>5.2000000000000006E-3</v>
      </c>
      <c r="AG33" s="61">
        <f t="shared" si="9"/>
        <v>5.2000000000000006E-3</v>
      </c>
      <c r="AH33" s="58">
        <f t="shared" si="10"/>
        <v>1.3444381867806323E-5</v>
      </c>
      <c r="AI33" s="49">
        <f t="shared" si="11"/>
        <v>3.8011824671933632E-3</v>
      </c>
      <c r="AJ33" s="61">
        <f t="shared" si="45"/>
        <v>3.8146268490611697E-3</v>
      </c>
      <c r="AK33" s="219">
        <f t="shared" si="12"/>
        <v>0.26</v>
      </c>
      <c r="AL33" s="215">
        <f t="shared" si="13"/>
        <v>15</v>
      </c>
      <c r="AM33" s="220">
        <f t="shared" si="28"/>
        <v>1.7333333333333333E-2</v>
      </c>
      <c r="AN33" s="219">
        <f t="shared" si="29"/>
        <v>2</v>
      </c>
      <c r="AO33" s="215">
        <f t="shared" si="30"/>
        <v>0.3240345660573884</v>
      </c>
      <c r="AP33" s="215">
        <f t="shared" si="31"/>
        <v>5.3492235548301043E-2</v>
      </c>
      <c r="AQ33" s="215">
        <f t="shared" si="32"/>
        <v>0.10698447109660209</v>
      </c>
      <c r="AR33" s="215">
        <f t="shared" si="46"/>
        <v>0.10698447109660209</v>
      </c>
      <c r="AS33" s="220">
        <f t="shared" si="47"/>
        <v>3.5160560281919759E-2</v>
      </c>
      <c r="AT33" s="219"/>
      <c r="AU33" s="215">
        <f t="shared" si="33"/>
        <v>4.6028088888888886E-3</v>
      </c>
      <c r="AV33" s="220">
        <f t="shared" si="48"/>
        <v>4.6028088888888886E-3</v>
      </c>
      <c r="AW33" s="219">
        <f t="shared" si="34"/>
        <v>6.8148E-2</v>
      </c>
      <c r="AX33" s="215">
        <f t="shared" si="35"/>
        <v>5.1999999999999998E-3</v>
      </c>
      <c r="AY33" s="220">
        <f t="shared" si="49"/>
        <v>7.3347999999999997E-2</v>
      </c>
      <c r="AZ33" s="219">
        <f t="shared" si="14"/>
        <v>0</v>
      </c>
      <c r="BA33" s="215">
        <f t="shared" si="15"/>
        <v>0</v>
      </c>
      <c r="BB33" s="215">
        <f t="shared" si="50"/>
        <v>0</v>
      </c>
      <c r="BC33" s="61">
        <f t="shared" si="36"/>
        <v>0</v>
      </c>
      <c r="BD33" s="58">
        <v>0</v>
      </c>
      <c r="BE33" s="49">
        <f t="shared" si="51"/>
        <v>0</v>
      </c>
      <c r="BF33" s="61">
        <f t="shared" si="52"/>
        <v>0</v>
      </c>
      <c r="BG33" s="58">
        <f t="shared" si="37"/>
        <v>0</v>
      </c>
      <c r="BH33" s="49">
        <f t="shared" si="38"/>
        <v>0</v>
      </c>
      <c r="BI33" s="61">
        <f t="shared" si="39"/>
        <v>0</v>
      </c>
      <c r="BK33" s="219">
        <f t="shared" si="17"/>
        <v>0</v>
      </c>
      <c r="BL33" s="215">
        <f t="shared" si="18"/>
        <v>0</v>
      </c>
      <c r="BM33" s="215">
        <f t="shared" si="19"/>
        <v>0</v>
      </c>
      <c r="BN33" s="61">
        <f t="shared" si="40"/>
        <v>0</v>
      </c>
      <c r="BO33" s="58">
        <v>0</v>
      </c>
      <c r="BP33" s="49">
        <f t="shared" si="41"/>
        <v>0</v>
      </c>
      <c r="BQ33" s="61">
        <f t="shared" si="53"/>
        <v>0</v>
      </c>
      <c r="BR33" s="58">
        <f t="shared" si="42"/>
        <v>0</v>
      </c>
      <c r="BS33" s="49">
        <f t="shared" si="54"/>
        <v>0</v>
      </c>
      <c r="BT33" s="61">
        <f t="shared" si="55"/>
        <v>0</v>
      </c>
      <c r="BU33" s="58">
        <f t="shared" si="20"/>
        <v>3.0906624983462815E-5</v>
      </c>
      <c r="BV33" s="49">
        <f t="shared" si="21"/>
        <v>5.9629500000000002E-2</v>
      </c>
      <c r="BW33" s="61">
        <f t="shared" si="22"/>
        <v>5.4000000000000003E-3</v>
      </c>
      <c r="BX33" s="49">
        <f t="shared" si="56"/>
        <v>2.8874474737332515E-2</v>
      </c>
      <c r="BY33" s="49">
        <f t="shared" si="43"/>
        <v>0.18090031710026608</v>
      </c>
      <c r="BZ33" s="49">
        <f t="shared" si="44"/>
        <v>58.970245635108675</v>
      </c>
    </row>
    <row r="34" spans="17:78" x14ac:dyDescent="0.25">
      <c r="Q34" s="49">
        <v>27</v>
      </c>
      <c r="R34" s="219">
        <f t="shared" si="0"/>
        <v>0.27</v>
      </c>
      <c r="S34" s="215">
        <f t="shared" si="1"/>
        <v>12</v>
      </c>
      <c r="T34" s="220">
        <f t="shared" si="2"/>
        <v>2.2500000000000003E-2</v>
      </c>
      <c r="U34" s="219">
        <f t="shared" si="3"/>
        <v>1</v>
      </c>
      <c r="V34" s="215">
        <f t="shared" si="4"/>
        <v>0.41275900959276468</v>
      </c>
      <c r="W34" s="215">
        <f t="shared" si="5"/>
        <v>0.33020720767421174</v>
      </c>
      <c r="X34" s="215">
        <f t="shared" si="23"/>
        <v>0.25703378273302357</v>
      </c>
      <c r="Y34" s="219">
        <f t="shared" si="24"/>
        <v>5.4511226834754976E-2</v>
      </c>
      <c r="Z34" s="215">
        <f t="shared" si="6"/>
        <v>0.10902245366950997</v>
      </c>
      <c r="AA34" s="215">
        <f t="shared" si="25"/>
        <v>0.10902245366950997</v>
      </c>
      <c r="AB34" s="220">
        <f t="shared" si="7"/>
        <v>4.0439297781275203E-2</v>
      </c>
      <c r="AC34" s="219">
        <v>0</v>
      </c>
      <c r="AD34" s="215">
        <f t="shared" si="26"/>
        <v>2.5053359853253392E-2</v>
      </c>
      <c r="AE34" s="220">
        <f t="shared" si="27"/>
        <v>2.5053359853253392E-2</v>
      </c>
      <c r="AF34" s="58">
        <f t="shared" si="8"/>
        <v>5.4000000000000003E-3</v>
      </c>
      <c r="AG34" s="61">
        <f t="shared" si="9"/>
        <v>5.4000000000000003E-3</v>
      </c>
      <c r="AH34" s="58">
        <f t="shared" si="10"/>
        <v>1.422743020387105E-5</v>
      </c>
      <c r="AI34" s="49">
        <f t="shared" si="11"/>
        <v>3.8735924491765249E-3</v>
      </c>
      <c r="AJ34" s="61">
        <f t="shared" si="45"/>
        <v>3.887819879380396E-3</v>
      </c>
      <c r="AK34" s="219">
        <f t="shared" si="12"/>
        <v>0.27</v>
      </c>
      <c r="AL34" s="215">
        <f t="shared" si="13"/>
        <v>15</v>
      </c>
      <c r="AM34" s="220">
        <f t="shared" si="28"/>
        <v>1.8000000000000002E-2</v>
      </c>
      <c r="AN34" s="219">
        <f t="shared" si="29"/>
        <v>2</v>
      </c>
      <c r="AO34" s="215">
        <f t="shared" si="30"/>
        <v>0.33020720767421174</v>
      </c>
      <c r="AP34" s="215">
        <f t="shared" si="31"/>
        <v>5.4511226834754976E-2</v>
      </c>
      <c r="AQ34" s="215">
        <f t="shared" si="32"/>
        <v>0.10902245366950997</v>
      </c>
      <c r="AR34" s="215">
        <f t="shared" si="46"/>
        <v>0.10902245366950997</v>
      </c>
      <c r="AS34" s="220">
        <f t="shared" si="47"/>
        <v>3.6170007520515107E-2</v>
      </c>
      <c r="AT34" s="219"/>
      <c r="AU34" s="215">
        <f t="shared" si="33"/>
        <v>4.9636800000000016E-3</v>
      </c>
      <c r="AV34" s="220">
        <f t="shared" si="48"/>
        <v>4.9636800000000016E-3</v>
      </c>
      <c r="AW34" s="219">
        <f t="shared" si="34"/>
        <v>6.8148E-2</v>
      </c>
      <c r="AX34" s="215">
        <f t="shared" si="35"/>
        <v>5.4000000000000003E-3</v>
      </c>
      <c r="AY34" s="220">
        <f t="shared" si="49"/>
        <v>7.3548000000000002E-2</v>
      </c>
      <c r="AZ34" s="219">
        <f t="shared" si="14"/>
        <v>0</v>
      </c>
      <c r="BA34" s="215">
        <f t="shared" si="15"/>
        <v>0</v>
      </c>
      <c r="BB34" s="215">
        <f t="shared" si="50"/>
        <v>0</v>
      </c>
      <c r="BC34" s="61">
        <f t="shared" si="36"/>
        <v>0</v>
      </c>
      <c r="BD34" s="58">
        <v>0</v>
      </c>
      <c r="BE34" s="49">
        <f t="shared" si="51"/>
        <v>0</v>
      </c>
      <c r="BF34" s="61">
        <f t="shared" si="52"/>
        <v>0</v>
      </c>
      <c r="BG34" s="58">
        <f t="shared" si="37"/>
        <v>0</v>
      </c>
      <c r="BH34" s="49">
        <f t="shared" si="38"/>
        <v>0</v>
      </c>
      <c r="BI34" s="61">
        <f t="shared" si="39"/>
        <v>0</v>
      </c>
      <c r="BK34" s="219">
        <f t="shared" si="17"/>
        <v>0</v>
      </c>
      <c r="BL34" s="215">
        <f t="shared" si="18"/>
        <v>0</v>
      </c>
      <c r="BM34" s="215">
        <f t="shared" si="19"/>
        <v>0</v>
      </c>
      <c r="BN34" s="61">
        <f t="shared" si="40"/>
        <v>0</v>
      </c>
      <c r="BO34" s="58">
        <v>0</v>
      </c>
      <c r="BP34" s="49">
        <f t="shared" si="41"/>
        <v>0</v>
      </c>
      <c r="BQ34" s="61">
        <f t="shared" si="53"/>
        <v>0</v>
      </c>
      <c r="BR34" s="58">
        <f t="shared" si="42"/>
        <v>0</v>
      </c>
      <c r="BS34" s="49">
        <f t="shared" si="54"/>
        <v>0</v>
      </c>
      <c r="BT34" s="61">
        <f t="shared" si="55"/>
        <v>0</v>
      </c>
      <c r="BU34" s="58">
        <f t="shared" si="20"/>
        <v>3.2706736100852989E-5</v>
      </c>
      <c r="BV34" s="49">
        <f t="shared" si="21"/>
        <v>5.9629500000000002E-2</v>
      </c>
      <c r="BW34" s="61">
        <f t="shared" si="22"/>
        <v>5.4000000000000003E-3</v>
      </c>
      <c r="BX34" s="49">
        <f t="shared" si="56"/>
        <v>3.0453359853253391E-2</v>
      </c>
      <c r="BY34" s="49">
        <f t="shared" si="43"/>
        <v>0.18331506646873461</v>
      </c>
      <c r="BZ34" s="49">
        <f t="shared" si="44"/>
        <v>59.561223522364891</v>
      </c>
    </row>
    <row r="35" spans="17:78" x14ac:dyDescent="0.25">
      <c r="Q35" s="49">
        <v>28</v>
      </c>
      <c r="R35" s="219">
        <f t="shared" si="0"/>
        <v>0.28000000000000003</v>
      </c>
      <c r="S35" s="215">
        <f t="shared" si="1"/>
        <v>12</v>
      </c>
      <c r="T35" s="220">
        <f t="shared" si="2"/>
        <v>2.3333333333333334E-2</v>
      </c>
      <c r="U35" s="219">
        <f t="shared" si="3"/>
        <v>1</v>
      </c>
      <c r="V35" s="215">
        <f t="shared" si="4"/>
        <v>0.42033320116307732</v>
      </c>
      <c r="W35" s="215">
        <f t="shared" si="5"/>
        <v>0.33626656093046187</v>
      </c>
      <c r="X35" s="215">
        <f t="shared" si="23"/>
        <v>0.24340023790646076</v>
      </c>
      <c r="Y35" s="219">
        <f t="shared" si="24"/>
        <v>5.551151626559394E-2</v>
      </c>
      <c r="Z35" s="215">
        <f t="shared" si="6"/>
        <v>0.11102303253118789</v>
      </c>
      <c r="AA35" s="215">
        <f t="shared" si="25"/>
        <v>0.11102303253118789</v>
      </c>
      <c r="AB35" s="220">
        <f t="shared" si="7"/>
        <v>4.1557489703844548E-2</v>
      </c>
      <c r="AC35" s="219">
        <v>0</v>
      </c>
      <c r="AD35" s="215">
        <f t="shared" si="26"/>
        <v>2.6458022241432431E-2</v>
      </c>
      <c r="AE35" s="220">
        <f t="shared" si="27"/>
        <v>2.6458022241432431E-2</v>
      </c>
      <c r="AF35" s="58">
        <f t="shared" si="8"/>
        <v>5.6000000000000008E-3</v>
      </c>
      <c r="AG35" s="61">
        <f t="shared" si="9"/>
        <v>5.6000000000000008E-3</v>
      </c>
      <c r="AH35" s="58">
        <f t="shared" si="10"/>
        <v>1.5025117069220767E-5</v>
      </c>
      <c r="AI35" s="49">
        <f t="shared" si="11"/>
        <v>3.9446734688357351E-3</v>
      </c>
      <c r="AJ35" s="61">
        <f t="shared" si="45"/>
        <v>3.9596985859049558E-3</v>
      </c>
      <c r="AK35" s="219">
        <f t="shared" si="12"/>
        <v>0.28000000000000003</v>
      </c>
      <c r="AL35" s="215">
        <f t="shared" si="13"/>
        <v>15</v>
      </c>
      <c r="AM35" s="220">
        <f t="shared" si="28"/>
        <v>1.8666666666666668E-2</v>
      </c>
      <c r="AN35" s="219">
        <f t="shared" si="29"/>
        <v>2</v>
      </c>
      <c r="AO35" s="215">
        <f t="shared" si="30"/>
        <v>0.33626656093046187</v>
      </c>
      <c r="AP35" s="215">
        <f t="shared" si="31"/>
        <v>5.551151626559394E-2</v>
      </c>
      <c r="AQ35" s="215">
        <f t="shared" si="32"/>
        <v>0.11102303253118789</v>
      </c>
      <c r="AR35" s="215">
        <f t="shared" si="46"/>
        <v>0.11102303253118789</v>
      </c>
      <c r="AS35" s="220">
        <f t="shared" si="47"/>
        <v>3.7170148780817598E-2</v>
      </c>
      <c r="AT35" s="219"/>
      <c r="AU35" s="215">
        <f t="shared" si="33"/>
        <v>5.3381688888888904E-3</v>
      </c>
      <c r="AV35" s="220">
        <f t="shared" si="48"/>
        <v>5.3381688888888904E-3</v>
      </c>
      <c r="AW35" s="219">
        <f t="shared" si="34"/>
        <v>6.8148E-2</v>
      </c>
      <c r="AX35" s="215">
        <f t="shared" si="35"/>
        <v>5.5999999999999999E-3</v>
      </c>
      <c r="AY35" s="220">
        <f t="shared" si="49"/>
        <v>7.3747999999999994E-2</v>
      </c>
      <c r="AZ35" s="219">
        <f t="shared" si="14"/>
        <v>0</v>
      </c>
      <c r="BA35" s="215">
        <f t="shared" si="15"/>
        <v>0</v>
      </c>
      <c r="BB35" s="215">
        <f t="shared" si="50"/>
        <v>0</v>
      </c>
      <c r="BC35" s="61">
        <f t="shared" si="36"/>
        <v>0</v>
      </c>
      <c r="BD35" s="58">
        <v>0</v>
      </c>
      <c r="BE35" s="49">
        <f t="shared" si="51"/>
        <v>0</v>
      </c>
      <c r="BF35" s="61">
        <f t="shared" si="52"/>
        <v>0</v>
      </c>
      <c r="BG35" s="58">
        <f t="shared" si="37"/>
        <v>0</v>
      </c>
      <c r="BH35" s="49">
        <f t="shared" si="38"/>
        <v>0</v>
      </c>
      <c r="BI35" s="61">
        <f t="shared" si="39"/>
        <v>0</v>
      </c>
      <c r="BK35" s="219">
        <f t="shared" si="17"/>
        <v>0</v>
      </c>
      <c r="BL35" s="215">
        <f t="shared" si="18"/>
        <v>0</v>
      </c>
      <c r="BM35" s="215">
        <f t="shared" si="19"/>
        <v>0</v>
      </c>
      <c r="BN35" s="61">
        <f t="shared" si="40"/>
        <v>0</v>
      </c>
      <c r="BO35" s="58">
        <v>0</v>
      </c>
      <c r="BP35" s="49">
        <f t="shared" si="41"/>
        <v>0</v>
      </c>
      <c r="BQ35" s="61">
        <f t="shared" si="53"/>
        <v>0</v>
      </c>
      <c r="BR35" s="58">
        <f t="shared" si="42"/>
        <v>0</v>
      </c>
      <c r="BS35" s="49">
        <f t="shared" si="54"/>
        <v>0</v>
      </c>
      <c r="BT35" s="61">
        <f t="shared" si="55"/>
        <v>0</v>
      </c>
      <c r="BU35" s="58">
        <f t="shared" si="20"/>
        <v>3.4540499009702915E-5</v>
      </c>
      <c r="BV35" s="49">
        <f t="shared" si="21"/>
        <v>5.9629500000000002E-2</v>
      </c>
      <c r="BW35" s="61">
        <f t="shared" si="22"/>
        <v>5.4000000000000003E-3</v>
      </c>
      <c r="BX35" s="49">
        <f t="shared" si="56"/>
        <v>3.2058022241432435E-2</v>
      </c>
      <c r="BY35" s="49">
        <f t="shared" si="43"/>
        <v>0.18576793021523594</v>
      </c>
      <c r="BZ35" s="49">
        <f t="shared" si="44"/>
        <v>60.115774795960995</v>
      </c>
    </row>
    <row r="36" spans="17:78" s="217" customFormat="1" x14ac:dyDescent="0.25">
      <c r="Q36" s="217">
        <v>29</v>
      </c>
      <c r="R36" s="219">
        <f t="shared" si="0"/>
        <v>0.28999999999999998</v>
      </c>
      <c r="S36" s="215">
        <f t="shared" si="1"/>
        <v>12</v>
      </c>
      <c r="T36" s="220">
        <f t="shared" si="2"/>
        <v>2.4166666666666666E-2</v>
      </c>
      <c r="U36" s="219">
        <f t="shared" si="3"/>
        <v>1</v>
      </c>
      <c r="V36" s="215">
        <f t="shared" si="4"/>
        <v>0.42777330444991535</v>
      </c>
      <c r="W36" s="215">
        <f t="shared" si="5"/>
        <v>0.34221864355993231</v>
      </c>
      <c r="X36" s="215">
        <f t="shared" si="23"/>
        <v>0.23000805199015234</v>
      </c>
      <c r="Y36" s="219">
        <f t="shared" si="24"/>
        <v>5.6494097259629603E-2</v>
      </c>
      <c r="Z36" s="215">
        <f t="shared" si="6"/>
        <v>0.11298819451925923</v>
      </c>
      <c r="AA36" s="215">
        <f t="shared" si="25"/>
        <v>0.11298819451925922</v>
      </c>
      <c r="AB36" s="220">
        <f t="shared" si="7"/>
        <v>4.2665739840574902E-2</v>
      </c>
      <c r="AC36" s="219">
        <v>0</v>
      </c>
      <c r="AD36" s="215">
        <f t="shared" si="26"/>
        <v>2.7887997256120265E-2</v>
      </c>
      <c r="AE36" s="220">
        <f t="shared" si="27"/>
        <v>2.7887997256120265E-2</v>
      </c>
      <c r="AF36" s="58">
        <f t="shared" si="8"/>
        <v>5.7999999999999996E-3</v>
      </c>
      <c r="AG36" s="61">
        <f t="shared" si="9"/>
        <v>5.7999999999999996E-3</v>
      </c>
      <c r="AH36" s="58">
        <f t="shared" si="10"/>
        <v>1.5837178598449497E-5</v>
      </c>
      <c r="AI36" s="49">
        <f t="shared" si="11"/>
        <v>4.0144961189613462E-3</v>
      </c>
      <c r="AJ36" s="225">
        <f t="shared" si="45"/>
        <v>4.0303332975597959E-3</v>
      </c>
      <c r="AK36" s="219">
        <f t="shared" si="12"/>
        <v>0.28999999999999998</v>
      </c>
      <c r="AL36" s="215">
        <f t="shared" si="13"/>
        <v>15</v>
      </c>
      <c r="AM36" s="220">
        <f t="shared" si="28"/>
        <v>1.9333333333333331E-2</v>
      </c>
      <c r="AN36" s="219">
        <f t="shared" si="29"/>
        <v>2</v>
      </c>
      <c r="AO36" s="215">
        <f t="shared" si="30"/>
        <v>0.34221864355993231</v>
      </c>
      <c r="AP36" s="215">
        <f t="shared" si="31"/>
        <v>5.6494097259629603E-2</v>
      </c>
      <c r="AQ36" s="215">
        <f t="shared" si="32"/>
        <v>0.11298819451925923</v>
      </c>
      <c r="AR36" s="215">
        <f t="shared" si="46"/>
        <v>0.11298819451925922</v>
      </c>
      <c r="AS36" s="220">
        <f t="shared" si="47"/>
        <v>3.8161397837538601E-2</v>
      </c>
      <c r="AT36" s="219"/>
      <c r="AU36" s="215">
        <f t="shared" si="33"/>
        <v>5.7262755555555541E-3</v>
      </c>
      <c r="AV36" s="220">
        <f t="shared" si="48"/>
        <v>5.7262755555555541E-3</v>
      </c>
      <c r="AW36" s="219">
        <f t="shared" si="34"/>
        <v>6.8148E-2</v>
      </c>
      <c r="AX36" s="215">
        <f t="shared" si="35"/>
        <v>5.7999999999999987E-3</v>
      </c>
      <c r="AY36" s="220">
        <f t="shared" si="49"/>
        <v>7.3948E-2</v>
      </c>
      <c r="AZ36" s="219">
        <f t="shared" si="14"/>
        <v>0</v>
      </c>
      <c r="BA36" s="215">
        <f t="shared" si="15"/>
        <v>0</v>
      </c>
      <c r="BB36" s="215">
        <f t="shared" si="50"/>
        <v>0</v>
      </c>
      <c r="BC36" s="61">
        <f t="shared" si="36"/>
        <v>0</v>
      </c>
      <c r="BD36" s="58">
        <v>0</v>
      </c>
      <c r="BE36" s="49">
        <f t="shared" si="51"/>
        <v>0</v>
      </c>
      <c r="BF36" s="61">
        <f t="shared" si="52"/>
        <v>0</v>
      </c>
      <c r="BG36" s="58">
        <f t="shared" si="37"/>
        <v>0</v>
      </c>
      <c r="BH36" s="49">
        <f t="shared" si="38"/>
        <v>0</v>
      </c>
      <c r="BI36" s="61">
        <f t="shared" si="39"/>
        <v>0</v>
      </c>
      <c r="BJ36" s="49"/>
      <c r="BK36" s="219">
        <f t="shared" si="17"/>
        <v>0</v>
      </c>
      <c r="BL36" s="215">
        <f t="shared" si="18"/>
        <v>0</v>
      </c>
      <c r="BM36" s="215">
        <f t="shared" si="19"/>
        <v>0</v>
      </c>
      <c r="BN36" s="61">
        <f t="shared" si="40"/>
        <v>0</v>
      </c>
      <c r="BO36" s="58">
        <v>0</v>
      </c>
      <c r="BP36" s="49">
        <f t="shared" si="41"/>
        <v>0</v>
      </c>
      <c r="BQ36" s="61">
        <f t="shared" si="53"/>
        <v>0</v>
      </c>
      <c r="BR36" s="58">
        <f t="shared" si="42"/>
        <v>0</v>
      </c>
      <c r="BS36" s="49">
        <f t="shared" si="54"/>
        <v>0</v>
      </c>
      <c r="BT36" s="61">
        <f t="shared" si="55"/>
        <v>0</v>
      </c>
      <c r="BU36" s="58">
        <f t="shared" si="20"/>
        <v>3.6407307122872407E-5</v>
      </c>
      <c r="BV36" s="49">
        <f t="shared" si="21"/>
        <v>5.9629500000000002E-2</v>
      </c>
      <c r="BW36" s="61">
        <f t="shared" si="22"/>
        <v>5.4000000000000003E-3</v>
      </c>
      <c r="BX36" s="49">
        <f t="shared" si="56"/>
        <v>3.3687997256120261E-2</v>
      </c>
      <c r="BY36" s="49">
        <f t="shared" si="43"/>
        <v>0.18825851341635849</v>
      </c>
      <c r="BZ36" s="49">
        <f t="shared" si="44"/>
        <v>60.636662362460456</v>
      </c>
    </row>
    <row r="37" spans="17:78" x14ac:dyDescent="0.25">
      <c r="Q37" s="49">
        <v>30</v>
      </c>
      <c r="R37" s="219">
        <f t="shared" si="0"/>
        <v>0.3</v>
      </c>
      <c r="S37" s="215">
        <f t="shared" si="1"/>
        <v>12</v>
      </c>
      <c r="T37" s="220">
        <f t="shared" si="2"/>
        <v>2.4999999999999998E-2</v>
      </c>
      <c r="U37" s="219">
        <f t="shared" si="3"/>
        <v>1</v>
      </c>
      <c r="V37" s="215">
        <f t="shared" si="4"/>
        <v>0.43508619835614182</v>
      </c>
      <c r="W37" s="215">
        <f t="shared" si="5"/>
        <v>0.34806895868491344</v>
      </c>
      <c r="X37" s="215">
        <f t="shared" si="23"/>
        <v>0.21684484295894474</v>
      </c>
      <c r="Y37" s="219">
        <f t="shared" si="24"/>
        <v>5.7459878282638911E-2</v>
      </c>
      <c r="Z37" s="215">
        <f t="shared" si="6"/>
        <v>0.11491975656527784</v>
      </c>
      <c r="AA37" s="215">
        <f t="shared" si="25"/>
        <v>0.11491975656527784</v>
      </c>
      <c r="AB37" s="220">
        <f t="shared" si="7"/>
        <v>4.3764475046411379E-2</v>
      </c>
      <c r="AC37" s="219">
        <v>0</v>
      </c>
      <c r="AD37" s="215">
        <f t="shared" si="26"/>
        <v>2.9342844509667614E-2</v>
      </c>
      <c r="AE37" s="220">
        <f t="shared" si="27"/>
        <v>2.9342844509667614E-2</v>
      </c>
      <c r="AF37" s="58">
        <f t="shared" si="8"/>
        <v>6.0000000000000001E-3</v>
      </c>
      <c r="AG37" s="61">
        <f t="shared" si="9"/>
        <v>6.0000000000000001E-3</v>
      </c>
      <c r="AH37" s="58">
        <f t="shared" si="10"/>
        <v>1.6663364701965289E-5</v>
      </c>
      <c r="AI37" s="49">
        <f t="shared" si="11"/>
        <v>4.0831249555426143E-3</v>
      </c>
      <c r="AJ37" s="61">
        <f t="shared" si="45"/>
        <v>4.0997883202445792E-3</v>
      </c>
      <c r="AK37" s="219">
        <f t="shared" si="12"/>
        <v>0.3</v>
      </c>
      <c r="AL37" s="215">
        <f t="shared" si="13"/>
        <v>15</v>
      </c>
      <c r="AM37" s="220">
        <f t="shared" si="28"/>
        <v>0.02</v>
      </c>
      <c r="AN37" s="219">
        <f t="shared" si="29"/>
        <v>2</v>
      </c>
      <c r="AO37" s="215">
        <f t="shared" si="30"/>
        <v>0.34806895868491344</v>
      </c>
      <c r="AP37" s="215">
        <f t="shared" si="31"/>
        <v>5.7459878282638918E-2</v>
      </c>
      <c r="AQ37" s="215">
        <f t="shared" si="32"/>
        <v>0.11491975656527784</v>
      </c>
      <c r="AR37" s="215">
        <f t="shared" si="46"/>
        <v>0.11491975656527784</v>
      </c>
      <c r="AS37" s="220">
        <f t="shared" si="47"/>
        <v>3.9144136481347645E-2</v>
      </c>
      <c r="AT37" s="219"/>
      <c r="AU37" s="215">
        <f t="shared" si="33"/>
        <v>6.1280000000000006E-3</v>
      </c>
      <c r="AV37" s="220">
        <f t="shared" si="48"/>
        <v>6.1280000000000006E-3</v>
      </c>
      <c r="AW37" s="219">
        <f t="shared" si="34"/>
        <v>6.8148E-2</v>
      </c>
      <c r="AX37" s="215">
        <f t="shared" si="35"/>
        <v>6.0000000000000001E-3</v>
      </c>
      <c r="AY37" s="220">
        <f t="shared" si="49"/>
        <v>7.4148000000000006E-2</v>
      </c>
      <c r="AZ37" s="219">
        <f t="shared" si="14"/>
        <v>0</v>
      </c>
      <c r="BA37" s="215">
        <f t="shared" si="15"/>
        <v>0</v>
      </c>
      <c r="BB37" s="215">
        <f t="shared" si="50"/>
        <v>0</v>
      </c>
      <c r="BC37" s="61">
        <f t="shared" si="36"/>
        <v>0</v>
      </c>
      <c r="BD37" s="58">
        <v>0</v>
      </c>
      <c r="BE37" s="49">
        <f t="shared" si="51"/>
        <v>0</v>
      </c>
      <c r="BF37" s="61">
        <f t="shared" si="52"/>
        <v>0</v>
      </c>
      <c r="BG37" s="58">
        <f t="shared" si="37"/>
        <v>0</v>
      </c>
      <c r="BH37" s="49">
        <f t="shared" si="38"/>
        <v>0</v>
      </c>
      <c r="BI37" s="61">
        <f t="shared" si="39"/>
        <v>0</v>
      </c>
      <c r="BK37" s="219">
        <f t="shared" si="17"/>
        <v>0</v>
      </c>
      <c r="BL37" s="215">
        <f t="shared" si="18"/>
        <v>0</v>
      </c>
      <c r="BM37" s="215">
        <f t="shared" si="19"/>
        <v>0</v>
      </c>
      <c r="BN37" s="61">
        <f t="shared" si="40"/>
        <v>0</v>
      </c>
      <c r="BO37" s="58">
        <v>0</v>
      </c>
      <c r="BP37" s="49">
        <f t="shared" si="41"/>
        <v>0</v>
      </c>
      <c r="BQ37" s="61">
        <f t="shared" si="53"/>
        <v>0</v>
      </c>
      <c r="BR37" s="58">
        <f t="shared" si="42"/>
        <v>0</v>
      </c>
      <c r="BS37" s="49">
        <f t="shared" si="54"/>
        <v>0</v>
      </c>
      <c r="BT37" s="61">
        <f t="shared" si="55"/>
        <v>0</v>
      </c>
      <c r="BU37" s="58">
        <f t="shared" si="20"/>
        <v>3.8306585521759288E-5</v>
      </c>
      <c r="BV37" s="49">
        <f t="shared" si="21"/>
        <v>5.9629500000000002E-2</v>
      </c>
      <c r="BW37" s="61">
        <f t="shared" si="22"/>
        <v>5.4000000000000003E-3</v>
      </c>
      <c r="BX37" s="49">
        <f t="shared" si="56"/>
        <v>3.5342844509667612E-2</v>
      </c>
      <c r="BY37" s="49">
        <f t="shared" si="43"/>
        <v>0.19078643941543397</v>
      </c>
      <c r="BZ37" s="49">
        <f t="shared" si="44"/>
        <v>61.126383271168628</v>
      </c>
    </row>
    <row r="38" spans="17:78" x14ac:dyDescent="0.25">
      <c r="Q38" s="49">
        <v>31</v>
      </c>
      <c r="R38" s="219">
        <f t="shared" si="0"/>
        <v>0.31</v>
      </c>
      <c r="S38" s="215">
        <f t="shared" si="1"/>
        <v>12</v>
      </c>
      <c r="T38" s="220">
        <f t="shared" si="2"/>
        <v>2.5833333333333333E-2</v>
      </c>
      <c r="U38" s="219">
        <f t="shared" si="3"/>
        <v>1</v>
      </c>
      <c r="V38" s="215">
        <f t="shared" si="4"/>
        <v>0.44227819299621812</v>
      </c>
      <c r="W38" s="215">
        <f t="shared" si="5"/>
        <v>0.35382255439697452</v>
      </c>
      <c r="X38" s="215">
        <f t="shared" si="23"/>
        <v>0.20389925260680741</v>
      </c>
      <c r="Y38" s="219">
        <f t="shared" si="24"/>
        <v>5.8409692683071605E-2</v>
      </c>
      <c r="Z38" s="215">
        <f t="shared" si="6"/>
        <v>0.11681938536614321</v>
      </c>
      <c r="AA38" s="215">
        <f t="shared" si="25"/>
        <v>0.11681938536614321</v>
      </c>
      <c r="AB38" s="220">
        <f t="shared" si="7"/>
        <v>4.4854090277689648E-2</v>
      </c>
      <c r="AC38" s="219">
        <v>0</v>
      </c>
      <c r="AD38" s="215">
        <f t="shared" si="26"/>
        <v>3.0822145832271521E-2</v>
      </c>
      <c r="AE38" s="220">
        <f t="shared" si="27"/>
        <v>3.0822145832271521E-2</v>
      </c>
      <c r="AF38" s="58">
        <f t="shared" si="8"/>
        <v>6.1999999999999998E-3</v>
      </c>
      <c r="AG38" s="61">
        <f t="shared" si="9"/>
        <v>6.1999999999999998E-3</v>
      </c>
      <c r="AH38" s="58">
        <f t="shared" si="10"/>
        <v>1.7503437907360457E-5</v>
      </c>
      <c r="AI38" s="49">
        <f t="shared" si="11"/>
        <v>4.1506191966975293E-3</v>
      </c>
      <c r="AJ38" s="61">
        <f t="shared" si="45"/>
        <v>4.1681226346048901E-3</v>
      </c>
      <c r="AK38" s="219">
        <f t="shared" si="12"/>
        <v>0.31</v>
      </c>
      <c r="AL38" s="215">
        <f t="shared" si="13"/>
        <v>15</v>
      </c>
      <c r="AM38" s="220">
        <f t="shared" si="28"/>
        <v>2.0666666666666667E-2</v>
      </c>
      <c r="AN38" s="219">
        <f t="shared" si="29"/>
        <v>2</v>
      </c>
      <c r="AO38" s="215">
        <f t="shared" si="30"/>
        <v>0.35382255439697452</v>
      </c>
      <c r="AP38" s="215">
        <f t="shared" si="31"/>
        <v>5.8409692683071605E-2</v>
      </c>
      <c r="AQ38" s="215">
        <f t="shared" si="32"/>
        <v>0.11681938536614321</v>
      </c>
      <c r="AR38" s="215">
        <f t="shared" si="46"/>
        <v>0.11681938536614321</v>
      </c>
      <c r="AS38" s="220">
        <f t="shared" si="47"/>
        <v>4.0118717971930597E-2</v>
      </c>
      <c r="AT38" s="219"/>
      <c r="AU38" s="215">
        <f t="shared" si="33"/>
        <v>6.543342222222223E-3</v>
      </c>
      <c r="AV38" s="220">
        <f t="shared" si="48"/>
        <v>6.543342222222223E-3</v>
      </c>
      <c r="AW38" s="219">
        <f t="shared" si="34"/>
        <v>6.8148E-2</v>
      </c>
      <c r="AX38" s="215">
        <f t="shared" si="35"/>
        <v>6.1999999999999998E-3</v>
      </c>
      <c r="AY38" s="220">
        <f t="shared" si="49"/>
        <v>7.4347999999999997E-2</v>
      </c>
      <c r="AZ38" s="219">
        <f t="shared" si="14"/>
        <v>0</v>
      </c>
      <c r="BA38" s="215">
        <f t="shared" si="15"/>
        <v>0</v>
      </c>
      <c r="BB38" s="215">
        <f t="shared" si="50"/>
        <v>0</v>
      </c>
      <c r="BC38" s="61">
        <f t="shared" si="36"/>
        <v>0</v>
      </c>
      <c r="BD38" s="58">
        <v>0</v>
      </c>
      <c r="BE38" s="49">
        <f t="shared" si="51"/>
        <v>0</v>
      </c>
      <c r="BF38" s="61">
        <f t="shared" si="52"/>
        <v>0</v>
      </c>
      <c r="BG38" s="58">
        <f t="shared" si="37"/>
        <v>0</v>
      </c>
      <c r="BH38" s="49">
        <f t="shared" si="38"/>
        <v>0</v>
      </c>
      <c r="BI38" s="61">
        <f t="shared" si="39"/>
        <v>0</v>
      </c>
      <c r="BK38" s="219">
        <f t="shared" si="17"/>
        <v>0</v>
      </c>
      <c r="BL38" s="215">
        <f t="shared" si="18"/>
        <v>0</v>
      </c>
      <c r="BM38" s="215">
        <f t="shared" si="19"/>
        <v>0</v>
      </c>
      <c r="BN38" s="61">
        <f t="shared" si="40"/>
        <v>0</v>
      </c>
      <c r="BO38" s="58">
        <v>0</v>
      </c>
      <c r="BP38" s="49">
        <f t="shared" si="41"/>
        <v>0</v>
      </c>
      <c r="BQ38" s="61">
        <f t="shared" si="53"/>
        <v>0</v>
      </c>
      <c r="BR38" s="58">
        <f t="shared" si="42"/>
        <v>0</v>
      </c>
      <c r="BS38" s="49">
        <f t="shared" si="54"/>
        <v>0</v>
      </c>
      <c r="BT38" s="61">
        <f t="shared" si="55"/>
        <v>0</v>
      </c>
      <c r="BU38" s="58">
        <f t="shared" si="20"/>
        <v>4.0237788292782661E-5</v>
      </c>
      <c r="BV38" s="49">
        <f t="shared" si="21"/>
        <v>5.9629500000000002E-2</v>
      </c>
      <c r="BW38" s="61">
        <f t="shared" si="22"/>
        <v>5.4000000000000003E-3</v>
      </c>
      <c r="BX38" s="49">
        <f t="shared" si="56"/>
        <v>3.7022145832271522E-2</v>
      </c>
      <c r="BY38" s="49">
        <f t="shared" si="43"/>
        <v>0.19335134847739144</v>
      </c>
      <c r="BZ38" s="49">
        <f t="shared" si="44"/>
        <v>61.587199664356106</v>
      </c>
    </row>
    <row r="39" spans="17:78" x14ac:dyDescent="0.25">
      <c r="Q39" s="49">
        <v>32</v>
      </c>
      <c r="R39" s="219">
        <f t="shared" ref="R39:R70" si="57">AK39+AZ39+BK39</f>
        <v>0.32</v>
      </c>
      <c r="S39" s="215">
        <f t="shared" si="1"/>
        <v>12</v>
      </c>
      <c r="T39" s="220">
        <f t="shared" ref="T39:T70" si="58">(R39)/(S39*EFF_est)</f>
        <v>2.6666666666666668E-2</v>
      </c>
      <c r="U39" s="219">
        <f t="shared" ref="U39:U70" si="59">IF(R39&lt;((((Np/NS1_)*(AL39)/((S39+((Np/NS1_)*(AL39)))))^2)*(S39^2))/(2*Lm*Fsw),1,2)</f>
        <v>1</v>
      </c>
      <c r="V39" s="215">
        <f t="shared" ref="V39:V70" si="60">CHOOSE(U39,SQRT((2*Lm*R39*Fsw)/((S39^2)*EFF_est)),(((Np/NS1_)*(AL39))/(S39+((Np/NS1_)*(AL39)))))</f>
        <v>0.44935509343947577</v>
      </c>
      <c r="W39" s="215">
        <f t="shared" ref="W39:W70" si="61">CHOOSE(U39,(NS1_*S39*V39)/(Np*AL39),1-V39)</f>
        <v>0.35948407475158056</v>
      </c>
      <c r="X39" s="215">
        <f t="shared" si="23"/>
        <v>0.19116083180894367</v>
      </c>
      <c r="Y39" s="219">
        <f t="shared" si="24"/>
        <v>5.9344307110337537E-2</v>
      </c>
      <c r="Z39" s="215">
        <f t="shared" ref="Z39:Z70" si="62">(S39*V39)/(Lm*Fsw)</f>
        <v>0.11868861422067506</v>
      </c>
      <c r="AA39" s="215">
        <f t="shared" si="25"/>
        <v>0.11868861422067506</v>
      </c>
      <c r="AB39" s="220">
        <f t="shared" ref="AB39:AB70" si="63">CHOOSE(U39,AA39*SQRT(V39/3),SQRT(V39*((AA39^2)+((Z39^2)/(3))-(AA39*Z39))))</f>
        <v>4.5934951925168666E-2</v>
      </c>
      <c r="AC39" s="219">
        <v>0</v>
      </c>
      <c r="AD39" s="215">
        <f t="shared" ref="AD39:AD70" si="64">(AB39^2)*Rdcr</f>
        <v>3.2325503464190962E-2</v>
      </c>
      <c r="AE39" s="220">
        <f t="shared" si="27"/>
        <v>3.2325503464190962E-2</v>
      </c>
      <c r="AF39" s="58">
        <f t="shared" ref="AF39:AF70" si="65">R39*0.02</f>
        <v>6.4000000000000003E-3</v>
      </c>
      <c r="AG39" s="61">
        <f t="shared" ref="AG39:AG70" si="66">R39*0.02</f>
        <v>6.4000000000000003E-3</v>
      </c>
      <c r="AH39" s="58">
        <f t="shared" ref="AH39:AH70" si="67">(AB39^2)*RDS_on</f>
        <v>1.8357172332797738E-5</v>
      </c>
      <c r="AI39" s="49">
        <f t="shared" ref="AI39:AI70" si="68">((Y39*(S39+((Np/NS1_)*VOUT1)))/2)*Fsw*(tr_sw+tf_sw)</f>
        <v>4.2170333208801187E-3</v>
      </c>
      <c r="AJ39" s="61">
        <f t="shared" si="45"/>
        <v>4.2353904932129162E-3</v>
      </c>
      <c r="AK39" s="219">
        <f t="shared" ref="AK39:AK70" si="69">Q39*$B$11</f>
        <v>0.32</v>
      </c>
      <c r="AL39" s="215">
        <f t="shared" si="13"/>
        <v>15</v>
      </c>
      <c r="AM39" s="220">
        <f t="shared" si="28"/>
        <v>2.1333333333333333E-2</v>
      </c>
      <c r="AN39" s="219">
        <f t="shared" si="29"/>
        <v>2</v>
      </c>
      <c r="AO39" s="215">
        <f t="shared" si="30"/>
        <v>0.35948407475158056</v>
      </c>
      <c r="AP39" s="215">
        <f t="shared" si="31"/>
        <v>5.9344307110337537E-2</v>
      </c>
      <c r="AQ39" s="215">
        <f t="shared" si="32"/>
        <v>0.11868861422067506</v>
      </c>
      <c r="AR39" s="215">
        <f t="shared" si="46"/>
        <v>0.11868861422067506</v>
      </c>
      <c r="AS39" s="220">
        <f t="shared" si="47"/>
        <v>4.1085470019144789E-2</v>
      </c>
      <c r="AT39" s="219"/>
      <c r="AU39" s="215">
        <f t="shared" si="33"/>
        <v>6.9723022222222221E-3</v>
      </c>
      <c r="AV39" s="220">
        <f t="shared" si="48"/>
        <v>6.9723022222222221E-3</v>
      </c>
      <c r="AW39" s="219">
        <f t="shared" si="34"/>
        <v>6.8148E-2</v>
      </c>
      <c r="AX39" s="215">
        <f t="shared" si="35"/>
        <v>6.3999999999999994E-3</v>
      </c>
      <c r="AY39" s="220">
        <f t="shared" si="49"/>
        <v>7.4548000000000003E-2</v>
      </c>
      <c r="AZ39" s="219">
        <f t="shared" ref="AZ39:AZ70" si="70">IF(EN_OUT_2=1,Q39*$B$15,0)</f>
        <v>0</v>
      </c>
      <c r="BA39" s="215">
        <f t="shared" ref="BA39:BA70" si="71">IF(EN_OUT_2=1,VOUT2,0)</f>
        <v>0</v>
      </c>
      <c r="BB39" s="215">
        <f t="shared" si="50"/>
        <v>0</v>
      </c>
      <c r="BC39" s="61">
        <f t="shared" si="36"/>
        <v>0</v>
      </c>
      <c r="BD39" s="58">
        <v>0</v>
      </c>
      <c r="BE39" s="49">
        <f t="shared" si="51"/>
        <v>0</v>
      </c>
      <c r="BF39" s="61">
        <f t="shared" si="52"/>
        <v>0</v>
      </c>
      <c r="BG39" s="58">
        <f t="shared" si="37"/>
        <v>0</v>
      </c>
      <c r="BH39" s="49">
        <f t="shared" si="38"/>
        <v>0</v>
      </c>
      <c r="BI39" s="61">
        <f t="shared" si="39"/>
        <v>0</v>
      </c>
      <c r="BK39" s="219">
        <f t="shared" ref="BK39:BK70" si="72">IF(EN_OUT_3=1,Q39*$B$19,0)</f>
        <v>0</v>
      </c>
      <c r="BL39" s="215">
        <f t="shared" si="18"/>
        <v>0</v>
      </c>
      <c r="BM39" s="215">
        <f t="shared" ref="BM39:BM70" si="73">IF(EN_OUT_3=1,BK39/BL39,0)</f>
        <v>0</v>
      </c>
      <c r="BN39" s="61">
        <f t="shared" si="40"/>
        <v>0</v>
      </c>
      <c r="BO39" s="58">
        <v>0</v>
      </c>
      <c r="BP39" s="49">
        <f t="shared" si="41"/>
        <v>0</v>
      </c>
      <c r="BQ39" s="61">
        <f t="shared" si="53"/>
        <v>0</v>
      </c>
      <c r="BR39" s="58">
        <f t="shared" si="42"/>
        <v>0</v>
      </c>
      <c r="BS39" s="49">
        <f t="shared" si="54"/>
        <v>0</v>
      </c>
      <c r="BT39" s="61">
        <f t="shared" si="55"/>
        <v>0</v>
      </c>
      <c r="BU39" s="58">
        <f t="shared" ref="BU39:BU70" si="74">(AB39^2)*R_cs</f>
        <v>4.2200396167351131E-5</v>
      </c>
      <c r="BV39" s="49">
        <f t="shared" si="21"/>
        <v>5.9629500000000002E-2</v>
      </c>
      <c r="BW39" s="61">
        <f t="shared" ref="BW39:BW70" si="75">IQ*S39</f>
        <v>5.4000000000000003E-3</v>
      </c>
      <c r="BX39" s="49">
        <f t="shared" si="56"/>
        <v>3.8725503464190965E-2</v>
      </c>
      <c r="BY39" s="49">
        <f t="shared" si="43"/>
        <v>0.19595289657579346</v>
      </c>
      <c r="BZ39" s="49">
        <f t="shared" si="44"/>
        <v>62.021165521839848</v>
      </c>
    </row>
    <row r="40" spans="17:78" x14ac:dyDescent="0.25">
      <c r="Q40" s="49">
        <v>33</v>
      </c>
      <c r="R40" s="219">
        <f t="shared" si="57"/>
        <v>0.33</v>
      </c>
      <c r="S40" s="215">
        <f t="shared" si="1"/>
        <v>12</v>
      </c>
      <c r="T40" s="220">
        <f t="shared" si="58"/>
        <v>2.75E-2</v>
      </c>
      <c r="U40" s="219">
        <f t="shared" si="59"/>
        <v>1</v>
      </c>
      <c r="V40" s="215">
        <f t="shared" si="60"/>
        <v>0.45632225455263525</v>
      </c>
      <c r="W40" s="215">
        <f t="shared" si="61"/>
        <v>0.36505780364210821</v>
      </c>
      <c r="X40" s="215">
        <f t="shared" si="23"/>
        <v>0.17861994180525648</v>
      </c>
      <c r="Y40" s="219">
        <f t="shared" ref="Y40:Y71" si="76">R40/(S40*EFF_est*V40)</f>
        <v>6.0264428757611621E-2</v>
      </c>
      <c r="Z40" s="215">
        <f t="shared" si="62"/>
        <v>0.12052885751522327</v>
      </c>
      <c r="AA40" s="215">
        <f t="shared" si="25"/>
        <v>0.12052885751522326</v>
      </c>
      <c r="AB40" s="220">
        <f t="shared" si="63"/>
        <v>4.7007400705765756E-2</v>
      </c>
      <c r="AC40" s="219">
        <v>0</v>
      </c>
      <c r="AD40" s="215">
        <f t="shared" si="64"/>
        <v>3.3852538447442383E-2</v>
      </c>
      <c r="AE40" s="220">
        <f t="shared" si="27"/>
        <v>3.3852538447442383E-2</v>
      </c>
      <c r="AF40" s="58">
        <f t="shared" si="65"/>
        <v>6.6000000000000008E-3</v>
      </c>
      <c r="AG40" s="61">
        <f t="shared" si="66"/>
        <v>6.6000000000000008E-3</v>
      </c>
      <c r="AH40" s="58">
        <f t="shared" si="67"/>
        <v>1.9224352773678112E-5</v>
      </c>
      <c r="AI40" s="49">
        <f t="shared" si="68"/>
        <v>4.2824175815574499E-3</v>
      </c>
      <c r="AJ40" s="61">
        <f t="shared" si="45"/>
        <v>4.3016419343311282E-3</v>
      </c>
      <c r="AK40" s="219">
        <f t="shared" si="69"/>
        <v>0.33</v>
      </c>
      <c r="AL40" s="215">
        <f t="shared" si="13"/>
        <v>15</v>
      </c>
      <c r="AM40" s="220">
        <f t="shared" si="28"/>
        <v>2.2000000000000002E-2</v>
      </c>
      <c r="AN40" s="219">
        <f t="shared" ref="AN40:AN71" si="77">IF(((AL40*AO40)/(Fsw*$AO$2))/2&gt;AP40,1,2)</f>
        <v>2</v>
      </c>
      <c r="AO40" s="215">
        <f t="shared" ref="AO40:AO71" si="78">AM40/AP40</f>
        <v>0.36505780364210821</v>
      </c>
      <c r="AP40" s="215">
        <f t="shared" ref="AP40:AP71" si="79">Np*$Y40*AK40/(R40*NS1_)</f>
        <v>6.0264428757611621E-2</v>
      </c>
      <c r="AQ40" s="215">
        <f t="shared" ref="AQ40:AQ71" si="80">(AL40*AO40)/(Fsw*$AO$2)</f>
        <v>0.12052885751522327</v>
      </c>
      <c r="AR40" s="215">
        <f t="shared" si="46"/>
        <v>0.12052885751522326</v>
      </c>
      <c r="AS40" s="220">
        <f t="shared" si="47"/>
        <v>4.2044697369465527E-2</v>
      </c>
      <c r="AT40" s="219"/>
      <c r="AU40" s="215">
        <f t="shared" ref="AU40:AU71" si="81">(AM40^2)*Rdcr1</f>
        <v>7.4148800000000022E-3</v>
      </c>
      <c r="AV40" s="220">
        <f t="shared" si="48"/>
        <v>7.4148800000000022E-3</v>
      </c>
      <c r="AW40" s="219">
        <f t="shared" ref="AW40:AW71" si="82">(VOUT1+((NS1_/Np)*S40))*QRR1_*Fsw</f>
        <v>6.8148E-2</v>
      </c>
      <c r="AX40" s="215">
        <f t="shared" ref="AX40:AX71" si="83">AM40*VD1_</f>
        <v>6.6000000000000008E-3</v>
      </c>
      <c r="AY40" s="220">
        <f t="shared" si="49"/>
        <v>7.4747999999999995E-2</v>
      </c>
      <c r="AZ40" s="219">
        <f t="shared" si="70"/>
        <v>0</v>
      </c>
      <c r="BA40" s="215">
        <f t="shared" si="71"/>
        <v>0</v>
      </c>
      <c r="BB40" s="215">
        <f t="shared" si="50"/>
        <v>0</v>
      </c>
      <c r="BC40" s="61">
        <f t="shared" ref="BC40:BC71" si="84">IF(EN_OUT_2=1,AZ40/BA40,0)</f>
        <v>0</v>
      </c>
      <c r="BD40" s="58">
        <v>0</v>
      </c>
      <c r="BE40" s="49">
        <f t="shared" ref="BE40:BE71" si="85">(BB40^2)*Rdcr2</f>
        <v>0</v>
      </c>
      <c r="BF40" s="61">
        <f t="shared" si="52"/>
        <v>0</v>
      </c>
      <c r="BG40" s="58">
        <f t="shared" ref="BG40:BG71" si="86">(VOUT2+((NS2_/Np)*S40))*QRR2_*Fsw</f>
        <v>0</v>
      </c>
      <c r="BH40" s="49">
        <f t="shared" ref="BH40:BH71" si="87">BB40*VD2_</f>
        <v>0</v>
      </c>
      <c r="BI40" s="61">
        <f t="shared" ref="BI40:BI71" si="88">BH40+BG40</f>
        <v>0</v>
      </c>
      <c r="BK40" s="219">
        <f t="shared" si="72"/>
        <v>0</v>
      </c>
      <c r="BL40" s="215">
        <f t="shared" si="18"/>
        <v>0</v>
      </c>
      <c r="BM40" s="215">
        <f t="shared" si="73"/>
        <v>0</v>
      </c>
      <c r="BN40" s="61">
        <f t="shared" ref="BN40:BN71" si="89">Y40*(Np/NS3_)*(BK40/R40)</f>
        <v>0</v>
      </c>
      <c r="BO40" s="58">
        <v>0</v>
      </c>
      <c r="BP40" s="49">
        <f t="shared" ref="BP40:BP71" si="90">(BM40^2)*Rdcr3</f>
        <v>0</v>
      </c>
      <c r="BQ40" s="61">
        <f t="shared" si="53"/>
        <v>0</v>
      </c>
      <c r="BR40" s="58">
        <f t="shared" ref="BR40:BR71" si="91">(VOUT3+((NS3_/Np)*S40))*QRR3_*Fsw</f>
        <v>0</v>
      </c>
      <c r="BS40" s="49">
        <f t="shared" ref="BS40:BS71" si="92">BM40*VD3_</f>
        <v>0</v>
      </c>
      <c r="BT40" s="61">
        <f t="shared" si="55"/>
        <v>0</v>
      </c>
      <c r="BU40" s="58">
        <f t="shared" si="74"/>
        <v>4.4193914422248542E-5</v>
      </c>
      <c r="BV40" s="49">
        <f t="shared" si="21"/>
        <v>5.9629500000000002E-2</v>
      </c>
      <c r="BW40" s="61">
        <f t="shared" si="75"/>
        <v>5.4000000000000003E-3</v>
      </c>
      <c r="BX40" s="49">
        <f t="shared" si="56"/>
        <v>4.0452538447442385E-2</v>
      </c>
      <c r="BY40" s="49">
        <f t="shared" si="43"/>
        <v>0.19859075429619574</v>
      </c>
      <c r="BZ40" s="49">
        <f t="shared" ref="BZ40:BZ71" si="93">(R40/(R40+BY40))*100</f>
        <v>62.430149849931837</v>
      </c>
    </row>
    <row r="41" spans="17:78" x14ac:dyDescent="0.25">
      <c r="Q41" s="49">
        <v>34</v>
      </c>
      <c r="R41" s="219">
        <f t="shared" si="57"/>
        <v>0.34</v>
      </c>
      <c r="S41" s="215">
        <f t="shared" si="1"/>
        <v>12</v>
      </c>
      <c r="T41" s="220">
        <f t="shared" si="58"/>
        <v>2.8333333333333335E-2</v>
      </c>
      <c r="U41" s="219">
        <f t="shared" si="59"/>
        <v>1</v>
      </c>
      <c r="V41" s="215">
        <f t="shared" si="60"/>
        <v>0.46318462841506297</v>
      </c>
      <c r="W41" s="215">
        <f t="shared" si="61"/>
        <v>0.3705477027320504</v>
      </c>
      <c r="X41" s="215">
        <f t="shared" si="23"/>
        <v>0.16626766885288669</v>
      </c>
      <c r="Y41" s="219">
        <f t="shared" si="76"/>
        <v>6.1170711623753704E-2</v>
      </c>
      <c r="Z41" s="215">
        <f t="shared" si="62"/>
        <v>0.12234142324750741</v>
      </c>
      <c r="AA41" s="215">
        <f t="shared" si="25"/>
        <v>0.12234142324750741</v>
      </c>
      <c r="AB41" s="220">
        <f t="shared" si="63"/>
        <v>4.8071754182999138E-2</v>
      </c>
      <c r="AC41" s="219">
        <v>0</v>
      </c>
      <c r="AD41" s="215">
        <f t="shared" si="64"/>
        <v>3.5402889189534249E-2</v>
      </c>
      <c r="AE41" s="220">
        <f t="shared" si="27"/>
        <v>3.5402889189534249E-2</v>
      </c>
      <c r="AF41" s="58">
        <f t="shared" si="65"/>
        <v>6.8000000000000005E-3</v>
      </c>
      <c r="AG41" s="61">
        <f t="shared" si="66"/>
        <v>6.8000000000000005E-3</v>
      </c>
      <c r="AH41" s="58">
        <f t="shared" si="67"/>
        <v>2.0104773887007048E-5</v>
      </c>
      <c r="AI41" s="49">
        <f t="shared" si="68"/>
        <v>4.3468184521844849E-3</v>
      </c>
      <c r="AJ41" s="61">
        <f t="shared" si="45"/>
        <v>4.3669232260714922E-3</v>
      </c>
      <c r="AK41" s="219">
        <f t="shared" si="69"/>
        <v>0.34</v>
      </c>
      <c r="AL41" s="215">
        <f t="shared" si="13"/>
        <v>15</v>
      </c>
      <c r="AM41" s="220">
        <f t="shared" si="28"/>
        <v>2.2666666666666668E-2</v>
      </c>
      <c r="AN41" s="219">
        <f t="shared" si="77"/>
        <v>2</v>
      </c>
      <c r="AO41" s="215">
        <f t="shared" si="78"/>
        <v>0.3705477027320504</v>
      </c>
      <c r="AP41" s="215">
        <f t="shared" si="79"/>
        <v>6.1170711623753704E-2</v>
      </c>
      <c r="AQ41" s="215">
        <f t="shared" si="80"/>
        <v>0.12234142324750741</v>
      </c>
      <c r="AR41" s="215">
        <f t="shared" si="46"/>
        <v>0.12234142324750741</v>
      </c>
      <c r="AS41" s="220">
        <f t="shared" si="47"/>
        <v>4.2996684060338387E-2</v>
      </c>
      <c r="AT41" s="219"/>
      <c r="AU41" s="215">
        <f t="shared" si="81"/>
        <v>7.8710755555555564E-3</v>
      </c>
      <c r="AV41" s="220">
        <f t="shared" si="48"/>
        <v>7.8710755555555564E-3</v>
      </c>
      <c r="AW41" s="219">
        <f t="shared" si="82"/>
        <v>6.8148E-2</v>
      </c>
      <c r="AX41" s="215">
        <f t="shared" si="83"/>
        <v>6.8000000000000005E-3</v>
      </c>
      <c r="AY41" s="220">
        <f t="shared" si="49"/>
        <v>7.4948000000000001E-2</v>
      </c>
      <c r="AZ41" s="219">
        <f t="shared" si="70"/>
        <v>0</v>
      </c>
      <c r="BA41" s="215">
        <f t="shared" si="71"/>
        <v>0</v>
      </c>
      <c r="BB41" s="215">
        <f t="shared" si="50"/>
        <v>0</v>
      </c>
      <c r="BC41" s="61">
        <f t="shared" si="84"/>
        <v>0</v>
      </c>
      <c r="BD41" s="58">
        <v>0</v>
      </c>
      <c r="BE41" s="49">
        <f t="shared" si="85"/>
        <v>0</v>
      </c>
      <c r="BF41" s="61">
        <f t="shared" si="52"/>
        <v>0</v>
      </c>
      <c r="BG41" s="58">
        <f t="shared" si="86"/>
        <v>0</v>
      </c>
      <c r="BH41" s="49">
        <f t="shared" si="87"/>
        <v>0</v>
      </c>
      <c r="BI41" s="61">
        <f t="shared" si="88"/>
        <v>0</v>
      </c>
      <c r="BK41" s="219">
        <f t="shared" si="72"/>
        <v>0</v>
      </c>
      <c r="BL41" s="215">
        <f t="shared" si="18"/>
        <v>0</v>
      </c>
      <c r="BM41" s="215">
        <f t="shared" si="73"/>
        <v>0</v>
      </c>
      <c r="BN41" s="61">
        <f t="shared" si="89"/>
        <v>0</v>
      </c>
      <c r="BO41" s="58">
        <v>0</v>
      </c>
      <c r="BP41" s="49">
        <f t="shared" si="90"/>
        <v>0</v>
      </c>
      <c r="BQ41" s="61">
        <f t="shared" si="53"/>
        <v>0</v>
      </c>
      <c r="BR41" s="58">
        <f t="shared" si="91"/>
        <v>0</v>
      </c>
      <c r="BS41" s="49">
        <f t="shared" si="92"/>
        <v>0</v>
      </c>
      <c r="BT41" s="61">
        <f t="shared" si="55"/>
        <v>0</v>
      </c>
      <c r="BU41" s="58">
        <f t="shared" si="74"/>
        <v>4.6217871004613908E-5</v>
      </c>
      <c r="BV41" s="49">
        <f t="shared" si="21"/>
        <v>5.9629500000000002E-2</v>
      </c>
      <c r="BW41" s="61">
        <f t="shared" si="75"/>
        <v>5.4000000000000003E-3</v>
      </c>
      <c r="BX41" s="49">
        <f t="shared" si="56"/>
        <v>4.220288918953425E-2</v>
      </c>
      <c r="BY41" s="49">
        <f t="shared" si="43"/>
        <v>0.20126460584216591</v>
      </c>
      <c r="BZ41" s="49">
        <f t="shared" si="93"/>
        <v>62.815856852673058</v>
      </c>
    </row>
    <row r="42" spans="17:78" x14ac:dyDescent="0.25">
      <c r="Q42" s="49">
        <v>35</v>
      </c>
      <c r="R42" s="219">
        <f t="shared" si="57"/>
        <v>0.35000000000000003</v>
      </c>
      <c r="S42" s="215">
        <f t="shared" si="1"/>
        <v>12</v>
      </c>
      <c r="T42" s="220">
        <f t="shared" si="58"/>
        <v>2.9166666666666671E-2</v>
      </c>
      <c r="U42" s="219">
        <f t="shared" si="59"/>
        <v>1</v>
      </c>
      <c r="V42" s="215">
        <f t="shared" si="60"/>
        <v>0.46994680550036722</v>
      </c>
      <c r="W42" s="215">
        <f t="shared" si="61"/>
        <v>0.37595744440029377</v>
      </c>
      <c r="X42" s="215">
        <f t="shared" si="23"/>
        <v>0.15409575009933896</v>
      </c>
      <c r="Y42" s="219">
        <f t="shared" si="76"/>
        <v>6.2063761951976666E-2</v>
      </c>
      <c r="Z42" s="215">
        <f t="shared" si="62"/>
        <v>0.12412752390395332</v>
      </c>
      <c r="AA42" s="215">
        <f t="shared" si="25"/>
        <v>0.12412752390395332</v>
      </c>
      <c r="AB42" s="220">
        <f t="shared" si="63"/>
        <v>4.9128308973308554E-2</v>
      </c>
      <c r="AC42" s="219">
        <v>0</v>
      </c>
      <c r="AD42" s="215">
        <f t="shared" si="64"/>
        <v>3.6976210176277648E-2</v>
      </c>
      <c r="AE42" s="220">
        <f t="shared" si="27"/>
        <v>3.6976210176277648E-2</v>
      </c>
      <c r="AF42" s="58">
        <f t="shared" si="65"/>
        <v>7.000000000000001E-3</v>
      </c>
      <c r="AG42" s="61">
        <f t="shared" si="66"/>
        <v>7.000000000000001E-3</v>
      </c>
      <c r="AH42" s="58">
        <f t="shared" si="67"/>
        <v>2.0998239460418767E-5</v>
      </c>
      <c r="AI42" s="49">
        <f t="shared" si="68"/>
        <v>4.4102790126783007E-3</v>
      </c>
      <c r="AJ42" s="61">
        <f t="shared" si="45"/>
        <v>4.4312772521387196E-3</v>
      </c>
      <c r="AK42" s="219">
        <f t="shared" si="69"/>
        <v>0.35000000000000003</v>
      </c>
      <c r="AL42" s="215">
        <f t="shared" si="13"/>
        <v>15</v>
      </c>
      <c r="AM42" s="220">
        <f t="shared" si="28"/>
        <v>2.3333333333333334E-2</v>
      </c>
      <c r="AN42" s="219">
        <f t="shared" si="77"/>
        <v>2</v>
      </c>
      <c r="AO42" s="215">
        <f t="shared" si="78"/>
        <v>0.37595744440029377</v>
      </c>
      <c r="AP42" s="215">
        <f t="shared" si="79"/>
        <v>6.2063761951976666E-2</v>
      </c>
      <c r="AQ42" s="215">
        <f t="shared" si="80"/>
        <v>0.12412752390395332</v>
      </c>
      <c r="AR42" s="215">
        <f t="shared" si="46"/>
        <v>0.12412752390395332</v>
      </c>
      <c r="AS42" s="220">
        <f t="shared" si="47"/>
        <v>4.394169539357233E-2</v>
      </c>
      <c r="AT42" s="219"/>
      <c r="AU42" s="215">
        <f t="shared" si="81"/>
        <v>8.3408888888888907E-3</v>
      </c>
      <c r="AV42" s="220">
        <f t="shared" si="48"/>
        <v>8.3408888888888907E-3</v>
      </c>
      <c r="AW42" s="219">
        <f t="shared" si="82"/>
        <v>6.8148E-2</v>
      </c>
      <c r="AX42" s="215">
        <f t="shared" si="83"/>
        <v>7.0000000000000001E-3</v>
      </c>
      <c r="AY42" s="220">
        <f t="shared" si="49"/>
        <v>7.5148000000000006E-2</v>
      </c>
      <c r="AZ42" s="219">
        <f t="shared" si="70"/>
        <v>0</v>
      </c>
      <c r="BA42" s="215">
        <f t="shared" si="71"/>
        <v>0</v>
      </c>
      <c r="BB42" s="215">
        <f t="shared" si="50"/>
        <v>0</v>
      </c>
      <c r="BC42" s="61">
        <f t="shared" si="84"/>
        <v>0</v>
      </c>
      <c r="BD42" s="58">
        <v>0</v>
      </c>
      <c r="BE42" s="49">
        <f t="shared" si="85"/>
        <v>0</v>
      </c>
      <c r="BF42" s="61">
        <f t="shared" si="52"/>
        <v>0</v>
      </c>
      <c r="BG42" s="58">
        <f t="shared" si="86"/>
        <v>0</v>
      </c>
      <c r="BH42" s="49">
        <f t="shared" si="87"/>
        <v>0</v>
      </c>
      <c r="BI42" s="61">
        <f t="shared" si="88"/>
        <v>0</v>
      </c>
      <c r="BK42" s="219">
        <f t="shared" si="72"/>
        <v>0</v>
      </c>
      <c r="BL42" s="215">
        <f t="shared" si="18"/>
        <v>0</v>
      </c>
      <c r="BM42" s="215">
        <f t="shared" si="73"/>
        <v>0</v>
      </c>
      <c r="BN42" s="61">
        <f t="shared" si="89"/>
        <v>0</v>
      </c>
      <c r="BO42" s="58">
        <v>0</v>
      </c>
      <c r="BP42" s="49">
        <f t="shared" si="90"/>
        <v>0</v>
      </c>
      <c r="BQ42" s="61">
        <f t="shared" si="53"/>
        <v>0</v>
      </c>
      <c r="BR42" s="58">
        <f t="shared" si="91"/>
        <v>0</v>
      </c>
      <c r="BS42" s="49">
        <f t="shared" si="92"/>
        <v>0</v>
      </c>
      <c r="BT42" s="61">
        <f t="shared" si="55"/>
        <v>0</v>
      </c>
      <c r="BU42" s="58">
        <f t="shared" si="74"/>
        <v>4.82718148515374E-5</v>
      </c>
      <c r="BV42" s="49">
        <f t="shared" si="21"/>
        <v>5.9629500000000002E-2</v>
      </c>
      <c r="BW42" s="61">
        <f t="shared" si="75"/>
        <v>5.4000000000000003E-3</v>
      </c>
      <c r="BX42" s="49">
        <f t="shared" si="56"/>
        <v>4.3976210176277647E-2</v>
      </c>
      <c r="BY42" s="49">
        <f t="shared" si="43"/>
        <v>0.20397414813215681</v>
      </c>
      <c r="BZ42" s="49">
        <f t="shared" si="93"/>
        <v>63.179843532428436</v>
      </c>
    </row>
    <row r="43" spans="17:78" x14ac:dyDescent="0.25">
      <c r="Q43" s="49">
        <v>36</v>
      </c>
      <c r="R43" s="219">
        <f t="shared" si="57"/>
        <v>0.36</v>
      </c>
      <c r="S43" s="215">
        <f t="shared" si="1"/>
        <v>12</v>
      </c>
      <c r="T43" s="220">
        <f t="shared" si="58"/>
        <v>0.03</v>
      </c>
      <c r="U43" s="219">
        <f t="shared" si="59"/>
        <v>1</v>
      </c>
      <c r="V43" s="215">
        <f t="shared" si="60"/>
        <v>0.47661305059765197</v>
      </c>
      <c r="W43" s="215">
        <f t="shared" si="61"/>
        <v>0.38129044047812155</v>
      </c>
      <c r="X43" s="215">
        <f t="shared" si="23"/>
        <v>0.14209650892422643</v>
      </c>
      <c r="Y43" s="219">
        <f t="shared" si="76"/>
        <v>6.2944142973805087E-2</v>
      </c>
      <c r="Z43" s="215">
        <f t="shared" si="62"/>
        <v>0.12588828594761015</v>
      </c>
      <c r="AA43" s="215">
        <f t="shared" si="25"/>
        <v>0.12588828594761015</v>
      </c>
      <c r="AB43" s="220">
        <f t="shared" si="63"/>
        <v>5.0177342685241939E-2</v>
      </c>
      <c r="AC43" s="219">
        <v>0</v>
      </c>
      <c r="AD43" s="215">
        <f t="shared" si="64"/>
        <v>3.8572170814347745E-2</v>
      </c>
      <c r="AE43" s="220">
        <f t="shared" si="27"/>
        <v>3.8572170814347745E-2</v>
      </c>
      <c r="AF43" s="58">
        <f t="shared" si="65"/>
        <v>7.1999999999999998E-3</v>
      </c>
      <c r="AG43" s="61">
        <f t="shared" si="66"/>
        <v>7.1999999999999998E-3</v>
      </c>
      <c r="AH43" s="58">
        <f t="shared" si="67"/>
        <v>2.1904561754884162E-5</v>
      </c>
      <c r="AI43" s="49">
        <f t="shared" si="68"/>
        <v>4.4728392865259377E-3</v>
      </c>
      <c r="AJ43" s="61">
        <f t="shared" si="45"/>
        <v>4.4947438482808222E-3</v>
      </c>
      <c r="AK43" s="219">
        <f t="shared" si="69"/>
        <v>0.36</v>
      </c>
      <c r="AL43" s="215">
        <f t="shared" si="13"/>
        <v>15</v>
      </c>
      <c r="AM43" s="220">
        <f t="shared" si="28"/>
        <v>2.4E-2</v>
      </c>
      <c r="AN43" s="219">
        <f t="shared" si="77"/>
        <v>2</v>
      </c>
      <c r="AO43" s="215">
        <f t="shared" si="78"/>
        <v>0.38129044047812155</v>
      </c>
      <c r="AP43" s="215">
        <f t="shared" si="79"/>
        <v>6.2944142973805087E-2</v>
      </c>
      <c r="AQ43" s="215">
        <f t="shared" si="80"/>
        <v>0.12588828594761015</v>
      </c>
      <c r="AR43" s="215">
        <f t="shared" si="46"/>
        <v>0.12588828594761015</v>
      </c>
      <c r="AS43" s="220">
        <f t="shared" si="47"/>
        <v>4.4879979669801125E-2</v>
      </c>
      <c r="AT43" s="219"/>
      <c r="AU43" s="215">
        <f t="shared" si="81"/>
        <v>8.8243200000000001E-3</v>
      </c>
      <c r="AV43" s="220">
        <f t="shared" si="48"/>
        <v>8.8243200000000001E-3</v>
      </c>
      <c r="AW43" s="219">
        <f t="shared" si="82"/>
        <v>6.8148E-2</v>
      </c>
      <c r="AX43" s="215">
        <f t="shared" si="83"/>
        <v>7.1999999999999998E-3</v>
      </c>
      <c r="AY43" s="220">
        <f t="shared" si="49"/>
        <v>7.5347999999999998E-2</v>
      </c>
      <c r="AZ43" s="219">
        <f t="shared" si="70"/>
        <v>0</v>
      </c>
      <c r="BA43" s="215">
        <f t="shared" si="71"/>
        <v>0</v>
      </c>
      <c r="BB43" s="215">
        <f t="shared" si="50"/>
        <v>0</v>
      </c>
      <c r="BC43" s="61">
        <f t="shared" si="84"/>
        <v>0</v>
      </c>
      <c r="BD43" s="58">
        <v>0</v>
      </c>
      <c r="BE43" s="49">
        <f t="shared" si="85"/>
        <v>0</v>
      </c>
      <c r="BF43" s="61">
        <f t="shared" si="52"/>
        <v>0</v>
      </c>
      <c r="BG43" s="58">
        <f t="shared" si="86"/>
        <v>0</v>
      </c>
      <c r="BH43" s="49">
        <f t="shared" si="87"/>
        <v>0</v>
      </c>
      <c r="BI43" s="61">
        <f t="shared" si="88"/>
        <v>0</v>
      </c>
      <c r="BK43" s="219">
        <f t="shared" si="72"/>
        <v>0</v>
      </c>
      <c r="BL43" s="215">
        <f t="shared" si="18"/>
        <v>0</v>
      </c>
      <c r="BM43" s="215">
        <f t="shared" si="73"/>
        <v>0</v>
      </c>
      <c r="BN43" s="61">
        <f t="shared" si="89"/>
        <v>0</v>
      </c>
      <c r="BO43" s="58">
        <v>0</v>
      </c>
      <c r="BP43" s="49">
        <f t="shared" si="90"/>
        <v>0</v>
      </c>
      <c r="BQ43" s="61">
        <f t="shared" si="53"/>
        <v>0</v>
      </c>
      <c r="BR43" s="58">
        <f t="shared" si="91"/>
        <v>0</v>
      </c>
      <c r="BS43" s="49">
        <f t="shared" si="92"/>
        <v>0</v>
      </c>
      <c r="BT43" s="61">
        <f t="shared" si="55"/>
        <v>0</v>
      </c>
      <c r="BU43" s="58">
        <f t="shared" si="74"/>
        <v>5.035531437904406E-5</v>
      </c>
      <c r="BV43" s="49">
        <f t="shared" si="21"/>
        <v>5.9629500000000002E-2</v>
      </c>
      <c r="BW43" s="61">
        <f t="shared" si="75"/>
        <v>5.4000000000000003E-3</v>
      </c>
      <c r="BX43" s="49">
        <f t="shared" si="56"/>
        <v>4.5772170814347743E-2</v>
      </c>
      <c r="BY43" s="49">
        <f t="shared" si="43"/>
        <v>0.20671908997700764</v>
      </c>
      <c r="BZ43" s="49">
        <f t="shared" si="93"/>
        <v>63.523535092951533</v>
      </c>
    </row>
    <row r="44" spans="17:78" x14ac:dyDescent="0.25">
      <c r="Q44" s="49">
        <v>37</v>
      </c>
      <c r="R44" s="219">
        <f t="shared" si="57"/>
        <v>0.37</v>
      </c>
      <c r="S44" s="215">
        <f t="shared" si="1"/>
        <v>12</v>
      </c>
      <c r="T44" s="220">
        <f t="shared" si="58"/>
        <v>3.0833333333333334E-2</v>
      </c>
      <c r="U44" s="219">
        <f t="shared" si="59"/>
        <v>1</v>
      </c>
      <c r="V44" s="215">
        <f t="shared" si="60"/>
        <v>0.48318733427108784</v>
      </c>
      <c r="W44" s="215">
        <f t="shared" si="61"/>
        <v>0.38654986741687031</v>
      </c>
      <c r="X44" s="215">
        <f t="shared" si="23"/>
        <v>0.13026279831204185</v>
      </c>
      <c r="Y44" s="219">
        <f t="shared" si="76"/>
        <v>6.3812379063799246E-2</v>
      </c>
      <c r="Z44" s="215">
        <f t="shared" si="62"/>
        <v>0.12762475812759849</v>
      </c>
      <c r="AA44" s="215">
        <f t="shared" si="25"/>
        <v>0.12762475812759849</v>
      </c>
      <c r="AB44" s="220">
        <f t="shared" si="63"/>
        <v>5.1219115630360031E-2</v>
      </c>
      <c r="AC44" s="219">
        <v>0</v>
      </c>
      <c r="AD44" s="215">
        <f t="shared" si="64"/>
        <v>4.0190454387248851E-2</v>
      </c>
      <c r="AE44" s="220">
        <f t="shared" si="27"/>
        <v>4.0190454387248851E-2</v>
      </c>
      <c r="AF44" s="58">
        <f t="shared" si="65"/>
        <v>7.4000000000000003E-3</v>
      </c>
      <c r="AG44" s="61">
        <f t="shared" si="66"/>
        <v>7.4000000000000003E-3</v>
      </c>
      <c r="AH44" s="58">
        <f t="shared" si="67"/>
        <v>2.2823560911818862E-5</v>
      </c>
      <c r="AI44" s="49">
        <f t="shared" si="68"/>
        <v>4.5345365360209651E-3</v>
      </c>
      <c r="AJ44" s="61">
        <f t="shared" si="45"/>
        <v>4.5573600969327837E-3</v>
      </c>
      <c r="AK44" s="219">
        <f t="shared" si="69"/>
        <v>0.37</v>
      </c>
      <c r="AL44" s="215">
        <f t="shared" si="13"/>
        <v>15</v>
      </c>
      <c r="AM44" s="220">
        <f t="shared" si="28"/>
        <v>2.4666666666666667E-2</v>
      </c>
      <c r="AN44" s="219">
        <f t="shared" si="77"/>
        <v>2</v>
      </c>
      <c r="AO44" s="215">
        <f t="shared" si="78"/>
        <v>0.38654986741687025</v>
      </c>
      <c r="AP44" s="215">
        <f t="shared" si="79"/>
        <v>6.3812379063799246E-2</v>
      </c>
      <c r="AQ44" s="215">
        <f t="shared" si="80"/>
        <v>0.12762475812759849</v>
      </c>
      <c r="AR44" s="215">
        <f t="shared" si="46"/>
        <v>0.12762475812759849</v>
      </c>
      <c r="AS44" s="220">
        <f t="shared" si="47"/>
        <v>4.5811769718762815E-2</v>
      </c>
      <c r="AT44" s="219"/>
      <c r="AU44" s="215">
        <f t="shared" si="81"/>
        <v>9.3213688888888896E-3</v>
      </c>
      <c r="AV44" s="220">
        <f t="shared" si="48"/>
        <v>9.3213688888888896E-3</v>
      </c>
      <c r="AW44" s="219">
        <f t="shared" si="82"/>
        <v>6.8148E-2</v>
      </c>
      <c r="AX44" s="215">
        <f t="shared" si="83"/>
        <v>7.3999999999999995E-3</v>
      </c>
      <c r="AY44" s="220">
        <f t="shared" si="49"/>
        <v>7.5548000000000004E-2</v>
      </c>
      <c r="AZ44" s="219">
        <f t="shared" si="70"/>
        <v>0</v>
      </c>
      <c r="BA44" s="215">
        <f t="shared" si="71"/>
        <v>0</v>
      </c>
      <c r="BB44" s="215">
        <f t="shared" si="50"/>
        <v>0</v>
      </c>
      <c r="BC44" s="61">
        <f t="shared" si="84"/>
        <v>0</v>
      </c>
      <c r="BD44" s="58">
        <v>0</v>
      </c>
      <c r="BE44" s="49">
        <f t="shared" si="85"/>
        <v>0</v>
      </c>
      <c r="BF44" s="61">
        <f t="shared" si="52"/>
        <v>0</v>
      </c>
      <c r="BG44" s="58">
        <f t="shared" si="86"/>
        <v>0</v>
      </c>
      <c r="BH44" s="49">
        <f t="shared" si="87"/>
        <v>0</v>
      </c>
      <c r="BI44" s="61">
        <f t="shared" si="88"/>
        <v>0</v>
      </c>
      <c r="BK44" s="219">
        <f t="shared" si="72"/>
        <v>0</v>
      </c>
      <c r="BL44" s="215">
        <f t="shared" si="18"/>
        <v>0</v>
      </c>
      <c r="BM44" s="215">
        <f t="shared" si="73"/>
        <v>0</v>
      </c>
      <c r="BN44" s="61">
        <f t="shared" si="89"/>
        <v>0</v>
      </c>
      <c r="BO44" s="58">
        <v>0</v>
      </c>
      <c r="BP44" s="49">
        <f t="shared" si="90"/>
        <v>0</v>
      </c>
      <c r="BQ44" s="61">
        <f t="shared" si="53"/>
        <v>0</v>
      </c>
      <c r="BR44" s="58">
        <f t="shared" si="91"/>
        <v>0</v>
      </c>
      <c r="BS44" s="49">
        <f t="shared" si="92"/>
        <v>0</v>
      </c>
      <c r="BT44" s="61">
        <f t="shared" si="55"/>
        <v>0</v>
      </c>
      <c r="BU44" s="58">
        <f t="shared" si="74"/>
        <v>5.246795611912382E-5</v>
      </c>
      <c r="BV44" s="49">
        <f t="shared" si="21"/>
        <v>5.9629500000000002E-2</v>
      </c>
      <c r="BW44" s="61">
        <f t="shared" si="75"/>
        <v>5.4000000000000003E-3</v>
      </c>
      <c r="BX44" s="49">
        <f t="shared" si="56"/>
        <v>4.7590454387248848E-2</v>
      </c>
      <c r="BY44" s="49">
        <f t="shared" si="43"/>
        <v>0.20949915132918967</v>
      </c>
      <c r="BZ44" s="49">
        <f t="shared" si="93"/>
        <v>63.84823845752593</v>
      </c>
    </row>
    <row r="45" spans="17:78" x14ac:dyDescent="0.25">
      <c r="Q45" s="49">
        <v>38</v>
      </c>
      <c r="R45" s="219">
        <f t="shared" si="57"/>
        <v>0.38</v>
      </c>
      <c r="S45" s="215">
        <f t="shared" si="1"/>
        <v>12</v>
      </c>
      <c r="T45" s="220">
        <f t="shared" si="58"/>
        <v>3.1666666666666669E-2</v>
      </c>
      <c r="U45" s="219">
        <f t="shared" si="59"/>
        <v>1</v>
      </c>
      <c r="V45" s="215">
        <f t="shared" si="60"/>
        <v>0.4896733605169879</v>
      </c>
      <c r="W45" s="215">
        <f t="shared" si="61"/>
        <v>0.39173868841359033</v>
      </c>
      <c r="X45" s="215">
        <f t="shared" si="23"/>
        <v>0.11858795106942183</v>
      </c>
      <c r="Y45" s="219">
        <f t="shared" si="76"/>
        <v>6.4668959392100878E-2</v>
      </c>
      <c r="Z45" s="215">
        <f t="shared" si="62"/>
        <v>0.12933791878420178</v>
      </c>
      <c r="AA45" s="215">
        <f t="shared" si="25"/>
        <v>0.12933791878420176</v>
      </c>
      <c r="AB45" s="220">
        <f t="shared" si="63"/>
        <v>5.2253872338164073E-2</v>
      </c>
      <c r="AC45" s="219">
        <v>0</v>
      </c>
      <c r="AD45" s="215">
        <f t="shared" si="64"/>
        <v>4.1830757110783837E-2</v>
      </c>
      <c r="AE45" s="220">
        <f t="shared" si="27"/>
        <v>4.1830757110783837E-2</v>
      </c>
      <c r="AF45" s="58">
        <f t="shared" si="65"/>
        <v>7.6E-3</v>
      </c>
      <c r="AG45" s="61">
        <f t="shared" si="66"/>
        <v>7.6E-3</v>
      </c>
      <c r="AH45" s="58">
        <f t="shared" si="67"/>
        <v>2.3755064416698391E-5</v>
      </c>
      <c r="AI45" s="49">
        <f t="shared" si="68"/>
        <v>4.5954055218150412E-3</v>
      </c>
      <c r="AJ45" s="61">
        <f t="shared" si="45"/>
        <v>4.6191605862317391E-3</v>
      </c>
      <c r="AK45" s="219">
        <f t="shared" si="69"/>
        <v>0.38</v>
      </c>
      <c r="AL45" s="215">
        <f t="shared" si="13"/>
        <v>15</v>
      </c>
      <c r="AM45" s="220">
        <f t="shared" si="28"/>
        <v>2.5333333333333333E-2</v>
      </c>
      <c r="AN45" s="219">
        <f t="shared" si="77"/>
        <v>2</v>
      </c>
      <c r="AO45" s="215">
        <f t="shared" si="78"/>
        <v>0.39173868841359033</v>
      </c>
      <c r="AP45" s="215">
        <f t="shared" si="79"/>
        <v>6.4668959392100878E-2</v>
      </c>
      <c r="AQ45" s="215">
        <f t="shared" si="80"/>
        <v>0.12933791878420178</v>
      </c>
      <c r="AR45" s="215">
        <f t="shared" si="46"/>
        <v>0.12933791878420176</v>
      </c>
      <c r="AS45" s="220">
        <f t="shared" si="47"/>
        <v>4.6737284254292286E-2</v>
      </c>
      <c r="AT45" s="219"/>
      <c r="AU45" s="215">
        <f t="shared" si="81"/>
        <v>9.8320355555555558E-3</v>
      </c>
      <c r="AV45" s="220">
        <f t="shared" si="48"/>
        <v>9.8320355555555558E-3</v>
      </c>
      <c r="AW45" s="219">
        <f t="shared" si="82"/>
        <v>6.8148E-2</v>
      </c>
      <c r="AX45" s="215">
        <f t="shared" si="83"/>
        <v>7.5999999999999991E-3</v>
      </c>
      <c r="AY45" s="220">
        <f t="shared" si="49"/>
        <v>7.5747999999999996E-2</v>
      </c>
      <c r="AZ45" s="219">
        <f t="shared" si="70"/>
        <v>0</v>
      </c>
      <c r="BA45" s="215">
        <f t="shared" si="71"/>
        <v>0</v>
      </c>
      <c r="BB45" s="215">
        <f t="shared" si="50"/>
        <v>0</v>
      </c>
      <c r="BC45" s="61">
        <f t="shared" si="84"/>
        <v>0</v>
      </c>
      <c r="BD45" s="58">
        <v>0</v>
      </c>
      <c r="BE45" s="49">
        <f t="shared" si="85"/>
        <v>0</v>
      </c>
      <c r="BF45" s="61">
        <f t="shared" si="52"/>
        <v>0</v>
      </c>
      <c r="BG45" s="58">
        <f t="shared" si="86"/>
        <v>0</v>
      </c>
      <c r="BH45" s="49">
        <f t="shared" si="87"/>
        <v>0</v>
      </c>
      <c r="BI45" s="61">
        <f t="shared" si="88"/>
        <v>0</v>
      </c>
      <c r="BK45" s="219">
        <f t="shared" si="72"/>
        <v>0</v>
      </c>
      <c r="BL45" s="215">
        <f t="shared" si="18"/>
        <v>0</v>
      </c>
      <c r="BM45" s="215">
        <f t="shared" si="73"/>
        <v>0</v>
      </c>
      <c r="BN45" s="61">
        <f t="shared" si="89"/>
        <v>0</v>
      </c>
      <c r="BO45" s="58">
        <v>0</v>
      </c>
      <c r="BP45" s="49">
        <f t="shared" si="90"/>
        <v>0</v>
      </c>
      <c r="BQ45" s="61">
        <f t="shared" si="53"/>
        <v>0</v>
      </c>
      <c r="BR45" s="58">
        <f t="shared" si="91"/>
        <v>0</v>
      </c>
      <c r="BS45" s="49">
        <f t="shared" si="92"/>
        <v>0</v>
      </c>
      <c r="BT45" s="61">
        <f t="shared" si="55"/>
        <v>0</v>
      </c>
      <c r="BU45" s="58">
        <f t="shared" si="74"/>
        <v>5.4609343486662973E-5</v>
      </c>
      <c r="BV45" s="49">
        <f t="shared" si="21"/>
        <v>5.9629500000000002E-2</v>
      </c>
      <c r="BW45" s="61">
        <f t="shared" si="75"/>
        <v>5.4000000000000003E-3</v>
      </c>
      <c r="BX45" s="49">
        <f t="shared" si="56"/>
        <v>4.9430757110783839E-2</v>
      </c>
      <c r="BY45" s="49">
        <f t="shared" si="43"/>
        <v>0.21231406259605778</v>
      </c>
      <c r="BZ45" s="49">
        <f t="shared" si="93"/>
        <v>64.155154165088561</v>
      </c>
    </row>
    <row r="46" spans="17:78" x14ac:dyDescent="0.25">
      <c r="Q46" s="49">
        <v>39</v>
      </c>
      <c r="R46" s="219">
        <f t="shared" si="57"/>
        <v>0.39</v>
      </c>
      <c r="S46" s="215">
        <f t="shared" si="1"/>
        <v>12</v>
      </c>
      <c r="T46" s="220">
        <f t="shared" si="58"/>
        <v>3.2500000000000001E-2</v>
      </c>
      <c r="U46" s="219">
        <f t="shared" si="59"/>
        <v>1</v>
      </c>
      <c r="V46" s="215">
        <f t="shared" si="60"/>
        <v>0.49607459116548192</v>
      </c>
      <c r="W46" s="215">
        <f t="shared" si="61"/>
        <v>0.3968596729323855</v>
      </c>
      <c r="X46" s="215">
        <f t="shared" si="23"/>
        <v>0.10706573590213259</v>
      </c>
      <c r="Y46" s="219">
        <f t="shared" si="76"/>
        <v>6.5514341147052554E-2</v>
      </c>
      <c r="Z46" s="215">
        <f t="shared" si="62"/>
        <v>0.13102868229410511</v>
      </c>
      <c r="AA46" s="215">
        <f t="shared" si="25"/>
        <v>0.13102868229410511</v>
      </c>
      <c r="AB46" s="220">
        <f t="shared" si="63"/>
        <v>5.3281842902051957E-2</v>
      </c>
      <c r="AC46" s="219">
        <v>0</v>
      </c>
      <c r="AD46" s="215">
        <f t="shared" si="64"/>
        <v>4.349278727615663E-2</v>
      </c>
      <c r="AE46" s="220">
        <f t="shared" si="27"/>
        <v>4.349278727615663E-2</v>
      </c>
      <c r="AF46" s="58">
        <f t="shared" si="65"/>
        <v>7.8000000000000005E-3</v>
      </c>
      <c r="AG46" s="61">
        <f t="shared" si="66"/>
        <v>7.8000000000000005E-3</v>
      </c>
      <c r="AH46" s="58">
        <f t="shared" si="67"/>
        <v>2.4698906612438815E-5</v>
      </c>
      <c r="AI46" s="49">
        <f t="shared" si="68"/>
        <v>4.6554787319186995E-3</v>
      </c>
      <c r="AJ46" s="61">
        <f t="shared" si="45"/>
        <v>4.6801776385311383E-3</v>
      </c>
      <c r="AK46" s="219">
        <f t="shared" si="69"/>
        <v>0.39</v>
      </c>
      <c r="AL46" s="215">
        <f t="shared" si="13"/>
        <v>15</v>
      </c>
      <c r="AM46" s="220">
        <f t="shared" si="28"/>
        <v>2.6000000000000002E-2</v>
      </c>
      <c r="AN46" s="219">
        <f t="shared" si="77"/>
        <v>2</v>
      </c>
      <c r="AO46" s="215">
        <f t="shared" si="78"/>
        <v>0.3968596729323855</v>
      </c>
      <c r="AP46" s="215">
        <f t="shared" si="79"/>
        <v>6.5514341147052554E-2</v>
      </c>
      <c r="AQ46" s="215">
        <f t="shared" si="80"/>
        <v>0.13102868229410511</v>
      </c>
      <c r="AR46" s="215">
        <f t="shared" si="46"/>
        <v>0.13102868229410511</v>
      </c>
      <c r="AS46" s="220">
        <f t="shared" si="47"/>
        <v>4.7656729078181137E-2</v>
      </c>
      <c r="AT46" s="219"/>
      <c r="AU46" s="215">
        <f t="shared" si="81"/>
        <v>1.0356320000000002E-2</v>
      </c>
      <c r="AV46" s="220">
        <f t="shared" si="48"/>
        <v>1.0356320000000002E-2</v>
      </c>
      <c r="AW46" s="219">
        <f t="shared" si="82"/>
        <v>6.8148E-2</v>
      </c>
      <c r="AX46" s="215">
        <f t="shared" si="83"/>
        <v>7.8000000000000005E-3</v>
      </c>
      <c r="AY46" s="220">
        <f t="shared" si="49"/>
        <v>7.5948000000000002E-2</v>
      </c>
      <c r="AZ46" s="219">
        <f t="shared" si="70"/>
        <v>0</v>
      </c>
      <c r="BA46" s="215">
        <f t="shared" si="71"/>
        <v>0</v>
      </c>
      <c r="BB46" s="215">
        <f t="shared" si="50"/>
        <v>0</v>
      </c>
      <c r="BC46" s="61">
        <f t="shared" si="84"/>
        <v>0</v>
      </c>
      <c r="BD46" s="58">
        <v>0</v>
      </c>
      <c r="BE46" s="49">
        <f t="shared" si="85"/>
        <v>0</v>
      </c>
      <c r="BF46" s="61">
        <f t="shared" si="52"/>
        <v>0</v>
      </c>
      <c r="BG46" s="58">
        <f t="shared" si="86"/>
        <v>0</v>
      </c>
      <c r="BH46" s="49">
        <f t="shared" si="87"/>
        <v>0</v>
      </c>
      <c r="BI46" s="61">
        <f t="shared" si="88"/>
        <v>0</v>
      </c>
      <c r="BK46" s="219">
        <f t="shared" si="72"/>
        <v>0</v>
      </c>
      <c r="BL46" s="215">
        <f t="shared" si="18"/>
        <v>0</v>
      </c>
      <c r="BM46" s="215">
        <f t="shared" si="73"/>
        <v>0</v>
      </c>
      <c r="BN46" s="61">
        <f t="shared" si="89"/>
        <v>0</v>
      </c>
      <c r="BO46" s="58">
        <v>0</v>
      </c>
      <c r="BP46" s="49">
        <f t="shared" si="90"/>
        <v>0</v>
      </c>
      <c r="BQ46" s="61">
        <f t="shared" si="53"/>
        <v>0</v>
      </c>
      <c r="BR46" s="58">
        <f t="shared" si="91"/>
        <v>0</v>
      </c>
      <c r="BS46" s="49">
        <f t="shared" si="92"/>
        <v>0</v>
      </c>
      <c r="BT46" s="61">
        <f t="shared" si="55"/>
        <v>0</v>
      </c>
      <c r="BU46" s="58">
        <f t="shared" si="74"/>
        <v>5.6779095660778886E-5</v>
      </c>
      <c r="BV46" s="49">
        <f t="shared" si="21"/>
        <v>5.9629500000000002E-2</v>
      </c>
      <c r="BW46" s="61">
        <f t="shared" si="75"/>
        <v>5.4000000000000003E-3</v>
      </c>
      <c r="BX46" s="49">
        <f t="shared" si="56"/>
        <v>5.1292787276156632E-2</v>
      </c>
      <c r="BY46" s="49">
        <f t="shared" si="43"/>
        <v>0.21516356401034858</v>
      </c>
      <c r="BZ46" s="49">
        <f t="shared" si="93"/>
        <v>64.445386866240824</v>
      </c>
    </row>
    <row r="47" spans="17:78" x14ac:dyDescent="0.25">
      <c r="Q47" s="49">
        <v>40</v>
      </c>
      <c r="R47" s="219">
        <f t="shared" si="57"/>
        <v>0.4</v>
      </c>
      <c r="S47" s="215">
        <f t="shared" si="1"/>
        <v>12</v>
      </c>
      <c r="T47" s="220">
        <f t="shared" si="58"/>
        <v>3.3333333333333333E-2</v>
      </c>
      <c r="U47" s="219">
        <f t="shared" si="59"/>
        <v>1</v>
      </c>
      <c r="V47" s="215">
        <f t="shared" si="60"/>
        <v>0.5023942674832188</v>
      </c>
      <c r="W47" s="215">
        <f t="shared" si="61"/>
        <v>0.40191541398657499</v>
      </c>
      <c r="X47" s="215">
        <f t="shared" si="23"/>
        <v>9.5690318530206209E-2</v>
      </c>
      <c r="Y47" s="219">
        <f t="shared" si="76"/>
        <v>6.6348952388169416E-2</v>
      </c>
      <c r="Z47" s="215">
        <f t="shared" si="62"/>
        <v>0.13269790477633883</v>
      </c>
      <c r="AA47" s="215">
        <f t="shared" si="25"/>
        <v>0.13269790477633883</v>
      </c>
      <c r="AB47" s="220">
        <f t="shared" si="63"/>
        <v>5.4303244178990684E-2</v>
      </c>
      <c r="AC47" s="219">
        <v>0</v>
      </c>
      <c r="AD47" s="215">
        <f t="shared" si="64"/>
        <v>4.5176264470522469E-2</v>
      </c>
      <c r="AE47" s="220">
        <f t="shared" si="27"/>
        <v>4.5176264470522469E-2</v>
      </c>
      <c r="AF47" s="58">
        <f t="shared" si="65"/>
        <v>8.0000000000000002E-3</v>
      </c>
      <c r="AG47" s="61">
        <f t="shared" si="66"/>
        <v>8.0000000000000002E-3</v>
      </c>
      <c r="AH47" s="58">
        <f t="shared" si="67"/>
        <v>2.5654928256758841E-5</v>
      </c>
      <c r="AI47" s="49">
        <f t="shared" si="68"/>
        <v>4.7147865844348142E-3</v>
      </c>
      <c r="AJ47" s="61">
        <f t="shared" si="45"/>
        <v>4.740441512691573E-3</v>
      </c>
      <c r="AK47" s="219">
        <f t="shared" si="69"/>
        <v>0.4</v>
      </c>
      <c r="AL47" s="215">
        <f t="shared" si="13"/>
        <v>15</v>
      </c>
      <c r="AM47" s="220">
        <f t="shared" si="28"/>
        <v>2.6666666666666668E-2</v>
      </c>
      <c r="AN47" s="219">
        <f t="shared" si="77"/>
        <v>2</v>
      </c>
      <c r="AO47" s="215">
        <f t="shared" si="78"/>
        <v>0.40191541398657504</v>
      </c>
      <c r="AP47" s="215">
        <f t="shared" si="79"/>
        <v>6.6348952388169416E-2</v>
      </c>
      <c r="AQ47" s="215">
        <f t="shared" si="80"/>
        <v>0.13269790477633883</v>
      </c>
      <c r="AR47" s="215">
        <f t="shared" si="46"/>
        <v>0.13269790477633883</v>
      </c>
      <c r="AS47" s="220">
        <f t="shared" si="47"/>
        <v>4.8570298153197168E-2</v>
      </c>
      <c r="AT47" s="219"/>
      <c r="AU47" s="215">
        <f t="shared" si="81"/>
        <v>1.0894222222222225E-2</v>
      </c>
      <c r="AV47" s="220">
        <f t="shared" si="48"/>
        <v>1.0894222222222225E-2</v>
      </c>
      <c r="AW47" s="219">
        <f t="shared" si="82"/>
        <v>6.8148E-2</v>
      </c>
      <c r="AX47" s="215">
        <f t="shared" si="83"/>
        <v>8.0000000000000002E-3</v>
      </c>
      <c r="AY47" s="220">
        <f t="shared" si="49"/>
        <v>7.6147999999999993E-2</v>
      </c>
      <c r="AZ47" s="219">
        <f t="shared" si="70"/>
        <v>0</v>
      </c>
      <c r="BA47" s="215">
        <f t="shared" si="71"/>
        <v>0</v>
      </c>
      <c r="BB47" s="215">
        <f t="shared" si="50"/>
        <v>0</v>
      </c>
      <c r="BC47" s="61">
        <f t="shared" si="84"/>
        <v>0</v>
      </c>
      <c r="BD47" s="58">
        <v>0</v>
      </c>
      <c r="BE47" s="49">
        <f t="shared" si="85"/>
        <v>0</v>
      </c>
      <c r="BF47" s="61">
        <f t="shared" si="52"/>
        <v>0</v>
      </c>
      <c r="BG47" s="58">
        <f t="shared" si="86"/>
        <v>0</v>
      </c>
      <c r="BH47" s="49">
        <f t="shared" si="87"/>
        <v>0</v>
      </c>
      <c r="BI47" s="61">
        <f t="shared" si="88"/>
        <v>0</v>
      </c>
      <c r="BK47" s="219">
        <f t="shared" si="72"/>
        <v>0</v>
      </c>
      <c r="BL47" s="215">
        <f t="shared" si="18"/>
        <v>0</v>
      </c>
      <c r="BM47" s="215">
        <f t="shared" si="73"/>
        <v>0</v>
      </c>
      <c r="BN47" s="61">
        <f t="shared" si="89"/>
        <v>0</v>
      </c>
      <c r="BO47" s="58">
        <v>0</v>
      </c>
      <c r="BP47" s="49">
        <f t="shared" si="90"/>
        <v>0</v>
      </c>
      <c r="BQ47" s="61">
        <f t="shared" si="53"/>
        <v>0</v>
      </c>
      <c r="BR47" s="58">
        <f t="shared" si="91"/>
        <v>0</v>
      </c>
      <c r="BS47" s="49">
        <f t="shared" si="92"/>
        <v>0</v>
      </c>
      <c r="BT47" s="61">
        <f t="shared" si="55"/>
        <v>0</v>
      </c>
      <c r="BU47" s="58">
        <f t="shared" si="74"/>
        <v>5.8976846567261712E-5</v>
      </c>
      <c r="BV47" s="49">
        <f t="shared" si="21"/>
        <v>5.9629500000000002E-2</v>
      </c>
      <c r="BW47" s="61">
        <f t="shared" si="75"/>
        <v>5.4000000000000003E-3</v>
      </c>
      <c r="BX47" s="49">
        <f t="shared" si="56"/>
        <v>5.3176264470522469E-2</v>
      </c>
      <c r="BY47" s="49">
        <f t="shared" si="43"/>
        <v>0.21804740505200354</v>
      </c>
      <c r="BZ47" s="49">
        <f t="shared" si="93"/>
        <v>64.719954607097392</v>
      </c>
    </row>
    <row r="48" spans="17:78" x14ac:dyDescent="0.25">
      <c r="Q48" s="49">
        <v>41</v>
      </c>
      <c r="R48" s="219">
        <f t="shared" si="57"/>
        <v>0.41000000000000003</v>
      </c>
      <c r="S48" s="215">
        <f t="shared" si="1"/>
        <v>12</v>
      </c>
      <c r="T48" s="220">
        <f t="shared" si="58"/>
        <v>3.4166666666666672E-2</v>
      </c>
      <c r="U48" s="219">
        <f t="shared" si="59"/>
        <v>1</v>
      </c>
      <c r="V48" s="215">
        <f t="shared" si="60"/>
        <v>0.50863542935977235</v>
      </c>
      <c r="W48" s="215">
        <f t="shared" si="61"/>
        <v>0.4069083434878179</v>
      </c>
      <c r="X48" s="215">
        <f t="shared" si="23"/>
        <v>8.4456227152409746E-2</v>
      </c>
      <c r="Y48" s="219">
        <f t="shared" si="76"/>
        <v>6.7173194580001649E-2</v>
      </c>
      <c r="Z48" s="215">
        <f t="shared" si="62"/>
        <v>0.13434638916000327</v>
      </c>
      <c r="AA48" s="215">
        <f t="shared" si="25"/>
        <v>0.1343463891600033</v>
      </c>
      <c r="AB48" s="220">
        <f t="shared" si="63"/>
        <v>5.5318280862056882E-2</v>
      </c>
      <c r="AC48" s="219">
        <v>0</v>
      </c>
      <c r="AD48" s="215">
        <f t="shared" si="64"/>
        <v>4.6880918866211825E-2</v>
      </c>
      <c r="AE48" s="220">
        <f t="shared" si="27"/>
        <v>4.6880918866211825E-2</v>
      </c>
      <c r="AF48" s="58">
        <f t="shared" si="65"/>
        <v>8.2000000000000007E-3</v>
      </c>
      <c r="AG48" s="61">
        <f t="shared" si="66"/>
        <v>8.2000000000000007E-3</v>
      </c>
      <c r="AH48" s="58">
        <f t="shared" si="67"/>
        <v>2.6622976118540655E-5</v>
      </c>
      <c r="AI48" s="49">
        <f t="shared" si="68"/>
        <v>4.7733576076160128E-3</v>
      </c>
      <c r="AJ48" s="61">
        <f t="shared" si="45"/>
        <v>4.7999805837345534E-3</v>
      </c>
      <c r="AK48" s="219">
        <f t="shared" si="69"/>
        <v>0.41000000000000003</v>
      </c>
      <c r="AL48" s="215">
        <f t="shared" si="13"/>
        <v>15</v>
      </c>
      <c r="AM48" s="220">
        <f t="shared" si="28"/>
        <v>2.7333333333333334E-2</v>
      </c>
      <c r="AN48" s="219">
        <f t="shared" si="77"/>
        <v>2</v>
      </c>
      <c r="AO48" s="215">
        <f t="shared" si="78"/>
        <v>0.40690834348781785</v>
      </c>
      <c r="AP48" s="215">
        <f t="shared" si="79"/>
        <v>6.7173194580001649E-2</v>
      </c>
      <c r="AQ48" s="215">
        <f t="shared" si="80"/>
        <v>0.13434638916000327</v>
      </c>
      <c r="AR48" s="215">
        <f t="shared" si="46"/>
        <v>0.1343463891600033</v>
      </c>
      <c r="AS48" s="220">
        <f t="shared" si="47"/>
        <v>4.9478174562393958E-2</v>
      </c>
      <c r="AT48" s="219"/>
      <c r="AU48" s="215">
        <f t="shared" si="81"/>
        <v>1.1445742222222223E-2</v>
      </c>
      <c r="AV48" s="220">
        <f t="shared" si="48"/>
        <v>1.1445742222222223E-2</v>
      </c>
      <c r="AW48" s="219">
        <f t="shared" si="82"/>
        <v>6.8148E-2</v>
      </c>
      <c r="AX48" s="215">
        <f t="shared" si="83"/>
        <v>8.2000000000000007E-3</v>
      </c>
      <c r="AY48" s="220">
        <f t="shared" si="49"/>
        <v>7.6347999999999999E-2</v>
      </c>
      <c r="AZ48" s="219">
        <f t="shared" si="70"/>
        <v>0</v>
      </c>
      <c r="BA48" s="215">
        <f t="shared" si="71"/>
        <v>0</v>
      </c>
      <c r="BB48" s="215">
        <f t="shared" si="50"/>
        <v>0</v>
      </c>
      <c r="BC48" s="61">
        <f t="shared" si="84"/>
        <v>0</v>
      </c>
      <c r="BD48" s="58">
        <v>0</v>
      </c>
      <c r="BE48" s="49">
        <f t="shared" si="85"/>
        <v>0</v>
      </c>
      <c r="BF48" s="61">
        <f t="shared" si="52"/>
        <v>0</v>
      </c>
      <c r="BG48" s="58">
        <f t="shared" si="86"/>
        <v>0</v>
      </c>
      <c r="BH48" s="49">
        <f t="shared" si="87"/>
        <v>0</v>
      </c>
      <c r="BI48" s="61">
        <f t="shared" si="88"/>
        <v>0</v>
      </c>
      <c r="BK48" s="219">
        <f t="shared" si="72"/>
        <v>0</v>
      </c>
      <c r="BL48" s="215">
        <f t="shared" si="18"/>
        <v>0</v>
      </c>
      <c r="BM48" s="215">
        <f t="shared" si="73"/>
        <v>0</v>
      </c>
      <c r="BN48" s="61">
        <f t="shared" si="89"/>
        <v>0</v>
      </c>
      <c r="BO48" s="58">
        <v>0</v>
      </c>
      <c r="BP48" s="49">
        <f t="shared" si="90"/>
        <v>0</v>
      </c>
      <c r="BQ48" s="61">
        <f t="shared" si="53"/>
        <v>0</v>
      </c>
      <c r="BR48" s="58">
        <f t="shared" si="91"/>
        <v>0</v>
      </c>
      <c r="BS48" s="49">
        <f t="shared" si="92"/>
        <v>0</v>
      </c>
      <c r="BT48" s="61">
        <f t="shared" si="55"/>
        <v>0</v>
      </c>
      <c r="BU48" s="58">
        <f t="shared" si="74"/>
        <v>6.120224395066818E-5</v>
      </c>
      <c r="BV48" s="49">
        <f t="shared" si="21"/>
        <v>5.9629500000000002E-2</v>
      </c>
      <c r="BW48" s="61">
        <f t="shared" si="75"/>
        <v>5.4000000000000003E-3</v>
      </c>
      <c r="BX48" s="49">
        <f t="shared" si="56"/>
        <v>5.5080918866211824E-2</v>
      </c>
      <c r="BY48" s="49">
        <f t="shared" si="43"/>
        <v>0.22096534391611927</v>
      </c>
      <c r="BZ48" s="49">
        <f t="shared" si="93"/>
        <v>64.979797060693329</v>
      </c>
    </row>
    <row r="49" spans="17:78" x14ac:dyDescent="0.25">
      <c r="Q49" s="49">
        <v>42</v>
      </c>
      <c r="R49" s="219">
        <f t="shared" si="57"/>
        <v>0.42</v>
      </c>
      <c r="S49" s="215">
        <f t="shared" si="1"/>
        <v>12</v>
      </c>
      <c r="T49" s="220">
        <f t="shared" si="58"/>
        <v>3.4999999999999996E-2</v>
      </c>
      <c r="U49" s="219">
        <f t="shared" si="59"/>
        <v>1</v>
      </c>
      <c r="V49" s="215">
        <f t="shared" si="60"/>
        <v>0.51480093240008795</v>
      </c>
      <c r="W49" s="215">
        <f t="shared" si="61"/>
        <v>0.41184074592007036</v>
      </c>
      <c r="X49" s="215">
        <f t="shared" si="23"/>
        <v>7.3358321679841687E-2</v>
      </c>
      <c r="Y49" s="219">
        <f t="shared" si="76"/>
        <v>6.7987444849456957E-2</v>
      </c>
      <c r="Z49" s="215">
        <f t="shared" si="62"/>
        <v>0.13597488969891389</v>
      </c>
      <c r="AA49" s="215">
        <f t="shared" si="25"/>
        <v>0.13597488969891391</v>
      </c>
      <c r="AB49" s="220">
        <f t="shared" si="63"/>
        <v>5.6327146442084128E-2</v>
      </c>
      <c r="AC49" s="219">
        <v>0</v>
      </c>
      <c r="AD49" s="215">
        <f t="shared" si="64"/>
        <v>4.860649057103842E-2</v>
      </c>
      <c r="AE49" s="220">
        <f t="shared" si="27"/>
        <v>4.860649057103842E-2</v>
      </c>
      <c r="AF49" s="58">
        <f t="shared" si="65"/>
        <v>8.3999999999999995E-3</v>
      </c>
      <c r="AG49" s="61">
        <f t="shared" si="66"/>
        <v>8.3999999999999995E-3</v>
      </c>
      <c r="AH49" s="58">
        <f t="shared" si="67"/>
        <v>2.7602902608879519E-5</v>
      </c>
      <c r="AI49" s="49">
        <f t="shared" si="68"/>
        <v>4.831218600271036E-3</v>
      </c>
      <c r="AJ49" s="61">
        <f t="shared" si="45"/>
        <v>4.8588215028799158E-3</v>
      </c>
      <c r="AK49" s="219">
        <f t="shared" si="69"/>
        <v>0.42</v>
      </c>
      <c r="AL49" s="215">
        <f t="shared" si="13"/>
        <v>15</v>
      </c>
      <c r="AM49" s="220">
        <f t="shared" si="28"/>
        <v>2.8000000000000001E-2</v>
      </c>
      <c r="AN49" s="219">
        <f t="shared" si="77"/>
        <v>2</v>
      </c>
      <c r="AO49" s="215">
        <f t="shared" si="78"/>
        <v>0.41184074592007036</v>
      </c>
      <c r="AP49" s="215">
        <f t="shared" si="79"/>
        <v>6.7987444849456957E-2</v>
      </c>
      <c r="AQ49" s="215">
        <f t="shared" si="80"/>
        <v>0.13597488969891389</v>
      </c>
      <c r="AR49" s="215">
        <f t="shared" si="46"/>
        <v>0.13597488969891391</v>
      </c>
      <c r="AS49" s="220">
        <f t="shared" si="47"/>
        <v>5.0380531369234226E-2</v>
      </c>
      <c r="AT49" s="219"/>
      <c r="AU49" s="215">
        <f t="shared" si="81"/>
        <v>1.2010880000000002E-2</v>
      </c>
      <c r="AV49" s="220">
        <f t="shared" si="48"/>
        <v>1.2010880000000002E-2</v>
      </c>
      <c r="AW49" s="219">
        <f t="shared" si="82"/>
        <v>6.8148E-2</v>
      </c>
      <c r="AX49" s="215">
        <f t="shared" si="83"/>
        <v>8.3999999999999995E-3</v>
      </c>
      <c r="AY49" s="220">
        <f t="shared" si="49"/>
        <v>7.6548000000000005E-2</v>
      </c>
      <c r="AZ49" s="219">
        <f t="shared" si="70"/>
        <v>0</v>
      </c>
      <c r="BA49" s="215">
        <f t="shared" si="71"/>
        <v>0</v>
      </c>
      <c r="BB49" s="215">
        <f t="shared" si="50"/>
        <v>0</v>
      </c>
      <c r="BC49" s="61">
        <f t="shared" si="84"/>
        <v>0</v>
      </c>
      <c r="BD49" s="58">
        <v>0</v>
      </c>
      <c r="BE49" s="49">
        <f t="shared" si="85"/>
        <v>0</v>
      </c>
      <c r="BF49" s="61">
        <f t="shared" si="52"/>
        <v>0</v>
      </c>
      <c r="BG49" s="58">
        <f t="shared" si="86"/>
        <v>0</v>
      </c>
      <c r="BH49" s="49">
        <f t="shared" si="87"/>
        <v>0</v>
      </c>
      <c r="BI49" s="61">
        <f t="shared" si="88"/>
        <v>0</v>
      </c>
      <c r="BK49" s="219">
        <f t="shared" si="72"/>
        <v>0</v>
      </c>
      <c r="BL49" s="215">
        <f t="shared" si="18"/>
        <v>0</v>
      </c>
      <c r="BM49" s="215">
        <f t="shared" si="73"/>
        <v>0</v>
      </c>
      <c r="BN49" s="61">
        <f t="shared" si="89"/>
        <v>0</v>
      </c>
      <c r="BO49" s="58">
        <v>0</v>
      </c>
      <c r="BP49" s="49">
        <f t="shared" si="90"/>
        <v>0</v>
      </c>
      <c r="BQ49" s="61">
        <f t="shared" si="53"/>
        <v>0</v>
      </c>
      <c r="BR49" s="58">
        <f t="shared" si="91"/>
        <v>0</v>
      </c>
      <c r="BS49" s="49">
        <f t="shared" si="92"/>
        <v>0</v>
      </c>
      <c r="BT49" s="61">
        <f t="shared" si="55"/>
        <v>0</v>
      </c>
      <c r="BU49" s="58">
        <f t="shared" si="74"/>
        <v>6.3454948526159817E-5</v>
      </c>
      <c r="BV49" s="49">
        <f t="shared" si="21"/>
        <v>5.9629500000000002E-2</v>
      </c>
      <c r="BW49" s="61">
        <f t="shared" si="75"/>
        <v>5.4000000000000003E-3</v>
      </c>
      <c r="BX49" s="49">
        <f t="shared" si="56"/>
        <v>5.7006490571038418E-2</v>
      </c>
      <c r="BY49" s="49">
        <f t="shared" si="43"/>
        <v>0.2239171470224445</v>
      </c>
      <c r="BZ49" s="49">
        <f t="shared" si="93"/>
        <v>65.225782842114683</v>
      </c>
    </row>
    <row r="50" spans="17:78" x14ac:dyDescent="0.25">
      <c r="Q50" s="49">
        <v>43</v>
      </c>
      <c r="R50" s="219">
        <f t="shared" si="57"/>
        <v>0.43</v>
      </c>
      <c r="S50" s="215">
        <f t="shared" si="1"/>
        <v>12</v>
      </c>
      <c r="T50" s="220">
        <f t="shared" si="58"/>
        <v>3.5833333333333335E-2</v>
      </c>
      <c r="U50" s="219">
        <f t="shared" si="59"/>
        <v>1</v>
      </c>
      <c r="V50" s="215">
        <f t="shared" si="60"/>
        <v>0.5208934631956903</v>
      </c>
      <c r="W50" s="215">
        <f t="shared" si="61"/>
        <v>0.41671477055655226</v>
      </c>
      <c r="X50" s="215">
        <f t="shared" si="23"/>
        <v>6.2391766247757441E-2</v>
      </c>
      <c r="Y50" s="219">
        <f t="shared" si="76"/>
        <v>6.8792058002600423E-2</v>
      </c>
      <c r="Z50" s="215">
        <f t="shared" si="62"/>
        <v>0.13758411600520085</v>
      </c>
      <c r="AA50" s="215">
        <f t="shared" si="25"/>
        <v>0.13758411600520085</v>
      </c>
      <c r="AB50" s="220">
        <f t="shared" si="63"/>
        <v>5.7330024072245453E-2</v>
      </c>
      <c r="AC50" s="219">
        <v>0</v>
      </c>
      <c r="AD50" s="215">
        <f t="shared" si="64"/>
        <v>5.0352729033103408E-2</v>
      </c>
      <c r="AE50" s="220">
        <f t="shared" si="27"/>
        <v>5.0352729033103408E-2</v>
      </c>
      <c r="AF50" s="58">
        <f t="shared" si="65"/>
        <v>8.6E-3</v>
      </c>
      <c r="AG50" s="61">
        <f t="shared" si="66"/>
        <v>8.6E-3</v>
      </c>
      <c r="AH50" s="58">
        <f t="shared" si="67"/>
        <v>2.8594565443080915E-5</v>
      </c>
      <c r="AI50" s="49">
        <f t="shared" si="68"/>
        <v>4.8883947750794424E-3</v>
      </c>
      <c r="AJ50" s="61">
        <f t="shared" si="45"/>
        <v>4.9169893405225235E-3</v>
      </c>
      <c r="AK50" s="219">
        <f t="shared" si="69"/>
        <v>0.43</v>
      </c>
      <c r="AL50" s="215">
        <f t="shared" si="13"/>
        <v>15</v>
      </c>
      <c r="AM50" s="220">
        <f t="shared" si="28"/>
        <v>2.8666666666666667E-2</v>
      </c>
      <c r="AN50" s="219">
        <f t="shared" si="77"/>
        <v>2</v>
      </c>
      <c r="AO50" s="215">
        <f t="shared" si="78"/>
        <v>0.41671477055655221</v>
      </c>
      <c r="AP50" s="215">
        <f t="shared" si="79"/>
        <v>6.8792058002600423E-2</v>
      </c>
      <c r="AQ50" s="215">
        <f t="shared" si="80"/>
        <v>0.13758411600520082</v>
      </c>
      <c r="AR50" s="215">
        <f t="shared" si="46"/>
        <v>0.13758411600520082</v>
      </c>
      <c r="AS50" s="220">
        <f t="shared" si="47"/>
        <v>5.1277532390896038E-2</v>
      </c>
      <c r="AT50" s="219"/>
      <c r="AU50" s="215">
        <f t="shared" si="81"/>
        <v>1.2589635555555556E-2</v>
      </c>
      <c r="AV50" s="220">
        <f t="shared" si="48"/>
        <v>1.2589635555555556E-2</v>
      </c>
      <c r="AW50" s="219">
        <f t="shared" si="82"/>
        <v>6.8148E-2</v>
      </c>
      <c r="AX50" s="215">
        <f t="shared" si="83"/>
        <v>8.6E-3</v>
      </c>
      <c r="AY50" s="220">
        <f t="shared" si="49"/>
        <v>7.6747999999999997E-2</v>
      </c>
      <c r="AZ50" s="219">
        <f t="shared" si="70"/>
        <v>0</v>
      </c>
      <c r="BA50" s="215">
        <f t="shared" si="71"/>
        <v>0</v>
      </c>
      <c r="BB50" s="215">
        <f t="shared" si="50"/>
        <v>0</v>
      </c>
      <c r="BC50" s="61">
        <f t="shared" si="84"/>
        <v>0</v>
      </c>
      <c r="BD50" s="58">
        <v>0</v>
      </c>
      <c r="BE50" s="49">
        <f t="shared" si="85"/>
        <v>0</v>
      </c>
      <c r="BF50" s="61">
        <f t="shared" si="52"/>
        <v>0</v>
      </c>
      <c r="BG50" s="58">
        <f t="shared" si="86"/>
        <v>0</v>
      </c>
      <c r="BH50" s="49">
        <f t="shared" si="87"/>
        <v>0</v>
      </c>
      <c r="BI50" s="61">
        <f t="shared" si="88"/>
        <v>0</v>
      </c>
      <c r="BK50" s="219">
        <f t="shared" si="72"/>
        <v>0</v>
      </c>
      <c r="BL50" s="215">
        <f t="shared" si="18"/>
        <v>0</v>
      </c>
      <c r="BM50" s="215">
        <f t="shared" si="73"/>
        <v>0</v>
      </c>
      <c r="BN50" s="61">
        <f t="shared" si="89"/>
        <v>0</v>
      </c>
      <c r="BO50" s="58">
        <v>0</v>
      </c>
      <c r="BP50" s="49">
        <f t="shared" si="90"/>
        <v>0</v>
      </c>
      <c r="BQ50" s="61">
        <f t="shared" si="53"/>
        <v>0</v>
      </c>
      <c r="BR50" s="58">
        <f t="shared" si="91"/>
        <v>0</v>
      </c>
      <c r="BS50" s="49">
        <f t="shared" si="92"/>
        <v>0</v>
      </c>
      <c r="BT50" s="61">
        <f t="shared" si="55"/>
        <v>0</v>
      </c>
      <c r="BU50" s="58">
        <f t="shared" si="74"/>
        <v>6.5734633202484862E-5</v>
      </c>
      <c r="BV50" s="49">
        <f t="shared" si="21"/>
        <v>5.9629500000000002E-2</v>
      </c>
      <c r="BW50" s="61">
        <f t="shared" si="75"/>
        <v>5.4000000000000003E-3</v>
      </c>
      <c r="BX50" s="49">
        <f t="shared" si="56"/>
        <v>5.8952729033103404E-2</v>
      </c>
      <c r="BY50" s="49">
        <f t="shared" si="43"/>
        <v>0.22690258856238393</v>
      </c>
      <c r="BZ50" s="49">
        <f t="shared" si="93"/>
        <v>65.458716023793571</v>
      </c>
    </row>
    <row r="51" spans="17:78" x14ac:dyDescent="0.25">
      <c r="Q51" s="49">
        <v>44</v>
      </c>
      <c r="R51" s="219">
        <f t="shared" si="57"/>
        <v>0.44</v>
      </c>
      <c r="S51" s="215">
        <f t="shared" si="1"/>
        <v>12</v>
      </c>
      <c r="T51" s="220">
        <f t="shared" si="58"/>
        <v>3.6666666666666667E-2</v>
      </c>
      <c r="U51" s="219">
        <f t="shared" si="59"/>
        <v>1</v>
      </c>
      <c r="V51" s="215">
        <f t="shared" si="60"/>
        <v>0.52691555300636173</v>
      </c>
      <c r="W51" s="215">
        <f t="shared" si="61"/>
        <v>0.42153244240508936</v>
      </c>
      <c r="X51" s="215">
        <f t="shared" si="23"/>
        <v>5.1552004588548916E-2</v>
      </c>
      <c r="Y51" s="219">
        <f t="shared" si="76"/>
        <v>6.9587368331532201E-2</v>
      </c>
      <c r="Z51" s="215">
        <f t="shared" si="62"/>
        <v>0.13917473666306437</v>
      </c>
      <c r="AA51" s="215">
        <f t="shared" si="25"/>
        <v>0.1391747366630644</v>
      </c>
      <c r="AB51" s="220">
        <f t="shared" si="63"/>
        <v>5.8327087347393433E-2</v>
      </c>
      <c r="AC51" s="219">
        <v>0</v>
      </c>
      <c r="AD51" s="215">
        <f t="shared" si="64"/>
        <v>5.2119392494354697E-2</v>
      </c>
      <c r="AE51" s="220">
        <f t="shared" si="27"/>
        <v>5.2119392494354697E-2</v>
      </c>
      <c r="AF51" s="58">
        <f t="shared" si="65"/>
        <v>8.8000000000000005E-3</v>
      </c>
      <c r="AG51" s="61">
        <f t="shared" si="66"/>
        <v>8.8000000000000005E-3</v>
      </c>
      <c r="AH51" s="58">
        <f t="shared" si="67"/>
        <v>2.9597827330345028E-5</v>
      </c>
      <c r="AI51" s="49">
        <f t="shared" si="68"/>
        <v>4.9449098869891609E-3</v>
      </c>
      <c r="AJ51" s="61">
        <f t="shared" si="45"/>
        <v>4.9745077143195059E-3</v>
      </c>
      <c r="AK51" s="219">
        <f t="shared" si="69"/>
        <v>0.44</v>
      </c>
      <c r="AL51" s="215">
        <f t="shared" si="13"/>
        <v>15</v>
      </c>
      <c r="AM51" s="220">
        <f t="shared" si="28"/>
        <v>2.9333333333333333E-2</v>
      </c>
      <c r="AN51" s="219">
        <f t="shared" si="77"/>
        <v>2</v>
      </c>
      <c r="AO51" s="215">
        <f t="shared" si="78"/>
        <v>0.4215324424050893</v>
      </c>
      <c r="AP51" s="215">
        <f t="shared" si="79"/>
        <v>6.9587368331532201E-2</v>
      </c>
      <c r="AQ51" s="215">
        <f t="shared" si="80"/>
        <v>0.13917473666306437</v>
      </c>
      <c r="AR51" s="215">
        <f t="shared" si="46"/>
        <v>0.1391747366630644</v>
      </c>
      <c r="AS51" s="220">
        <f t="shared" si="47"/>
        <v>5.2169332895335846E-2</v>
      </c>
      <c r="AT51" s="219"/>
      <c r="AU51" s="215">
        <f t="shared" si="81"/>
        <v>1.3182008888888888E-2</v>
      </c>
      <c r="AV51" s="220">
        <f t="shared" si="48"/>
        <v>1.3182008888888888E-2</v>
      </c>
      <c r="AW51" s="219">
        <f t="shared" si="82"/>
        <v>6.8148E-2</v>
      </c>
      <c r="AX51" s="215">
        <f t="shared" si="83"/>
        <v>8.7999999999999988E-3</v>
      </c>
      <c r="AY51" s="220">
        <f t="shared" si="49"/>
        <v>7.6948000000000003E-2</v>
      </c>
      <c r="AZ51" s="219">
        <f t="shared" si="70"/>
        <v>0</v>
      </c>
      <c r="BA51" s="215">
        <f t="shared" si="71"/>
        <v>0</v>
      </c>
      <c r="BB51" s="215">
        <f t="shared" si="50"/>
        <v>0</v>
      </c>
      <c r="BC51" s="61">
        <f t="shared" si="84"/>
        <v>0</v>
      </c>
      <c r="BD51" s="58">
        <v>0</v>
      </c>
      <c r="BE51" s="49">
        <f t="shared" si="85"/>
        <v>0</v>
      </c>
      <c r="BF51" s="61">
        <f t="shared" si="52"/>
        <v>0</v>
      </c>
      <c r="BG51" s="58">
        <f t="shared" si="86"/>
        <v>0</v>
      </c>
      <c r="BH51" s="49">
        <f t="shared" si="87"/>
        <v>0</v>
      </c>
      <c r="BI51" s="61">
        <f t="shared" si="88"/>
        <v>0</v>
      </c>
      <c r="BK51" s="219">
        <f t="shared" si="72"/>
        <v>0</v>
      </c>
      <c r="BL51" s="215">
        <f t="shared" si="18"/>
        <v>0</v>
      </c>
      <c r="BM51" s="215">
        <f t="shared" si="73"/>
        <v>0</v>
      </c>
      <c r="BN51" s="61">
        <f t="shared" si="89"/>
        <v>0</v>
      </c>
      <c r="BO51" s="58">
        <v>0</v>
      </c>
      <c r="BP51" s="49">
        <f t="shared" si="90"/>
        <v>0</v>
      </c>
      <c r="BQ51" s="61">
        <f t="shared" si="53"/>
        <v>0</v>
      </c>
      <c r="BR51" s="58">
        <f t="shared" si="91"/>
        <v>0</v>
      </c>
      <c r="BS51" s="49">
        <f t="shared" si="92"/>
        <v>0</v>
      </c>
      <c r="BT51" s="61">
        <f t="shared" si="55"/>
        <v>0</v>
      </c>
      <c r="BU51" s="58">
        <f t="shared" si="74"/>
        <v>6.8040982368609262E-5</v>
      </c>
      <c r="BV51" s="49">
        <f t="shared" si="21"/>
        <v>5.9629500000000002E-2</v>
      </c>
      <c r="BW51" s="61">
        <f t="shared" si="75"/>
        <v>5.4000000000000003E-3</v>
      </c>
      <c r="BX51" s="49">
        <f t="shared" si="56"/>
        <v>6.0919392494354699E-2</v>
      </c>
      <c r="BY51" s="49">
        <f t="shared" si="43"/>
        <v>0.22992145007993167</v>
      </c>
      <c r="BZ51" s="49">
        <f t="shared" si="93"/>
        <v>65.679341950836388</v>
      </c>
    </row>
    <row r="52" spans="17:78" x14ac:dyDescent="0.25">
      <c r="Q52" s="49">
        <v>45</v>
      </c>
      <c r="R52" s="219">
        <f t="shared" si="57"/>
        <v>0.45</v>
      </c>
      <c r="S52" s="215">
        <f t="shared" si="1"/>
        <v>12</v>
      </c>
      <c r="T52" s="220">
        <f t="shared" si="58"/>
        <v>3.7499999999999999E-2</v>
      </c>
      <c r="U52" s="219">
        <f t="shared" si="59"/>
        <v>1</v>
      </c>
      <c r="V52" s="215">
        <f t="shared" si="60"/>
        <v>0.53286959004994827</v>
      </c>
      <c r="W52" s="215">
        <f t="shared" si="61"/>
        <v>0.42629567203995861</v>
      </c>
      <c r="X52" s="215">
        <f t="shared" si="23"/>
        <v>4.0834737910093122E-2</v>
      </c>
      <c r="Y52" s="219">
        <f t="shared" si="76"/>
        <v>7.0373691237446967E-2</v>
      </c>
      <c r="Z52" s="215">
        <f t="shared" si="62"/>
        <v>0.14074738247489391</v>
      </c>
      <c r="AA52" s="215">
        <f t="shared" si="25"/>
        <v>0.14074738247489393</v>
      </c>
      <c r="AB52" s="220">
        <f t="shared" si="63"/>
        <v>5.9318501008305567E-2</v>
      </c>
      <c r="AC52" s="219">
        <v>0</v>
      </c>
      <c r="AD52" s="215">
        <f t="shared" si="64"/>
        <v>5.3906247487884383E-2</v>
      </c>
      <c r="AE52" s="220">
        <f t="shared" si="27"/>
        <v>5.3906247487884383E-2</v>
      </c>
      <c r="AF52" s="58">
        <f t="shared" si="65"/>
        <v>9.0000000000000011E-3</v>
      </c>
      <c r="AG52" s="61">
        <f t="shared" si="66"/>
        <v>9.0000000000000011E-3</v>
      </c>
      <c r="AH52" s="58">
        <f t="shared" si="67"/>
        <v>3.0612555688289435E-5</v>
      </c>
      <c r="AI52" s="49">
        <f t="shared" si="68"/>
        <v>5.0007863485518273E-3</v>
      </c>
      <c r="AJ52" s="61">
        <f t="shared" si="45"/>
        <v>5.0313989042401171E-3</v>
      </c>
      <c r="AK52" s="219">
        <f t="shared" si="69"/>
        <v>0.45</v>
      </c>
      <c r="AL52" s="215">
        <f t="shared" si="13"/>
        <v>15</v>
      </c>
      <c r="AM52" s="220">
        <f t="shared" si="28"/>
        <v>3.0000000000000002E-2</v>
      </c>
      <c r="AN52" s="219">
        <f t="shared" si="77"/>
        <v>2</v>
      </c>
      <c r="AO52" s="215">
        <f t="shared" si="78"/>
        <v>0.42629567203995861</v>
      </c>
      <c r="AP52" s="215">
        <f t="shared" si="79"/>
        <v>7.0373691237446967E-2</v>
      </c>
      <c r="AQ52" s="215">
        <f t="shared" si="80"/>
        <v>0.14074738247489391</v>
      </c>
      <c r="AR52" s="215">
        <f t="shared" si="46"/>
        <v>0.14074738247489393</v>
      </c>
      <c r="AS52" s="220">
        <f t="shared" si="47"/>
        <v>5.3056080231184424E-2</v>
      </c>
      <c r="AT52" s="219"/>
      <c r="AU52" s="215">
        <f t="shared" si="81"/>
        <v>1.3788000000000003E-2</v>
      </c>
      <c r="AV52" s="220">
        <f t="shared" si="48"/>
        <v>1.3788000000000003E-2</v>
      </c>
      <c r="AW52" s="219">
        <f t="shared" si="82"/>
        <v>6.8148E-2</v>
      </c>
      <c r="AX52" s="215">
        <f t="shared" si="83"/>
        <v>9.0000000000000011E-3</v>
      </c>
      <c r="AY52" s="220">
        <f t="shared" si="49"/>
        <v>7.7147999999999994E-2</v>
      </c>
      <c r="AZ52" s="219">
        <f t="shared" si="70"/>
        <v>0</v>
      </c>
      <c r="BA52" s="215">
        <f t="shared" si="71"/>
        <v>0</v>
      </c>
      <c r="BB52" s="215">
        <f t="shared" si="50"/>
        <v>0</v>
      </c>
      <c r="BC52" s="61">
        <f t="shared" si="84"/>
        <v>0</v>
      </c>
      <c r="BD52" s="58">
        <v>0</v>
      </c>
      <c r="BE52" s="49">
        <f t="shared" si="85"/>
        <v>0</v>
      </c>
      <c r="BF52" s="61">
        <f t="shared" si="52"/>
        <v>0</v>
      </c>
      <c r="BG52" s="58">
        <f t="shared" si="86"/>
        <v>0</v>
      </c>
      <c r="BH52" s="49">
        <f t="shared" si="87"/>
        <v>0</v>
      </c>
      <c r="BI52" s="61">
        <f t="shared" si="88"/>
        <v>0</v>
      </c>
      <c r="BK52" s="219">
        <f t="shared" si="72"/>
        <v>0</v>
      </c>
      <c r="BL52" s="215">
        <f t="shared" si="18"/>
        <v>0</v>
      </c>
      <c r="BM52" s="215">
        <f t="shared" si="73"/>
        <v>0</v>
      </c>
      <c r="BN52" s="61">
        <f t="shared" si="89"/>
        <v>0</v>
      </c>
      <c r="BO52" s="58">
        <v>0</v>
      </c>
      <c r="BP52" s="49">
        <f t="shared" si="90"/>
        <v>0</v>
      </c>
      <c r="BQ52" s="61">
        <f t="shared" si="53"/>
        <v>0</v>
      </c>
      <c r="BR52" s="58">
        <f t="shared" si="91"/>
        <v>0</v>
      </c>
      <c r="BS52" s="49">
        <f t="shared" si="92"/>
        <v>0</v>
      </c>
      <c r="BT52" s="61">
        <f t="shared" si="55"/>
        <v>0</v>
      </c>
      <c r="BU52" s="58">
        <f t="shared" si="74"/>
        <v>7.0373691237446973E-5</v>
      </c>
      <c r="BV52" s="49">
        <f t="shared" si="21"/>
        <v>5.9629500000000002E-2</v>
      </c>
      <c r="BW52" s="61">
        <f t="shared" si="75"/>
        <v>5.4000000000000003E-3</v>
      </c>
      <c r="BX52" s="49">
        <f t="shared" si="56"/>
        <v>6.2906247487884384E-2</v>
      </c>
      <c r="BY52" s="49">
        <f t="shared" si="43"/>
        <v>0.23297352008336195</v>
      </c>
      <c r="BZ52" s="49">
        <f t="shared" si="93"/>
        <v>65.888352442284173</v>
      </c>
    </row>
    <row r="53" spans="17:78" x14ac:dyDescent="0.25">
      <c r="Q53" s="49">
        <v>46</v>
      </c>
      <c r="R53" s="219">
        <f t="shared" si="57"/>
        <v>0.46</v>
      </c>
      <c r="S53" s="215">
        <f t="shared" si="1"/>
        <v>12</v>
      </c>
      <c r="T53" s="220">
        <f t="shared" si="58"/>
        <v>3.8333333333333337E-2</v>
      </c>
      <c r="U53" s="219">
        <f t="shared" si="59"/>
        <v>1</v>
      </c>
      <c r="V53" s="215">
        <f t="shared" si="60"/>
        <v>0.53875783056954263</v>
      </c>
      <c r="W53" s="215">
        <f t="shared" si="61"/>
        <v>0.43100626445563411</v>
      </c>
      <c r="X53" s="215">
        <f t="shared" si="23"/>
        <v>3.0235904974823258E-2</v>
      </c>
      <c r="Y53" s="219">
        <f t="shared" si="76"/>
        <v>7.1151324692226972E-2</v>
      </c>
      <c r="Z53" s="215">
        <f t="shared" si="62"/>
        <v>0.14230264938445397</v>
      </c>
      <c r="AA53" s="215">
        <f t="shared" si="25"/>
        <v>0.14230264938445397</v>
      </c>
      <c r="AB53" s="220">
        <f t="shared" si="63"/>
        <v>6.0304421579575392E-2</v>
      </c>
      <c r="AC53" s="219">
        <v>0</v>
      </c>
      <c r="AD53" s="215">
        <f t="shared" si="64"/>
        <v>5.5713068374562462E-2</v>
      </c>
      <c r="AE53" s="220">
        <f t="shared" si="27"/>
        <v>5.5713068374562462E-2</v>
      </c>
      <c r="AF53" s="58">
        <f t="shared" si="65"/>
        <v>9.1999999999999998E-3</v>
      </c>
      <c r="AG53" s="61">
        <f t="shared" si="66"/>
        <v>9.1999999999999998E-3</v>
      </c>
      <c r="AH53" s="58">
        <f t="shared" si="67"/>
        <v>3.1638622379810271E-5</v>
      </c>
      <c r="AI53" s="49">
        <f t="shared" si="68"/>
        <v>5.056045333784248E-3</v>
      </c>
      <c r="AJ53" s="61">
        <f t="shared" si="45"/>
        <v>5.0876839561640585E-3</v>
      </c>
      <c r="AK53" s="219">
        <f t="shared" si="69"/>
        <v>0.46</v>
      </c>
      <c r="AL53" s="215">
        <f t="shared" si="13"/>
        <v>15</v>
      </c>
      <c r="AM53" s="220">
        <f t="shared" si="28"/>
        <v>3.0666666666666668E-2</v>
      </c>
      <c r="AN53" s="219">
        <f t="shared" si="77"/>
        <v>2</v>
      </c>
      <c r="AO53" s="215">
        <f t="shared" si="78"/>
        <v>0.43100626445563411</v>
      </c>
      <c r="AP53" s="215">
        <f t="shared" si="79"/>
        <v>7.1151324692226972E-2</v>
      </c>
      <c r="AQ53" s="215">
        <f t="shared" si="80"/>
        <v>0.14230264938445397</v>
      </c>
      <c r="AR53" s="215">
        <f t="shared" si="46"/>
        <v>0.14230264938445397</v>
      </c>
      <c r="AS53" s="220">
        <f t="shared" si="47"/>
        <v>5.3937914398294332E-2</v>
      </c>
      <c r="AT53" s="219"/>
      <c r="AU53" s="215">
        <f t="shared" si="81"/>
        <v>1.4407608888888892E-2</v>
      </c>
      <c r="AV53" s="220">
        <f t="shared" si="48"/>
        <v>1.4407608888888892E-2</v>
      </c>
      <c r="AW53" s="219">
        <f t="shared" si="82"/>
        <v>6.8148E-2</v>
      </c>
      <c r="AX53" s="215">
        <f t="shared" si="83"/>
        <v>9.1999999999999998E-3</v>
      </c>
      <c r="AY53" s="220">
        <f t="shared" si="49"/>
        <v>7.7348E-2</v>
      </c>
      <c r="AZ53" s="219">
        <f t="shared" si="70"/>
        <v>0</v>
      </c>
      <c r="BA53" s="215">
        <f t="shared" si="71"/>
        <v>0</v>
      </c>
      <c r="BB53" s="215">
        <f t="shared" si="50"/>
        <v>0</v>
      </c>
      <c r="BC53" s="61">
        <f t="shared" si="84"/>
        <v>0</v>
      </c>
      <c r="BD53" s="58">
        <v>0</v>
      </c>
      <c r="BE53" s="49">
        <f t="shared" si="85"/>
        <v>0</v>
      </c>
      <c r="BF53" s="61">
        <f t="shared" si="52"/>
        <v>0</v>
      </c>
      <c r="BG53" s="58">
        <f t="shared" si="86"/>
        <v>0</v>
      </c>
      <c r="BH53" s="49">
        <f t="shared" si="87"/>
        <v>0</v>
      </c>
      <c r="BI53" s="61">
        <f t="shared" si="88"/>
        <v>0</v>
      </c>
      <c r="BK53" s="219">
        <f t="shared" si="72"/>
        <v>0</v>
      </c>
      <c r="BL53" s="215">
        <f t="shared" si="18"/>
        <v>0</v>
      </c>
      <c r="BM53" s="215">
        <f t="shared" si="73"/>
        <v>0</v>
      </c>
      <c r="BN53" s="61">
        <f t="shared" si="89"/>
        <v>0</v>
      </c>
      <c r="BO53" s="58">
        <v>0</v>
      </c>
      <c r="BP53" s="49">
        <f t="shared" si="90"/>
        <v>0</v>
      </c>
      <c r="BQ53" s="61">
        <f t="shared" si="53"/>
        <v>0</v>
      </c>
      <c r="BR53" s="58">
        <f t="shared" si="91"/>
        <v>0</v>
      </c>
      <c r="BS53" s="49">
        <f t="shared" si="92"/>
        <v>0</v>
      </c>
      <c r="BT53" s="61">
        <f t="shared" si="55"/>
        <v>0</v>
      </c>
      <c r="BU53" s="58">
        <f t="shared" si="74"/>
        <v>7.2732465240943163E-5</v>
      </c>
      <c r="BV53" s="49">
        <f t="shared" si="21"/>
        <v>5.9629500000000002E-2</v>
      </c>
      <c r="BW53" s="61">
        <f t="shared" si="75"/>
        <v>5.4000000000000003E-3</v>
      </c>
      <c r="BX53" s="49">
        <f t="shared" si="56"/>
        <v>6.4913068374562455E-2</v>
      </c>
      <c r="BY53" s="49">
        <f t="shared" si="43"/>
        <v>0.23605859368485638</v>
      </c>
      <c r="BZ53" s="49">
        <f t="shared" si="93"/>
        <v>66.086390452391569</v>
      </c>
    </row>
    <row r="54" spans="17:78" x14ac:dyDescent="0.25">
      <c r="Q54" s="49">
        <v>47</v>
      </c>
      <c r="R54" s="219">
        <f t="shared" si="57"/>
        <v>0.47000000000000003</v>
      </c>
      <c r="S54" s="215">
        <f t="shared" si="1"/>
        <v>12</v>
      </c>
      <c r="T54" s="220">
        <f t="shared" si="58"/>
        <v>3.9166666666666669E-2</v>
      </c>
      <c r="U54" s="219">
        <f t="shared" si="59"/>
        <v>1</v>
      </c>
      <c r="V54" s="215">
        <f t="shared" si="60"/>
        <v>0.54458240882349473</v>
      </c>
      <c r="W54" s="215">
        <f t="shared" si="61"/>
        <v>0.43566592705879581</v>
      </c>
      <c r="X54" s="215">
        <f t="shared" si="23"/>
        <v>1.9751664117709455E-2</v>
      </c>
      <c r="Y54" s="219">
        <f t="shared" si="76"/>
        <v>7.1920550557777976E-2</v>
      </c>
      <c r="Z54" s="215">
        <f t="shared" si="62"/>
        <v>0.14384110111555595</v>
      </c>
      <c r="AA54" s="215">
        <f t="shared" si="25"/>
        <v>0.14384110111555595</v>
      </c>
      <c r="AB54" s="220">
        <f t="shared" si="63"/>
        <v>6.1284997948705601E-2</v>
      </c>
      <c r="AC54" s="219">
        <v>0</v>
      </c>
      <c r="AD54" s="215">
        <f t="shared" si="64"/>
        <v>5.7539636915136062E-2</v>
      </c>
      <c r="AE54" s="220">
        <f t="shared" si="27"/>
        <v>5.7539636915136062E-2</v>
      </c>
      <c r="AF54" s="58">
        <f t="shared" si="65"/>
        <v>9.4000000000000004E-3</v>
      </c>
      <c r="AG54" s="61">
        <f t="shared" si="66"/>
        <v>9.4000000000000004E-3</v>
      </c>
      <c r="AH54" s="58">
        <f t="shared" si="67"/>
        <v>3.2675903470083789E-5</v>
      </c>
      <c r="AI54" s="49">
        <f t="shared" si="68"/>
        <v>5.1107068719210107E-3</v>
      </c>
      <c r="AJ54" s="61">
        <f t="shared" si="45"/>
        <v>5.1433827753910944E-3</v>
      </c>
      <c r="AK54" s="219">
        <f t="shared" si="69"/>
        <v>0.47000000000000003</v>
      </c>
      <c r="AL54" s="215">
        <f t="shared" si="13"/>
        <v>15</v>
      </c>
      <c r="AM54" s="220">
        <f t="shared" si="28"/>
        <v>3.1333333333333338E-2</v>
      </c>
      <c r="AN54" s="219">
        <f t="shared" si="77"/>
        <v>2</v>
      </c>
      <c r="AO54" s="215">
        <f t="shared" si="78"/>
        <v>0.43566592705879581</v>
      </c>
      <c r="AP54" s="215">
        <f t="shared" si="79"/>
        <v>7.1920550557777976E-2</v>
      </c>
      <c r="AQ54" s="215">
        <f t="shared" si="80"/>
        <v>0.14384110111555595</v>
      </c>
      <c r="AR54" s="215">
        <f t="shared" si="46"/>
        <v>0.14384110111555595</v>
      </c>
      <c r="AS54" s="220">
        <f t="shared" si="47"/>
        <v>5.4814968565696363E-2</v>
      </c>
      <c r="AT54" s="219"/>
      <c r="AU54" s="215">
        <f t="shared" si="81"/>
        <v>1.5040835555555561E-2</v>
      </c>
      <c r="AV54" s="220">
        <f t="shared" si="48"/>
        <v>1.5040835555555561E-2</v>
      </c>
      <c r="AW54" s="219">
        <f t="shared" si="82"/>
        <v>6.8148E-2</v>
      </c>
      <c r="AX54" s="215">
        <f t="shared" si="83"/>
        <v>9.4000000000000004E-3</v>
      </c>
      <c r="AY54" s="220">
        <f t="shared" si="49"/>
        <v>7.7548000000000006E-2</v>
      </c>
      <c r="AZ54" s="219">
        <f t="shared" si="70"/>
        <v>0</v>
      </c>
      <c r="BA54" s="215">
        <f t="shared" si="71"/>
        <v>0</v>
      </c>
      <c r="BB54" s="215">
        <f t="shared" si="50"/>
        <v>0</v>
      </c>
      <c r="BC54" s="61">
        <f t="shared" si="84"/>
        <v>0</v>
      </c>
      <c r="BD54" s="58">
        <v>0</v>
      </c>
      <c r="BE54" s="49">
        <f t="shared" si="85"/>
        <v>0</v>
      </c>
      <c r="BF54" s="61">
        <f t="shared" si="52"/>
        <v>0</v>
      </c>
      <c r="BG54" s="58">
        <f t="shared" si="86"/>
        <v>0</v>
      </c>
      <c r="BH54" s="49">
        <f t="shared" si="87"/>
        <v>0</v>
      </c>
      <c r="BI54" s="61">
        <f t="shared" si="88"/>
        <v>0</v>
      </c>
      <c r="BK54" s="219">
        <f t="shared" si="72"/>
        <v>0</v>
      </c>
      <c r="BL54" s="215">
        <f t="shared" si="18"/>
        <v>0</v>
      </c>
      <c r="BM54" s="215">
        <f t="shared" si="73"/>
        <v>0</v>
      </c>
      <c r="BN54" s="61">
        <f t="shared" si="89"/>
        <v>0</v>
      </c>
      <c r="BO54" s="58">
        <v>0</v>
      </c>
      <c r="BP54" s="49">
        <f t="shared" si="90"/>
        <v>0</v>
      </c>
      <c r="BQ54" s="61">
        <f t="shared" si="53"/>
        <v>0</v>
      </c>
      <c r="BR54" s="58">
        <f t="shared" si="91"/>
        <v>0</v>
      </c>
      <c r="BS54" s="49">
        <f t="shared" si="92"/>
        <v>0</v>
      </c>
      <c r="BT54" s="61">
        <f t="shared" si="55"/>
        <v>0</v>
      </c>
      <c r="BU54" s="58">
        <f t="shared" si="74"/>
        <v>7.5117019471456991E-5</v>
      </c>
      <c r="BV54" s="49">
        <f t="shared" si="21"/>
        <v>5.9629500000000002E-2</v>
      </c>
      <c r="BW54" s="61">
        <f t="shared" si="75"/>
        <v>5.4000000000000003E-3</v>
      </c>
      <c r="BX54" s="49">
        <f t="shared" si="56"/>
        <v>6.6939636915136061E-2</v>
      </c>
      <c r="BY54" s="49">
        <f t="shared" si="43"/>
        <v>0.23917647226555414</v>
      </c>
      <c r="BZ54" s="49">
        <f t="shared" si="93"/>
        <v>66.274054255991516</v>
      </c>
    </row>
    <row r="55" spans="17:78" x14ac:dyDescent="0.25">
      <c r="Q55" s="49">
        <v>48</v>
      </c>
      <c r="R55" s="219">
        <f t="shared" si="57"/>
        <v>0.48</v>
      </c>
      <c r="S55" s="215">
        <f t="shared" si="1"/>
        <v>12</v>
      </c>
      <c r="T55" s="220">
        <f t="shared" si="58"/>
        <v>0.04</v>
      </c>
      <c r="U55" s="219">
        <f t="shared" si="59"/>
        <v>1</v>
      </c>
      <c r="V55" s="215">
        <f t="shared" si="60"/>
        <v>0.55034534612368613</v>
      </c>
      <c r="W55" s="215">
        <f t="shared" si="61"/>
        <v>0.44027627689894888</v>
      </c>
      <c r="X55" s="215">
        <f t="shared" si="23"/>
        <v>9.3783769773649883E-3</v>
      </c>
      <c r="Y55" s="219">
        <f t="shared" si="76"/>
        <v>7.268163577967332E-2</v>
      </c>
      <c r="Z55" s="215">
        <f t="shared" si="62"/>
        <v>0.14536327155934659</v>
      </c>
      <c r="AA55" s="215">
        <f t="shared" si="25"/>
        <v>0.14536327155934661</v>
      </c>
      <c r="AB55" s="220">
        <f t="shared" si="63"/>
        <v>6.2260371892956454E-2</v>
      </c>
      <c r="AC55" s="219">
        <v>0</v>
      </c>
      <c r="AD55" s="215">
        <f t="shared" si="64"/>
        <v>5.9385741874378388E-2</v>
      </c>
      <c r="AE55" s="220">
        <f t="shared" si="27"/>
        <v>5.9385741874378388E-2</v>
      </c>
      <c r="AF55" s="58">
        <f t="shared" si="65"/>
        <v>9.5999999999999992E-3</v>
      </c>
      <c r="AG55" s="61">
        <f t="shared" si="66"/>
        <v>9.5999999999999992E-3</v>
      </c>
      <c r="AH55" s="58">
        <f t="shared" si="67"/>
        <v>3.3724279001768402E-5</v>
      </c>
      <c r="AI55" s="49">
        <f t="shared" si="68"/>
        <v>5.1647899322353674E-3</v>
      </c>
      <c r="AJ55" s="61">
        <f t="shared" si="45"/>
        <v>5.1985142112371359E-3</v>
      </c>
      <c r="AK55" s="219">
        <f t="shared" si="69"/>
        <v>0.48</v>
      </c>
      <c r="AL55" s="215">
        <f t="shared" si="13"/>
        <v>15</v>
      </c>
      <c r="AM55" s="220">
        <f t="shared" si="28"/>
        <v>3.2000000000000001E-2</v>
      </c>
      <c r="AN55" s="219">
        <f t="shared" si="77"/>
        <v>2</v>
      </c>
      <c r="AO55" s="215">
        <f t="shared" si="78"/>
        <v>0.44027627689894888</v>
      </c>
      <c r="AP55" s="215">
        <f t="shared" si="79"/>
        <v>7.268163577967332E-2</v>
      </c>
      <c r="AQ55" s="215">
        <f t="shared" si="80"/>
        <v>0.14536327155934659</v>
      </c>
      <c r="AR55" s="215">
        <f t="shared" si="46"/>
        <v>0.14536327155934661</v>
      </c>
      <c r="AS55" s="220">
        <f t="shared" si="47"/>
        <v>5.5687369542827152E-2</v>
      </c>
      <c r="AT55" s="219"/>
      <c r="AU55" s="215">
        <f t="shared" si="81"/>
        <v>1.5687679999999999E-2</v>
      </c>
      <c r="AV55" s="220">
        <f t="shared" si="48"/>
        <v>1.5687679999999999E-2</v>
      </c>
      <c r="AW55" s="219">
        <f t="shared" si="82"/>
        <v>6.8148E-2</v>
      </c>
      <c r="AX55" s="215">
        <f t="shared" si="83"/>
        <v>9.5999999999999992E-3</v>
      </c>
      <c r="AY55" s="220">
        <f t="shared" si="49"/>
        <v>7.7747999999999998E-2</v>
      </c>
      <c r="AZ55" s="219">
        <f t="shared" si="70"/>
        <v>0</v>
      </c>
      <c r="BA55" s="215">
        <f t="shared" si="71"/>
        <v>0</v>
      </c>
      <c r="BB55" s="215">
        <f t="shared" si="50"/>
        <v>0</v>
      </c>
      <c r="BC55" s="61">
        <f t="shared" si="84"/>
        <v>0</v>
      </c>
      <c r="BD55" s="58">
        <v>0</v>
      </c>
      <c r="BE55" s="49">
        <f t="shared" si="85"/>
        <v>0</v>
      </c>
      <c r="BF55" s="61">
        <f t="shared" si="52"/>
        <v>0</v>
      </c>
      <c r="BG55" s="58">
        <f t="shared" si="86"/>
        <v>0</v>
      </c>
      <c r="BH55" s="49">
        <f t="shared" si="87"/>
        <v>0</v>
      </c>
      <c r="BI55" s="61">
        <f t="shared" si="88"/>
        <v>0</v>
      </c>
      <c r="BK55" s="219">
        <f t="shared" si="72"/>
        <v>0</v>
      </c>
      <c r="BL55" s="215">
        <f t="shared" si="18"/>
        <v>0</v>
      </c>
      <c r="BM55" s="215">
        <f t="shared" si="73"/>
        <v>0</v>
      </c>
      <c r="BN55" s="61">
        <f t="shared" si="89"/>
        <v>0</v>
      </c>
      <c r="BO55" s="58">
        <v>0</v>
      </c>
      <c r="BP55" s="49">
        <f t="shared" si="90"/>
        <v>0</v>
      </c>
      <c r="BQ55" s="61">
        <f t="shared" si="53"/>
        <v>0</v>
      </c>
      <c r="BR55" s="58">
        <f t="shared" si="91"/>
        <v>0</v>
      </c>
      <c r="BS55" s="49">
        <f t="shared" si="92"/>
        <v>0</v>
      </c>
      <c r="BT55" s="61">
        <f t="shared" si="55"/>
        <v>0</v>
      </c>
      <c r="BU55" s="58">
        <f t="shared" si="74"/>
        <v>7.7527078164984839E-5</v>
      </c>
      <c r="BV55" s="49">
        <f t="shared" si="21"/>
        <v>5.9629500000000002E-2</v>
      </c>
      <c r="BW55" s="61">
        <f t="shared" si="75"/>
        <v>5.4000000000000003E-3</v>
      </c>
      <c r="BX55" s="49">
        <f t="shared" si="56"/>
        <v>6.8985741874378392E-2</v>
      </c>
      <c r="BY55" s="49">
        <f t="shared" si="43"/>
        <v>0.24232696316378052</v>
      </c>
      <c r="BZ55" s="49">
        <f t="shared" si="93"/>
        <v>66.451901213490302</v>
      </c>
    </row>
    <row r="56" spans="17:78" x14ac:dyDescent="0.25">
      <c r="Q56" s="49">
        <v>49</v>
      </c>
      <c r="R56" s="219">
        <f t="shared" si="57"/>
        <v>0.49</v>
      </c>
      <c r="S56" s="215">
        <f t="shared" si="1"/>
        <v>12</v>
      </c>
      <c r="T56" s="220">
        <f t="shared" si="58"/>
        <v>4.0833333333333333E-2</v>
      </c>
      <c r="U56" s="219">
        <f t="shared" si="59"/>
        <v>2</v>
      </c>
      <c r="V56" s="215">
        <f t="shared" si="60"/>
        <v>0.55555555555555558</v>
      </c>
      <c r="W56" s="215">
        <f t="shared" si="61"/>
        <v>0.44444444444444442</v>
      </c>
      <c r="X56" s="215">
        <f t="shared" si="23"/>
        <v>0</v>
      </c>
      <c r="Y56" s="219">
        <f t="shared" si="76"/>
        <v>7.3499999999999996E-2</v>
      </c>
      <c r="Z56" s="215">
        <f t="shared" si="62"/>
        <v>0.14673944943358574</v>
      </c>
      <c r="AA56" s="215">
        <f t="shared" si="25"/>
        <v>0.14686972471679288</v>
      </c>
      <c r="AB56" s="220">
        <f t="shared" si="63"/>
        <v>6.3230715849618382E-2</v>
      </c>
      <c r="AC56" s="219">
        <v>0</v>
      </c>
      <c r="AD56" s="215">
        <f t="shared" si="64"/>
        <v>6.1251250899421385E-2</v>
      </c>
      <c r="AE56" s="220">
        <f t="shared" si="27"/>
        <v>6.1251250899421385E-2</v>
      </c>
      <c r="AF56" s="58">
        <f t="shared" si="65"/>
        <v>9.7999999999999997E-3</v>
      </c>
      <c r="AG56" s="61">
        <f t="shared" si="66"/>
        <v>9.7999999999999997E-3</v>
      </c>
      <c r="AH56" s="58">
        <f t="shared" si="67"/>
        <v>3.4783673813640079E-5</v>
      </c>
      <c r="AI56" s="49">
        <f t="shared" si="68"/>
        <v>5.2229432641011713E-3</v>
      </c>
      <c r="AJ56" s="61">
        <f t="shared" si="45"/>
        <v>5.2577269379148117E-3</v>
      </c>
      <c r="AK56" s="219">
        <f t="shared" si="69"/>
        <v>0.49</v>
      </c>
      <c r="AL56" s="215">
        <f t="shared" si="13"/>
        <v>15</v>
      </c>
      <c r="AM56" s="220">
        <f t="shared" si="28"/>
        <v>3.2666666666666663E-2</v>
      </c>
      <c r="AN56" s="219">
        <f t="shared" si="77"/>
        <v>2</v>
      </c>
      <c r="AO56" s="215">
        <f t="shared" si="78"/>
        <v>0.44444444444444442</v>
      </c>
      <c r="AP56" s="215">
        <f t="shared" si="79"/>
        <v>7.3499999999999996E-2</v>
      </c>
      <c r="AQ56" s="215">
        <f t="shared" si="80"/>
        <v>0.14673944943358572</v>
      </c>
      <c r="AR56" s="215">
        <f t="shared" si="46"/>
        <v>0.14686972471679285</v>
      </c>
      <c r="AS56" s="220">
        <f t="shared" si="47"/>
        <v>5.6555271562287998E-2</v>
      </c>
      <c r="AT56" s="219"/>
      <c r="AU56" s="215">
        <f t="shared" si="81"/>
        <v>1.6348142222222219E-2</v>
      </c>
      <c r="AV56" s="220">
        <f t="shared" si="48"/>
        <v>1.6348142222222219E-2</v>
      </c>
      <c r="AW56" s="219">
        <f t="shared" si="82"/>
        <v>6.8148E-2</v>
      </c>
      <c r="AX56" s="215">
        <f t="shared" si="83"/>
        <v>9.7999999999999979E-3</v>
      </c>
      <c r="AY56" s="220">
        <f t="shared" si="49"/>
        <v>7.7948000000000003E-2</v>
      </c>
      <c r="AZ56" s="219">
        <f t="shared" si="70"/>
        <v>0</v>
      </c>
      <c r="BA56" s="215">
        <f t="shared" si="71"/>
        <v>0</v>
      </c>
      <c r="BB56" s="215">
        <f t="shared" si="50"/>
        <v>0</v>
      </c>
      <c r="BC56" s="61">
        <f t="shared" si="84"/>
        <v>0</v>
      </c>
      <c r="BD56" s="58">
        <v>0</v>
      </c>
      <c r="BE56" s="49">
        <f t="shared" si="85"/>
        <v>0</v>
      </c>
      <c r="BF56" s="61">
        <f t="shared" si="52"/>
        <v>0</v>
      </c>
      <c r="BG56" s="58">
        <f t="shared" si="86"/>
        <v>0</v>
      </c>
      <c r="BH56" s="49">
        <f t="shared" si="87"/>
        <v>0</v>
      </c>
      <c r="BI56" s="61">
        <f t="shared" si="88"/>
        <v>0</v>
      </c>
      <c r="BK56" s="219">
        <f t="shared" si="72"/>
        <v>0</v>
      </c>
      <c r="BL56" s="215">
        <f t="shared" si="18"/>
        <v>0</v>
      </c>
      <c r="BM56" s="215">
        <f t="shared" si="73"/>
        <v>0</v>
      </c>
      <c r="BN56" s="61">
        <f t="shared" si="89"/>
        <v>0</v>
      </c>
      <c r="BO56" s="58">
        <v>0</v>
      </c>
      <c r="BP56" s="49">
        <f t="shared" si="90"/>
        <v>0</v>
      </c>
      <c r="BQ56" s="61">
        <f t="shared" si="53"/>
        <v>0</v>
      </c>
      <c r="BR56" s="58">
        <f t="shared" si="91"/>
        <v>0</v>
      </c>
      <c r="BS56" s="49">
        <f t="shared" si="92"/>
        <v>0</v>
      </c>
      <c r="BT56" s="61">
        <f t="shared" si="55"/>
        <v>0</v>
      </c>
      <c r="BU56" s="58">
        <f t="shared" si="74"/>
        <v>7.9962468537103637E-5</v>
      </c>
      <c r="BV56" s="49">
        <f t="shared" si="21"/>
        <v>5.9629500000000002E-2</v>
      </c>
      <c r="BW56" s="61">
        <f t="shared" si="75"/>
        <v>5.4000000000000003E-3</v>
      </c>
      <c r="BX56" s="49">
        <f t="shared" si="56"/>
        <v>7.1051250899421381E-2</v>
      </c>
      <c r="BY56" s="49">
        <f t="shared" si="43"/>
        <v>0.24551458252809555</v>
      </c>
      <c r="BZ56" s="49">
        <f t="shared" si="93"/>
        <v>66.620025168744064</v>
      </c>
    </row>
    <row r="57" spans="17:78" x14ac:dyDescent="0.25">
      <c r="Q57" s="49">
        <v>50</v>
      </c>
      <c r="R57" s="219">
        <f t="shared" si="57"/>
        <v>0.5</v>
      </c>
      <c r="S57" s="215">
        <f t="shared" si="1"/>
        <v>12</v>
      </c>
      <c r="T57" s="220">
        <f t="shared" si="58"/>
        <v>4.1666666666666664E-2</v>
      </c>
      <c r="U57" s="219">
        <f t="shared" si="59"/>
        <v>2</v>
      </c>
      <c r="V57" s="215">
        <f t="shared" si="60"/>
        <v>0.55555555555555558</v>
      </c>
      <c r="W57" s="215">
        <f t="shared" si="61"/>
        <v>0.44444444444444442</v>
      </c>
      <c r="X57" s="215">
        <f t="shared" si="23"/>
        <v>0</v>
      </c>
      <c r="Y57" s="219">
        <f t="shared" si="76"/>
        <v>7.4999999999999997E-2</v>
      </c>
      <c r="Z57" s="215">
        <f t="shared" si="62"/>
        <v>0.14673944943358574</v>
      </c>
      <c r="AA57" s="215">
        <f t="shared" si="25"/>
        <v>0.14836972471679288</v>
      </c>
      <c r="AB57" s="220">
        <f t="shared" si="63"/>
        <v>6.4201817940422692E-2</v>
      </c>
      <c r="AC57" s="219">
        <v>0</v>
      </c>
      <c r="AD57" s="215">
        <f t="shared" si="64"/>
        <v>6.3147100899421382E-2</v>
      </c>
      <c r="AE57" s="220">
        <f t="shared" si="27"/>
        <v>6.3147100899421382E-2</v>
      </c>
      <c r="AF57" s="58">
        <f t="shared" si="65"/>
        <v>0.01</v>
      </c>
      <c r="AG57" s="61">
        <f t="shared" si="66"/>
        <v>0.01</v>
      </c>
      <c r="AH57" s="58">
        <f t="shared" si="67"/>
        <v>3.5860298813640077E-5</v>
      </c>
      <c r="AI57" s="49">
        <f t="shared" si="68"/>
        <v>5.3295339429603791E-3</v>
      </c>
      <c r="AJ57" s="61">
        <f t="shared" si="45"/>
        <v>5.3653942417740191E-3</v>
      </c>
      <c r="AK57" s="219">
        <f t="shared" si="69"/>
        <v>0.5</v>
      </c>
      <c r="AL57" s="215">
        <f t="shared" si="13"/>
        <v>15</v>
      </c>
      <c r="AM57" s="220">
        <f t="shared" si="28"/>
        <v>3.3333333333333333E-2</v>
      </c>
      <c r="AN57" s="219">
        <f t="shared" si="77"/>
        <v>2</v>
      </c>
      <c r="AO57" s="215">
        <f t="shared" si="78"/>
        <v>0.44444444444444448</v>
      </c>
      <c r="AP57" s="215">
        <f t="shared" si="79"/>
        <v>7.4999999999999997E-2</v>
      </c>
      <c r="AQ57" s="215">
        <f t="shared" si="80"/>
        <v>0.14673944943358574</v>
      </c>
      <c r="AR57" s="215">
        <f t="shared" si="46"/>
        <v>0.14836972471679288</v>
      </c>
      <c r="AS57" s="220">
        <f t="shared" si="47"/>
        <v>5.7423851677540272E-2</v>
      </c>
      <c r="AT57" s="219"/>
      <c r="AU57" s="215">
        <f t="shared" si="81"/>
        <v>1.7022222222222223E-2</v>
      </c>
      <c r="AV57" s="220">
        <f t="shared" si="48"/>
        <v>1.7022222222222223E-2</v>
      </c>
      <c r="AW57" s="219">
        <f t="shared" si="82"/>
        <v>6.8148E-2</v>
      </c>
      <c r="AX57" s="215">
        <f t="shared" si="83"/>
        <v>0.01</v>
      </c>
      <c r="AY57" s="220">
        <f t="shared" si="49"/>
        <v>7.8147999999999995E-2</v>
      </c>
      <c r="AZ57" s="219">
        <f t="shared" si="70"/>
        <v>0</v>
      </c>
      <c r="BA57" s="215">
        <f t="shared" si="71"/>
        <v>0</v>
      </c>
      <c r="BB57" s="215">
        <f t="shared" si="50"/>
        <v>0</v>
      </c>
      <c r="BC57" s="61">
        <f t="shared" si="84"/>
        <v>0</v>
      </c>
      <c r="BD57" s="58">
        <v>0</v>
      </c>
      <c r="BE57" s="49">
        <f t="shared" si="85"/>
        <v>0</v>
      </c>
      <c r="BF57" s="61">
        <f t="shared" si="52"/>
        <v>0</v>
      </c>
      <c r="BG57" s="58">
        <f t="shared" si="86"/>
        <v>0</v>
      </c>
      <c r="BH57" s="49">
        <f t="shared" si="87"/>
        <v>0</v>
      </c>
      <c r="BI57" s="61">
        <f t="shared" si="88"/>
        <v>0</v>
      </c>
      <c r="BK57" s="219">
        <f t="shared" si="72"/>
        <v>0</v>
      </c>
      <c r="BL57" s="215">
        <f t="shared" si="18"/>
        <v>0</v>
      </c>
      <c r="BM57" s="215">
        <f t="shared" si="73"/>
        <v>0</v>
      </c>
      <c r="BN57" s="61">
        <f t="shared" si="89"/>
        <v>0</v>
      </c>
      <c r="BO57" s="58">
        <v>0</v>
      </c>
      <c r="BP57" s="49">
        <f t="shared" si="90"/>
        <v>0</v>
      </c>
      <c r="BQ57" s="61">
        <f t="shared" si="53"/>
        <v>0</v>
      </c>
      <c r="BR57" s="58">
        <f t="shared" si="91"/>
        <v>0</v>
      </c>
      <c r="BS57" s="49">
        <f t="shared" si="92"/>
        <v>0</v>
      </c>
      <c r="BT57" s="61">
        <f t="shared" si="55"/>
        <v>0</v>
      </c>
      <c r="BU57" s="58">
        <f t="shared" si="74"/>
        <v>8.243746853710363E-5</v>
      </c>
      <c r="BV57" s="49">
        <f t="shared" si="21"/>
        <v>5.9629500000000002E-2</v>
      </c>
      <c r="BW57" s="61">
        <f t="shared" si="75"/>
        <v>5.4000000000000003E-3</v>
      </c>
      <c r="BX57" s="49">
        <f t="shared" si="56"/>
        <v>7.3147100899421377E-2</v>
      </c>
      <c r="BY57" s="49">
        <f t="shared" si="43"/>
        <v>0.24879465483195473</v>
      </c>
      <c r="BZ57" s="49">
        <f t="shared" si="93"/>
        <v>66.773980927015359</v>
      </c>
    </row>
    <row r="58" spans="17:78" x14ac:dyDescent="0.25">
      <c r="Q58" s="49">
        <v>51</v>
      </c>
      <c r="R58" s="219">
        <f t="shared" si="57"/>
        <v>0.51</v>
      </c>
      <c r="S58" s="215">
        <f t="shared" si="1"/>
        <v>12</v>
      </c>
      <c r="T58" s="220">
        <f t="shared" si="58"/>
        <v>4.2500000000000003E-2</v>
      </c>
      <c r="U58" s="219">
        <f t="shared" si="59"/>
        <v>2</v>
      </c>
      <c r="V58" s="215">
        <f t="shared" si="60"/>
        <v>0.55555555555555558</v>
      </c>
      <c r="W58" s="215">
        <f t="shared" si="61"/>
        <v>0.44444444444444442</v>
      </c>
      <c r="X58" s="215">
        <f t="shared" si="23"/>
        <v>0</v>
      </c>
      <c r="Y58" s="219">
        <f t="shared" si="76"/>
        <v>7.6499999999999999E-2</v>
      </c>
      <c r="Z58" s="215">
        <f t="shared" si="62"/>
        <v>0.14673944943358574</v>
      </c>
      <c r="AA58" s="215">
        <f t="shared" si="25"/>
        <v>0.14986972471679288</v>
      </c>
      <c r="AB58" s="220">
        <f t="shared" si="63"/>
        <v>6.5177629803907261E-2</v>
      </c>
      <c r="AC58" s="219">
        <v>0</v>
      </c>
      <c r="AD58" s="215">
        <f t="shared" si="64"/>
        <v>6.5081250899421364E-2</v>
      </c>
      <c r="AE58" s="220">
        <f t="shared" si="27"/>
        <v>6.5081250899421364E-2</v>
      </c>
      <c r="AF58" s="58">
        <f t="shared" si="65"/>
        <v>1.0200000000000001E-2</v>
      </c>
      <c r="AG58" s="61">
        <f t="shared" si="66"/>
        <v>1.0200000000000001E-2</v>
      </c>
      <c r="AH58" s="58">
        <f t="shared" si="67"/>
        <v>3.6958673813640064E-5</v>
      </c>
      <c r="AI58" s="49">
        <f t="shared" si="68"/>
        <v>5.4361246218195868E-3</v>
      </c>
      <c r="AJ58" s="61">
        <f t="shared" si="45"/>
        <v>5.4730832956332272E-3</v>
      </c>
      <c r="AK58" s="219">
        <f t="shared" si="69"/>
        <v>0.51</v>
      </c>
      <c r="AL58" s="215">
        <f t="shared" si="13"/>
        <v>15</v>
      </c>
      <c r="AM58" s="220">
        <f t="shared" si="28"/>
        <v>3.4000000000000002E-2</v>
      </c>
      <c r="AN58" s="219">
        <f t="shared" si="77"/>
        <v>2</v>
      </c>
      <c r="AO58" s="215">
        <f t="shared" si="78"/>
        <v>0.44444444444444448</v>
      </c>
      <c r="AP58" s="215">
        <f t="shared" si="79"/>
        <v>7.6499999999999999E-2</v>
      </c>
      <c r="AQ58" s="215">
        <f t="shared" si="80"/>
        <v>0.14673944943358574</v>
      </c>
      <c r="AR58" s="215">
        <f t="shared" si="46"/>
        <v>0.14986972471679288</v>
      </c>
      <c r="AS58" s="220">
        <f t="shared" si="47"/>
        <v>5.8296644341541172E-2</v>
      </c>
      <c r="AT58" s="219"/>
      <c r="AU58" s="215">
        <f t="shared" si="81"/>
        <v>1.7709920000000004E-2</v>
      </c>
      <c r="AV58" s="220">
        <f t="shared" si="48"/>
        <v>1.7709920000000004E-2</v>
      </c>
      <c r="AW58" s="219">
        <f t="shared" si="82"/>
        <v>6.8148E-2</v>
      </c>
      <c r="AX58" s="215">
        <f t="shared" si="83"/>
        <v>1.0200000000000001E-2</v>
      </c>
      <c r="AY58" s="220">
        <f t="shared" si="49"/>
        <v>7.8348000000000001E-2</v>
      </c>
      <c r="AZ58" s="219">
        <f t="shared" si="70"/>
        <v>0</v>
      </c>
      <c r="BA58" s="215">
        <f t="shared" si="71"/>
        <v>0</v>
      </c>
      <c r="BB58" s="215">
        <f t="shared" si="50"/>
        <v>0</v>
      </c>
      <c r="BC58" s="61">
        <f t="shared" si="84"/>
        <v>0</v>
      </c>
      <c r="BD58" s="58">
        <v>0</v>
      </c>
      <c r="BE58" s="49">
        <f t="shared" si="85"/>
        <v>0</v>
      </c>
      <c r="BF58" s="61">
        <f t="shared" si="52"/>
        <v>0</v>
      </c>
      <c r="BG58" s="58">
        <f t="shared" si="86"/>
        <v>0</v>
      </c>
      <c r="BH58" s="49">
        <f t="shared" si="87"/>
        <v>0</v>
      </c>
      <c r="BI58" s="61">
        <f t="shared" si="88"/>
        <v>0</v>
      </c>
      <c r="BK58" s="219">
        <f t="shared" si="72"/>
        <v>0</v>
      </c>
      <c r="BL58" s="215">
        <f t="shared" si="18"/>
        <v>0</v>
      </c>
      <c r="BM58" s="215">
        <f t="shared" si="73"/>
        <v>0</v>
      </c>
      <c r="BN58" s="61">
        <f t="shared" si="89"/>
        <v>0</v>
      </c>
      <c r="BO58" s="58">
        <v>0</v>
      </c>
      <c r="BP58" s="49">
        <f t="shared" si="90"/>
        <v>0</v>
      </c>
      <c r="BQ58" s="61">
        <f t="shared" si="53"/>
        <v>0</v>
      </c>
      <c r="BR58" s="58">
        <f t="shared" si="91"/>
        <v>0</v>
      </c>
      <c r="BS58" s="49">
        <f t="shared" si="92"/>
        <v>0</v>
      </c>
      <c r="BT58" s="61">
        <f t="shared" si="55"/>
        <v>0</v>
      </c>
      <c r="BU58" s="58">
        <f t="shared" si="74"/>
        <v>8.4962468537103596E-5</v>
      </c>
      <c r="BV58" s="49">
        <f t="shared" si="21"/>
        <v>5.9629500000000002E-2</v>
      </c>
      <c r="BW58" s="61">
        <f t="shared" si="75"/>
        <v>5.4000000000000003E-3</v>
      </c>
      <c r="BX58" s="49">
        <f t="shared" si="56"/>
        <v>7.5281250899421365E-2</v>
      </c>
      <c r="BY58" s="49">
        <f t="shared" si="43"/>
        <v>0.25212671666359165</v>
      </c>
      <c r="BZ58" s="49">
        <f t="shared" si="93"/>
        <v>66.918005739604297</v>
      </c>
    </row>
    <row r="59" spans="17:78" x14ac:dyDescent="0.25">
      <c r="Q59" s="49">
        <v>52</v>
      </c>
      <c r="R59" s="219">
        <f t="shared" si="57"/>
        <v>0.52</v>
      </c>
      <c r="S59" s="215">
        <f t="shared" si="1"/>
        <v>12</v>
      </c>
      <c r="T59" s="220">
        <f t="shared" si="58"/>
        <v>4.3333333333333335E-2</v>
      </c>
      <c r="U59" s="219">
        <f t="shared" si="59"/>
        <v>2</v>
      </c>
      <c r="V59" s="215">
        <f t="shared" si="60"/>
        <v>0.55555555555555558</v>
      </c>
      <c r="W59" s="215">
        <f t="shared" si="61"/>
        <v>0.44444444444444442</v>
      </c>
      <c r="X59" s="215">
        <f t="shared" si="23"/>
        <v>0</v>
      </c>
      <c r="Y59" s="219">
        <f t="shared" si="76"/>
        <v>7.8E-2</v>
      </c>
      <c r="Z59" s="215">
        <f t="shared" si="62"/>
        <v>0.14673944943358574</v>
      </c>
      <c r="AA59" s="215">
        <f t="shared" si="25"/>
        <v>0.15136972471679289</v>
      </c>
      <c r="AB59" s="220">
        <f t="shared" si="63"/>
        <v>6.6157943036759995E-2</v>
      </c>
      <c r="AC59" s="219">
        <v>0</v>
      </c>
      <c r="AD59" s="215">
        <f t="shared" si="64"/>
        <v>6.7053700899421365E-2</v>
      </c>
      <c r="AE59" s="220">
        <f t="shared" si="27"/>
        <v>6.7053700899421365E-2</v>
      </c>
      <c r="AF59" s="58">
        <f t="shared" si="65"/>
        <v>1.0400000000000001E-2</v>
      </c>
      <c r="AG59" s="61">
        <f t="shared" si="66"/>
        <v>1.0400000000000001E-2</v>
      </c>
      <c r="AH59" s="58">
        <f t="shared" si="67"/>
        <v>3.8078798813640069E-5</v>
      </c>
      <c r="AI59" s="49">
        <f t="shared" si="68"/>
        <v>5.5427153006787945E-3</v>
      </c>
      <c r="AJ59" s="61">
        <f t="shared" si="45"/>
        <v>5.5807940994924343E-3</v>
      </c>
      <c r="AK59" s="219">
        <f t="shared" si="69"/>
        <v>0.52</v>
      </c>
      <c r="AL59" s="215">
        <f t="shared" si="13"/>
        <v>15</v>
      </c>
      <c r="AM59" s="220">
        <f t="shared" si="28"/>
        <v>3.4666666666666665E-2</v>
      </c>
      <c r="AN59" s="219">
        <f t="shared" si="77"/>
        <v>2</v>
      </c>
      <c r="AO59" s="215">
        <f t="shared" si="78"/>
        <v>0.44444444444444442</v>
      </c>
      <c r="AP59" s="215">
        <f t="shared" si="79"/>
        <v>7.8E-2</v>
      </c>
      <c r="AQ59" s="215">
        <f t="shared" si="80"/>
        <v>0.14673944943358572</v>
      </c>
      <c r="AR59" s="215">
        <f t="shared" si="46"/>
        <v>0.15136972471679286</v>
      </c>
      <c r="AS59" s="220">
        <f t="shared" si="47"/>
        <v>5.917346315270168E-2</v>
      </c>
      <c r="AT59" s="219"/>
      <c r="AU59" s="215">
        <f t="shared" si="81"/>
        <v>1.8411235555555554E-2</v>
      </c>
      <c r="AV59" s="220">
        <f t="shared" si="48"/>
        <v>1.8411235555555554E-2</v>
      </c>
      <c r="AW59" s="219">
        <f t="shared" si="82"/>
        <v>6.8148E-2</v>
      </c>
      <c r="AX59" s="215">
        <f t="shared" si="83"/>
        <v>1.04E-2</v>
      </c>
      <c r="AY59" s="220">
        <f t="shared" si="49"/>
        <v>7.8548000000000007E-2</v>
      </c>
      <c r="AZ59" s="219">
        <f t="shared" si="70"/>
        <v>0</v>
      </c>
      <c r="BA59" s="215">
        <f t="shared" si="71"/>
        <v>0</v>
      </c>
      <c r="BB59" s="215">
        <f t="shared" si="50"/>
        <v>0</v>
      </c>
      <c r="BC59" s="61">
        <f t="shared" si="84"/>
        <v>0</v>
      </c>
      <c r="BD59" s="58">
        <v>0</v>
      </c>
      <c r="BE59" s="49">
        <f t="shared" si="85"/>
        <v>0</v>
      </c>
      <c r="BF59" s="61">
        <f t="shared" si="52"/>
        <v>0</v>
      </c>
      <c r="BG59" s="58">
        <f t="shared" si="86"/>
        <v>0</v>
      </c>
      <c r="BH59" s="49">
        <f t="shared" si="87"/>
        <v>0</v>
      </c>
      <c r="BI59" s="61">
        <f t="shared" si="88"/>
        <v>0</v>
      </c>
      <c r="BK59" s="219">
        <f t="shared" si="72"/>
        <v>0</v>
      </c>
      <c r="BL59" s="215">
        <f t="shared" si="18"/>
        <v>0</v>
      </c>
      <c r="BM59" s="215">
        <f t="shared" si="73"/>
        <v>0</v>
      </c>
      <c r="BN59" s="61">
        <f t="shared" si="89"/>
        <v>0</v>
      </c>
      <c r="BO59" s="58">
        <v>0</v>
      </c>
      <c r="BP59" s="49">
        <f t="shared" si="90"/>
        <v>0</v>
      </c>
      <c r="BQ59" s="61">
        <f t="shared" si="53"/>
        <v>0</v>
      </c>
      <c r="BR59" s="58">
        <f t="shared" si="91"/>
        <v>0</v>
      </c>
      <c r="BS59" s="49">
        <f t="shared" si="92"/>
        <v>0</v>
      </c>
      <c r="BT59" s="61">
        <f t="shared" si="55"/>
        <v>0</v>
      </c>
      <c r="BU59" s="58">
        <f t="shared" si="74"/>
        <v>8.7537468537103605E-5</v>
      </c>
      <c r="BV59" s="49">
        <f t="shared" si="21"/>
        <v>5.9629500000000002E-2</v>
      </c>
      <c r="BW59" s="61">
        <f t="shared" si="75"/>
        <v>5.4000000000000003E-3</v>
      </c>
      <c r="BX59" s="49">
        <f t="shared" si="56"/>
        <v>7.7453700899421371E-2</v>
      </c>
      <c r="BY59" s="49">
        <f t="shared" si="43"/>
        <v>0.25551076802300648</v>
      </c>
      <c r="BZ59" s="49">
        <f t="shared" si="93"/>
        <v>67.052582819143211</v>
      </c>
    </row>
    <row r="60" spans="17:78" x14ac:dyDescent="0.25">
      <c r="Q60" s="49">
        <v>53</v>
      </c>
      <c r="R60" s="219">
        <f t="shared" si="57"/>
        <v>0.53</v>
      </c>
      <c r="S60" s="215">
        <f t="shared" si="1"/>
        <v>12</v>
      </c>
      <c r="T60" s="220">
        <f t="shared" si="58"/>
        <v>4.4166666666666667E-2</v>
      </c>
      <c r="U60" s="219">
        <f t="shared" si="59"/>
        <v>2</v>
      </c>
      <c r="V60" s="215">
        <f t="shared" si="60"/>
        <v>0.55555555555555558</v>
      </c>
      <c r="W60" s="215">
        <f t="shared" si="61"/>
        <v>0.44444444444444442</v>
      </c>
      <c r="X60" s="215">
        <f t="shared" si="23"/>
        <v>0</v>
      </c>
      <c r="Y60" s="219">
        <f t="shared" si="76"/>
        <v>7.9500000000000001E-2</v>
      </c>
      <c r="Z60" s="215">
        <f t="shared" si="62"/>
        <v>0.14673944943358574</v>
      </c>
      <c r="AA60" s="215">
        <f t="shared" si="25"/>
        <v>0.15286972471679289</v>
      </c>
      <c r="AB60" s="220">
        <f t="shared" si="63"/>
        <v>6.7142560472886206E-2</v>
      </c>
      <c r="AC60" s="219">
        <v>0</v>
      </c>
      <c r="AD60" s="215">
        <f t="shared" si="64"/>
        <v>6.9064450899421384E-2</v>
      </c>
      <c r="AE60" s="220">
        <f t="shared" si="27"/>
        <v>6.9064450899421384E-2</v>
      </c>
      <c r="AF60" s="58">
        <f t="shared" si="65"/>
        <v>1.06E-2</v>
      </c>
      <c r="AG60" s="61">
        <f t="shared" si="66"/>
        <v>1.06E-2</v>
      </c>
      <c r="AH60" s="58">
        <f t="shared" si="67"/>
        <v>3.9220673813640078E-5</v>
      </c>
      <c r="AI60" s="49">
        <f t="shared" si="68"/>
        <v>5.6493059795380022E-3</v>
      </c>
      <c r="AJ60" s="61">
        <f t="shared" si="45"/>
        <v>5.6885266533516421E-3</v>
      </c>
      <c r="AK60" s="219">
        <f t="shared" si="69"/>
        <v>0.53</v>
      </c>
      <c r="AL60" s="215">
        <f t="shared" si="13"/>
        <v>15</v>
      </c>
      <c r="AM60" s="220">
        <f t="shared" si="28"/>
        <v>3.5333333333333335E-2</v>
      </c>
      <c r="AN60" s="219">
        <f t="shared" si="77"/>
        <v>2</v>
      </c>
      <c r="AO60" s="215">
        <f t="shared" si="78"/>
        <v>0.44444444444444448</v>
      </c>
      <c r="AP60" s="215">
        <f t="shared" si="79"/>
        <v>7.9500000000000001E-2</v>
      </c>
      <c r="AQ60" s="215">
        <f t="shared" si="80"/>
        <v>0.14673944943358574</v>
      </c>
      <c r="AR60" s="215">
        <f t="shared" si="46"/>
        <v>0.15286972471679289</v>
      </c>
      <c r="AS60" s="220">
        <f t="shared" si="47"/>
        <v>6.00541317603056E-2</v>
      </c>
      <c r="AT60" s="219"/>
      <c r="AU60" s="215">
        <f t="shared" si="81"/>
        <v>1.9126168888888892E-2</v>
      </c>
      <c r="AV60" s="220">
        <f t="shared" si="48"/>
        <v>1.9126168888888892E-2</v>
      </c>
      <c r="AW60" s="219">
        <f t="shared" si="82"/>
        <v>6.8148E-2</v>
      </c>
      <c r="AX60" s="215">
        <f t="shared" si="83"/>
        <v>1.06E-2</v>
      </c>
      <c r="AY60" s="220">
        <f t="shared" si="49"/>
        <v>7.8747999999999999E-2</v>
      </c>
      <c r="AZ60" s="219">
        <f t="shared" si="70"/>
        <v>0</v>
      </c>
      <c r="BA60" s="215">
        <f t="shared" si="71"/>
        <v>0</v>
      </c>
      <c r="BB60" s="215">
        <f t="shared" si="50"/>
        <v>0</v>
      </c>
      <c r="BC60" s="61">
        <f t="shared" si="84"/>
        <v>0</v>
      </c>
      <c r="BD60" s="58">
        <v>0</v>
      </c>
      <c r="BE60" s="49">
        <f t="shared" si="85"/>
        <v>0</v>
      </c>
      <c r="BF60" s="61">
        <f t="shared" si="52"/>
        <v>0</v>
      </c>
      <c r="BG60" s="58">
        <f t="shared" si="86"/>
        <v>0</v>
      </c>
      <c r="BH60" s="49">
        <f t="shared" si="87"/>
        <v>0</v>
      </c>
      <c r="BI60" s="61">
        <f t="shared" si="88"/>
        <v>0</v>
      </c>
      <c r="BK60" s="219">
        <f t="shared" si="72"/>
        <v>0</v>
      </c>
      <c r="BL60" s="215">
        <f t="shared" si="18"/>
        <v>0</v>
      </c>
      <c r="BM60" s="215">
        <f t="shared" si="73"/>
        <v>0</v>
      </c>
      <c r="BN60" s="61">
        <f t="shared" si="89"/>
        <v>0</v>
      </c>
      <c r="BO60" s="58">
        <v>0</v>
      </c>
      <c r="BP60" s="49">
        <f t="shared" si="90"/>
        <v>0</v>
      </c>
      <c r="BQ60" s="61">
        <f t="shared" si="53"/>
        <v>0</v>
      </c>
      <c r="BR60" s="58">
        <f t="shared" si="91"/>
        <v>0</v>
      </c>
      <c r="BS60" s="49">
        <f t="shared" si="92"/>
        <v>0</v>
      </c>
      <c r="BT60" s="61">
        <f t="shared" si="55"/>
        <v>0</v>
      </c>
      <c r="BU60" s="58">
        <f t="shared" si="74"/>
        <v>9.0162468537103628E-5</v>
      </c>
      <c r="BV60" s="49">
        <f t="shared" si="21"/>
        <v>5.9629500000000002E-2</v>
      </c>
      <c r="BW60" s="61">
        <f t="shared" si="75"/>
        <v>5.4000000000000003E-3</v>
      </c>
      <c r="BX60" s="49">
        <f t="shared" si="56"/>
        <v>7.9664450899421382E-2</v>
      </c>
      <c r="BY60" s="49">
        <f t="shared" si="43"/>
        <v>0.25894680891019906</v>
      </c>
      <c r="BZ60" s="49">
        <f t="shared" si="93"/>
        <v>67.178166387681856</v>
      </c>
    </row>
    <row r="61" spans="17:78" x14ac:dyDescent="0.25">
      <c r="Q61" s="49">
        <v>54</v>
      </c>
      <c r="R61" s="219">
        <f t="shared" si="57"/>
        <v>0.54</v>
      </c>
      <c r="S61" s="215">
        <f t="shared" si="1"/>
        <v>12</v>
      </c>
      <c r="T61" s="220">
        <f t="shared" si="58"/>
        <v>4.5000000000000005E-2</v>
      </c>
      <c r="U61" s="219">
        <f t="shared" si="59"/>
        <v>2</v>
      </c>
      <c r="V61" s="215">
        <f t="shared" si="60"/>
        <v>0.55555555555555558</v>
      </c>
      <c r="W61" s="215">
        <f t="shared" si="61"/>
        <v>0.44444444444444442</v>
      </c>
      <c r="X61" s="215">
        <f t="shared" si="23"/>
        <v>0</v>
      </c>
      <c r="Y61" s="219">
        <f t="shared" si="76"/>
        <v>8.1000000000000003E-2</v>
      </c>
      <c r="Z61" s="215">
        <f t="shared" si="62"/>
        <v>0.14673944943358574</v>
      </c>
      <c r="AA61" s="215">
        <f t="shared" si="25"/>
        <v>0.15436972471679289</v>
      </c>
      <c r="AB61" s="220">
        <f t="shared" si="63"/>
        <v>6.8131295502545541E-2</v>
      </c>
      <c r="AC61" s="219">
        <v>0</v>
      </c>
      <c r="AD61" s="215">
        <f t="shared" si="64"/>
        <v>7.1113500899421395E-2</v>
      </c>
      <c r="AE61" s="220">
        <f t="shared" si="27"/>
        <v>7.1113500899421395E-2</v>
      </c>
      <c r="AF61" s="58">
        <f t="shared" si="65"/>
        <v>1.0800000000000001E-2</v>
      </c>
      <c r="AG61" s="61">
        <f t="shared" si="66"/>
        <v>1.0800000000000001E-2</v>
      </c>
      <c r="AH61" s="58">
        <f t="shared" si="67"/>
        <v>4.0384298813640083E-5</v>
      </c>
      <c r="AI61" s="49">
        <f t="shared" si="68"/>
        <v>5.7558966583972099E-3</v>
      </c>
      <c r="AJ61" s="61">
        <f t="shared" si="45"/>
        <v>5.7962809572108497E-3</v>
      </c>
      <c r="AK61" s="219">
        <f t="shared" si="69"/>
        <v>0.54</v>
      </c>
      <c r="AL61" s="215">
        <f t="shared" si="13"/>
        <v>15</v>
      </c>
      <c r="AM61" s="220">
        <f t="shared" si="28"/>
        <v>3.6000000000000004E-2</v>
      </c>
      <c r="AN61" s="219">
        <f t="shared" si="77"/>
        <v>2</v>
      </c>
      <c r="AO61" s="215">
        <f t="shared" si="78"/>
        <v>0.44444444444444448</v>
      </c>
      <c r="AP61" s="215">
        <f t="shared" si="79"/>
        <v>8.1000000000000003E-2</v>
      </c>
      <c r="AQ61" s="215">
        <f t="shared" si="80"/>
        <v>0.14673944943358574</v>
      </c>
      <c r="AR61" s="215">
        <f t="shared" si="46"/>
        <v>0.15436972471679289</v>
      </c>
      <c r="AS61" s="220">
        <f t="shared" si="47"/>
        <v>6.0938483255527011E-2</v>
      </c>
      <c r="AT61" s="219"/>
      <c r="AU61" s="215">
        <f t="shared" si="81"/>
        <v>1.9854720000000006E-2</v>
      </c>
      <c r="AV61" s="220">
        <f t="shared" si="48"/>
        <v>1.9854720000000006E-2</v>
      </c>
      <c r="AW61" s="219">
        <f t="shared" si="82"/>
        <v>6.8148E-2</v>
      </c>
      <c r="AX61" s="215">
        <f t="shared" si="83"/>
        <v>1.0800000000000001E-2</v>
      </c>
      <c r="AY61" s="220">
        <f t="shared" si="49"/>
        <v>7.8948000000000004E-2</v>
      </c>
      <c r="AZ61" s="219">
        <f t="shared" si="70"/>
        <v>0</v>
      </c>
      <c r="BA61" s="215">
        <f t="shared" si="71"/>
        <v>0</v>
      </c>
      <c r="BB61" s="215">
        <f t="shared" si="50"/>
        <v>0</v>
      </c>
      <c r="BC61" s="61">
        <f t="shared" si="84"/>
        <v>0</v>
      </c>
      <c r="BD61" s="58">
        <v>0</v>
      </c>
      <c r="BE61" s="49">
        <f t="shared" si="85"/>
        <v>0</v>
      </c>
      <c r="BF61" s="61">
        <f t="shared" si="52"/>
        <v>0</v>
      </c>
      <c r="BG61" s="58">
        <f t="shared" si="86"/>
        <v>0</v>
      </c>
      <c r="BH61" s="49">
        <f t="shared" si="87"/>
        <v>0</v>
      </c>
      <c r="BI61" s="61">
        <f t="shared" si="88"/>
        <v>0</v>
      </c>
      <c r="BK61" s="219">
        <f t="shared" si="72"/>
        <v>0</v>
      </c>
      <c r="BL61" s="215">
        <f t="shared" si="18"/>
        <v>0</v>
      </c>
      <c r="BM61" s="215">
        <f t="shared" si="73"/>
        <v>0</v>
      </c>
      <c r="BN61" s="61">
        <f t="shared" si="89"/>
        <v>0</v>
      </c>
      <c r="BO61" s="58">
        <v>0</v>
      </c>
      <c r="BP61" s="49">
        <f t="shared" si="90"/>
        <v>0</v>
      </c>
      <c r="BQ61" s="61">
        <f t="shared" si="53"/>
        <v>0</v>
      </c>
      <c r="BR61" s="58">
        <f t="shared" si="91"/>
        <v>0</v>
      </c>
      <c r="BS61" s="49">
        <f t="shared" si="92"/>
        <v>0</v>
      </c>
      <c r="BT61" s="61">
        <f t="shared" si="55"/>
        <v>0</v>
      </c>
      <c r="BU61" s="58">
        <f t="shared" si="74"/>
        <v>9.2837468537103652E-5</v>
      </c>
      <c r="BV61" s="49">
        <f t="shared" si="21"/>
        <v>5.9629500000000002E-2</v>
      </c>
      <c r="BW61" s="61">
        <f t="shared" si="75"/>
        <v>5.4000000000000003E-3</v>
      </c>
      <c r="BX61" s="49">
        <f t="shared" si="56"/>
        <v>8.1913500899421399E-2</v>
      </c>
      <c r="BY61" s="49">
        <f t="shared" si="43"/>
        <v>0.26243483932516937</v>
      </c>
      <c r="BZ61" s="49">
        <f t="shared" si="93"/>
        <v>67.295183800111232</v>
      </c>
    </row>
    <row r="62" spans="17:78" x14ac:dyDescent="0.25">
      <c r="Q62" s="49">
        <v>55</v>
      </c>
      <c r="R62" s="219">
        <f t="shared" si="57"/>
        <v>0.55000000000000004</v>
      </c>
      <c r="S62" s="215">
        <f t="shared" si="1"/>
        <v>12</v>
      </c>
      <c r="T62" s="220">
        <f t="shared" si="58"/>
        <v>4.5833333333333337E-2</v>
      </c>
      <c r="U62" s="219">
        <f t="shared" si="59"/>
        <v>2</v>
      </c>
      <c r="V62" s="215">
        <f t="shared" si="60"/>
        <v>0.55555555555555558</v>
      </c>
      <c r="W62" s="215">
        <f t="shared" si="61"/>
        <v>0.44444444444444442</v>
      </c>
      <c r="X62" s="215">
        <f t="shared" si="23"/>
        <v>0</v>
      </c>
      <c r="Y62" s="219">
        <f t="shared" si="76"/>
        <v>8.2500000000000004E-2</v>
      </c>
      <c r="Z62" s="215">
        <f t="shared" si="62"/>
        <v>0.14673944943358574</v>
      </c>
      <c r="AA62" s="215">
        <f t="shared" si="25"/>
        <v>0.15586972471679289</v>
      </c>
      <c r="AB62" s="220">
        <f t="shared" si="63"/>
        <v>6.912397143433803E-2</v>
      </c>
      <c r="AC62" s="219">
        <v>0</v>
      </c>
      <c r="AD62" s="215">
        <f t="shared" si="64"/>
        <v>7.3200850899421355E-2</v>
      </c>
      <c r="AE62" s="220">
        <f t="shared" si="27"/>
        <v>7.3200850899421355E-2</v>
      </c>
      <c r="AF62" s="58">
        <f t="shared" si="65"/>
        <v>1.1000000000000001E-2</v>
      </c>
      <c r="AG62" s="61">
        <f t="shared" si="66"/>
        <v>1.1000000000000001E-2</v>
      </c>
      <c r="AH62" s="58">
        <f t="shared" si="67"/>
        <v>4.1569673813640065E-5</v>
      </c>
      <c r="AI62" s="49">
        <f t="shared" si="68"/>
        <v>5.8624873372564177E-3</v>
      </c>
      <c r="AJ62" s="61">
        <f t="shared" si="45"/>
        <v>5.9040570110700579E-3</v>
      </c>
      <c r="AK62" s="219">
        <f t="shared" si="69"/>
        <v>0.55000000000000004</v>
      </c>
      <c r="AL62" s="215">
        <f t="shared" si="13"/>
        <v>15</v>
      </c>
      <c r="AM62" s="220">
        <f t="shared" si="28"/>
        <v>3.6666666666666667E-2</v>
      </c>
      <c r="AN62" s="219">
        <f t="shared" si="77"/>
        <v>2</v>
      </c>
      <c r="AO62" s="215">
        <f t="shared" si="78"/>
        <v>0.44444444444444442</v>
      </c>
      <c r="AP62" s="215">
        <f t="shared" si="79"/>
        <v>8.2500000000000004E-2</v>
      </c>
      <c r="AQ62" s="215">
        <f t="shared" si="80"/>
        <v>0.14673944943358572</v>
      </c>
      <c r="AR62" s="215">
        <f t="shared" si="46"/>
        <v>0.15586972471679286</v>
      </c>
      <c r="AS62" s="220">
        <f t="shared" si="47"/>
        <v>6.1826359600773401E-2</v>
      </c>
      <c r="AT62" s="219"/>
      <c r="AU62" s="215">
        <f t="shared" si="81"/>
        <v>2.059688888888889E-2</v>
      </c>
      <c r="AV62" s="220">
        <f t="shared" si="48"/>
        <v>2.059688888888889E-2</v>
      </c>
      <c r="AW62" s="219">
        <f t="shared" si="82"/>
        <v>6.8148E-2</v>
      </c>
      <c r="AX62" s="215">
        <f t="shared" si="83"/>
        <v>1.0999999999999999E-2</v>
      </c>
      <c r="AY62" s="220">
        <f t="shared" si="49"/>
        <v>7.9147999999999996E-2</v>
      </c>
      <c r="AZ62" s="219">
        <f t="shared" si="70"/>
        <v>0</v>
      </c>
      <c r="BA62" s="215">
        <f t="shared" si="71"/>
        <v>0</v>
      </c>
      <c r="BB62" s="215">
        <f t="shared" si="50"/>
        <v>0</v>
      </c>
      <c r="BC62" s="61">
        <f t="shared" si="84"/>
        <v>0</v>
      </c>
      <c r="BD62" s="58">
        <v>0</v>
      </c>
      <c r="BE62" s="49">
        <f t="shared" si="85"/>
        <v>0</v>
      </c>
      <c r="BF62" s="61">
        <f t="shared" si="52"/>
        <v>0</v>
      </c>
      <c r="BG62" s="58">
        <f t="shared" si="86"/>
        <v>0</v>
      </c>
      <c r="BH62" s="49">
        <f t="shared" si="87"/>
        <v>0</v>
      </c>
      <c r="BI62" s="61">
        <f t="shared" si="88"/>
        <v>0</v>
      </c>
      <c r="BK62" s="219">
        <f t="shared" si="72"/>
        <v>0</v>
      </c>
      <c r="BL62" s="215">
        <f t="shared" si="18"/>
        <v>0</v>
      </c>
      <c r="BM62" s="215">
        <f t="shared" si="73"/>
        <v>0</v>
      </c>
      <c r="BN62" s="61">
        <f t="shared" si="89"/>
        <v>0</v>
      </c>
      <c r="BO62" s="58">
        <v>0</v>
      </c>
      <c r="BP62" s="49">
        <f t="shared" si="90"/>
        <v>0</v>
      </c>
      <c r="BQ62" s="61">
        <f t="shared" si="53"/>
        <v>0</v>
      </c>
      <c r="BR62" s="58">
        <f t="shared" si="91"/>
        <v>0</v>
      </c>
      <c r="BS62" s="49">
        <f t="shared" si="92"/>
        <v>0</v>
      </c>
      <c r="BT62" s="61">
        <f t="shared" si="55"/>
        <v>0</v>
      </c>
      <c r="BU62" s="58">
        <f t="shared" si="74"/>
        <v>9.556246853710361E-5</v>
      </c>
      <c r="BV62" s="49">
        <f t="shared" si="21"/>
        <v>5.9629500000000002E-2</v>
      </c>
      <c r="BW62" s="61">
        <f t="shared" si="75"/>
        <v>5.4000000000000003E-3</v>
      </c>
      <c r="BX62" s="49">
        <f t="shared" si="56"/>
        <v>8.4200850899421351E-2</v>
      </c>
      <c r="BY62" s="49">
        <f t="shared" si="43"/>
        <v>0.26597485926791742</v>
      </c>
      <c r="BZ62" s="49">
        <f t="shared" si="93"/>
        <v>67.40403748388195</v>
      </c>
    </row>
    <row r="63" spans="17:78" x14ac:dyDescent="0.25">
      <c r="Q63" s="49">
        <v>56</v>
      </c>
      <c r="R63" s="219">
        <f t="shared" si="57"/>
        <v>0.56000000000000005</v>
      </c>
      <c r="S63" s="215">
        <f t="shared" si="1"/>
        <v>12</v>
      </c>
      <c r="T63" s="220">
        <f t="shared" si="58"/>
        <v>4.6666666666666669E-2</v>
      </c>
      <c r="U63" s="219">
        <f t="shared" si="59"/>
        <v>2</v>
      </c>
      <c r="V63" s="215">
        <f t="shared" si="60"/>
        <v>0.55555555555555558</v>
      </c>
      <c r="W63" s="215">
        <f t="shared" si="61"/>
        <v>0.44444444444444442</v>
      </c>
      <c r="X63" s="215">
        <f t="shared" si="23"/>
        <v>0</v>
      </c>
      <c r="Y63" s="219">
        <f t="shared" si="76"/>
        <v>8.4000000000000005E-2</v>
      </c>
      <c r="Z63" s="215">
        <f t="shared" si="62"/>
        <v>0.14673944943358574</v>
      </c>
      <c r="AA63" s="215">
        <f t="shared" si="25"/>
        <v>0.15736972471679289</v>
      </c>
      <c r="AB63" s="220">
        <f t="shared" si="63"/>
        <v>7.0120420897590033E-2</v>
      </c>
      <c r="AC63" s="219">
        <v>0</v>
      </c>
      <c r="AD63" s="215">
        <f t="shared" si="64"/>
        <v>7.5326500899421375E-2</v>
      </c>
      <c r="AE63" s="220">
        <f t="shared" si="27"/>
        <v>7.5326500899421375E-2</v>
      </c>
      <c r="AF63" s="58">
        <f t="shared" si="65"/>
        <v>1.1200000000000002E-2</v>
      </c>
      <c r="AG63" s="61">
        <f t="shared" si="66"/>
        <v>1.1200000000000002E-2</v>
      </c>
      <c r="AH63" s="58">
        <f t="shared" si="67"/>
        <v>4.2776798813640071E-5</v>
      </c>
      <c r="AI63" s="49">
        <f t="shared" si="68"/>
        <v>5.9690780161156254E-3</v>
      </c>
      <c r="AJ63" s="61">
        <f t="shared" si="45"/>
        <v>6.0118548149292652E-3</v>
      </c>
      <c r="AK63" s="219">
        <f t="shared" si="69"/>
        <v>0.56000000000000005</v>
      </c>
      <c r="AL63" s="215">
        <f t="shared" si="13"/>
        <v>15</v>
      </c>
      <c r="AM63" s="220">
        <f t="shared" si="28"/>
        <v>3.7333333333333336E-2</v>
      </c>
      <c r="AN63" s="219">
        <f t="shared" si="77"/>
        <v>2</v>
      </c>
      <c r="AO63" s="215">
        <f t="shared" si="78"/>
        <v>0.44444444444444448</v>
      </c>
      <c r="AP63" s="215">
        <f t="shared" si="79"/>
        <v>8.4000000000000005E-2</v>
      </c>
      <c r="AQ63" s="215">
        <f t="shared" si="80"/>
        <v>0.14673944943358574</v>
      </c>
      <c r="AR63" s="215">
        <f t="shared" si="46"/>
        <v>0.15736972471679289</v>
      </c>
      <c r="AS63" s="220">
        <f t="shared" si="47"/>
        <v>6.2717611095163245E-2</v>
      </c>
      <c r="AT63" s="219"/>
      <c r="AU63" s="215">
        <f t="shared" si="81"/>
        <v>2.1352675555555561E-2</v>
      </c>
      <c r="AV63" s="220">
        <f t="shared" si="48"/>
        <v>2.1352675555555561E-2</v>
      </c>
      <c r="AW63" s="219">
        <f t="shared" si="82"/>
        <v>6.8148E-2</v>
      </c>
      <c r="AX63" s="215">
        <f t="shared" si="83"/>
        <v>1.12E-2</v>
      </c>
      <c r="AY63" s="220">
        <f t="shared" si="49"/>
        <v>7.9348000000000002E-2</v>
      </c>
      <c r="AZ63" s="219">
        <f t="shared" si="70"/>
        <v>0</v>
      </c>
      <c r="BA63" s="215">
        <f t="shared" si="71"/>
        <v>0</v>
      </c>
      <c r="BB63" s="215">
        <f t="shared" si="50"/>
        <v>0</v>
      </c>
      <c r="BC63" s="61">
        <f t="shared" si="84"/>
        <v>0</v>
      </c>
      <c r="BD63" s="58">
        <v>0</v>
      </c>
      <c r="BE63" s="49">
        <f t="shared" si="85"/>
        <v>0</v>
      </c>
      <c r="BF63" s="61">
        <f t="shared" si="52"/>
        <v>0</v>
      </c>
      <c r="BG63" s="58">
        <f t="shared" si="86"/>
        <v>0</v>
      </c>
      <c r="BH63" s="49">
        <f t="shared" si="87"/>
        <v>0</v>
      </c>
      <c r="BI63" s="61">
        <f t="shared" si="88"/>
        <v>0</v>
      </c>
      <c r="BK63" s="219">
        <f t="shared" si="72"/>
        <v>0</v>
      </c>
      <c r="BL63" s="215">
        <f t="shared" si="18"/>
        <v>0</v>
      </c>
      <c r="BM63" s="215">
        <f t="shared" si="73"/>
        <v>0</v>
      </c>
      <c r="BN63" s="61">
        <f t="shared" si="89"/>
        <v>0</v>
      </c>
      <c r="BO63" s="58">
        <v>0</v>
      </c>
      <c r="BP63" s="49">
        <f t="shared" si="90"/>
        <v>0</v>
      </c>
      <c r="BQ63" s="61">
        <f t="shared" si="53"/>
        <v>0</v>
      </c>
      <c r="BR63" s="58">
        <f t="shared" si="91"/>
        <v>0</v>
      </c>
      <c r="BS63" s="49">
        <f t="shared" si="92"/>
        <v>0</v>
      </c>
      <c r="BT63" s="61">
        <f t="shared" si="55"/>
        <v>0</v>
      </c>
      <c r="BU63" s="58">
        <f t="shared" si="74"/>
        <v>9.8337468537103623E-5</v>
      </c>
      <c r="BV63" s="49">
        <f t="shared" si="21"/>
        <v>5.9629500000000002E-2</v>
      </c>
      <c r="BW63" s="61">
        <f t="shared" si="75"/>
        <v>5.4000000000000003E-3</v>
      </c>
      <c r="BX63" s="49">
        <f t="shared" si="56"/>
        <v>8.6526500899421377E-2</v>
      </c>
      <c r="BY63" s="49">
        <f t="shared" si="43"/>
        <v>0.26956686873844332</v>
      </c>
      <c r="BZ63" s="49">
        <f t="shared" si="93"/>
        <v>67.505106713291866</v>
      </c>
    </row>
    <row r="64" spans="17:78" x14ac:dyDescent="0.25">
      <c r="Q64" s="49">
        <v>57</v>
      </c>
      <c r="R64" s="219">
        <f t="shared" si="57"/>
        <v>0.57000000000000006</v>
      </c>
      <c r="S64" s="215">
        <f t="shared" si="1"/>
        <v>12</v>
      </c>
      <c r="T64" s="220">
        <f t="shared" si="58"/>
        <v>4.7500000000000007E-2</v>
      </c>
      <c r="U64" s="219">
        <f t="shared" si="59"/>
        <v>2</v>
      </c>
      <c r="V64" s="215">
        <f t="shared" si="60"/>
        <v>0.55555555555555558</v>
      </c>
      <c r="W64" s="215">
        <f t="shared" si="61"/>
        <v>0.44444444444444442</v>
      </c>
      <c r="X64" s="215">
        <f t="shared" si="23"/>
        <v>0</v>
      </c>
      <c r="Y64" s="219">
        <f t="shared" si="76"/>
        <v>8.5500000000000007E-2</v>
      </c>
      <c r="Z64" s="215">
        <f t="shared" si="62"/>
        <v>0.14673944943358574</v>
      </c>
      <c r="AA64" s="215">
        <f t="shared" si="25"/>
        <v>0.15886972471679289</v>
      </c>
      <c r="AB64" s="220">
        <f t="shared" si="63"/>
        <v>7.1120485282759299E-2</v>
      </c>
      <c r="AC64" s="219">
        <v>0</v>
      </c>
      <c r="AD64" s="215">
        <f t="shared" si="64"/>
        <v>7.7490450899421387E-2</v>
      </c>
      <c r="AE64" s="220">
        <f t="shared" si="27"/>
        <v>7.7490450899421387E-2</v>
      </c>
      <c r="AF64" s="58">
        <f t="shared" si="65"/>
        <v>1.1400000000000002E-2</v>
      </c>
      <c r="AG64" s="61">
        <f t="shared" si="66"/>
        <v>1.1400000000000002E-2</v>
      </c>
      <c r="AH64" s="58">
        <f t="shared" si="67"/>
        <v>4.400567381364008E-5</v>
      </c>
      <c r="AI64" s="49">
        <f t="shared" si="68"/>
        <v>6.0756686949748331E-3</v>
      </c>
      <c r="AJ64" s="61">
        <f t="shared" si="45"/>
        <v>6.1196743687884731E-3</v>
      </c>
      <c r="AK64" s="219">
        <f t="shared" si="69"/>
        <v>0.57000000000000006</v>
      </c>
      <c r="AL64" s="215">
        <f t="shared" si="13"/>
        <v>15</v>
      </c>
      <c r="AM64" s="220">
        <f t="shared" si="28"/>
        <v>3.8000000000000006E-2</v>
      </c>
      <c r="AN64" s="219">
        <f t="shared" si="77"/>
        <v>2</v>
      </c>
      <c r="AO64" s="215">
        <f t="shared" si="78"/>
        <v>0.44444444444444448</v>
      </c>
      <c r="AP64" s="215">
        <f t="shared" si="79"/>
        <v>8.5500000000000007E-2</v>
      </c>
      <c r="AQ64" s="215">
        <f t="shared" si="80"/>
        <v>0.14673944943358574</v>
      </c>
      <c r="AR64" s="215">
        <f t="shared" si="46"/>
        <v>0.15886972471679289</v>
      </c>
      <c r="AS64" s="220">
        <f t="shared" si="47"/>
        <v>6.3612095874009261E-2</v>
      </c>
      <c r="AT64" s="219"/>
      <c r="AU64" s="215">
        <f t="shared" si="81"/>
        <v>2.2122080000000006E-2</v>
      </c>
      <c r="AV64" s="220">
        <f t="shared" si="48"/>
        <v>2.2122080000000006E-2</v>
      </c>
      <c r="AW64" s="219">
        <f t="shared" si="82"/>
        <v>6.8148E-2</v>
      </c>
      <c r="AX64" s="215">
        <f t="shared" si="83"/>
        <v>1.1400000000000002E-2</v>
      </c>
      <c r="AY64" s="220">
        <f t="shared" si="49"/>
        <v>7.9548000000000008E-2</v>
      </c>
      <c r="AZ64" s="219">
        <f t="shared" si="70"/>
        <v>0</v>
      </c>
      <c r="BA64" s="215">
        <f t="shared" si="71"/>
        <v>0</v>
      </c>
      <c r="BB64" s="215">
        <f t="shared" si="50"/>
        <v>0</v>
      </c>
      <c r="BC64" s="61">
        <f t="shared" si="84"/>
        <v>0</v>
      </c>
      <c r="BD64" s="58">
        <v>0</v>
      </c>
      <c r="BE64" s="49">
        <f t="shared" si="85"/>
        <v>0</v>
      </c>
      <c r="BF64" s="61">
        <f t="shared" si="52"/>
        <v>0</v>
      </c>
      <c r="BG64" s="58">
        <f t="shared" si="86"/>
        <v>0</v>
      </c>
      <c r="BH64" s="49">
        <f t="shared" si="87"/>
        <v>0</v>
      </c>
      <c r="BI64" s="61">
        <f t="shared" si="88"/>
        <v>0</v>
      </c>
      <c r="BK64" s="219">
        <f t="shared" si="72"/>
        <v>0</v>
      </c>
      <c r="BL64" s="215">
        <f t="shared" si="18"/>
        <v>0</v>
      </c>
      <c r="BM64" s="215">
        <f t="shared" si="73"/>
        <v>0</v>
      </c>
      <c r="BN64" s="61">
        <f t="shared" si="89"/>
        <v>0</v>
      </c>
      <c r="BO64" s="58">
        <v>0</v>
      </c>
      <c r="BP64" s="49">
        <f t="shared" si="90"/>
        <v>0</v>
      </c>
      <c r="BQ64" s="61">
        <f t="shared" si="53"/>
        <v>0</v>
      </c>
      <c r="BR64" s="58">
        <f t="shared" si="91"/>
        <v>0</v>
      </c>
      <c r="BS64" s="49">
        <f t="shared" si="92"/>
        <v>0</v>
      </c>
      <c r="BT64" s="61">
        <f t="shared" si="55"/>
        <v>0</v>
      </c>
      <c r="BU64" s="58">
        <f t="shared" si="74"/>
        <v>1.0116246853710364E-4</v>
      </c>
      <c r="BV64" s="49">
        <f t="shared" si="21"/>
        <v>5.9629500000000002E-2</v>
      </c>
      <c r="BW64" s="61">
        <f t="shared" si="75"/>
        <v>5.4000000000000003E-3</v>
      </c>
      <c r="BX64" s="49">
        <f t="shared" si="56"/>
        <v>8.8890450899421394E-2</v>
      </c>
      <c r="BY64" s="49">
        <f t="shared" si="43"/>
        <v>0.27321086773674702</v>
      </c>
      <c r="BZ64" s="49">
        <f t="shared" si="93"/>
        <v>67.598749234569368</v>
      </c>
    </row>
    <row r="65" spans="17:78" x14ac:dyDescent="0.25">
      <c r="Q65" s="49">
        <v>58</v>
      </c>
      <c r="R65" s="219">
        <f t="shared" si="57"/>
        <v>0.57999999999999996</v>
      </c>
      <c r="S65" s="215">
        <f t="shared" si="1"/>
        <v>12</v>
      </c>
      <c r="T65" s="220">
        <f t="shared" si="58"/>
        <v>4.8333333333333332E-2</v>
      </c>
      <c r="U65" s="219">
        <f t="shared" si="59"/>
        <v>2</v>
      </c>
      <c r="V65" s="215">
        <f t="shared" si="60"/>
        <v>0.55555555555555558</v>
      </c>
      <c r="W65" s="215">
        <f t="shared" si="61"/>
        <v>0.44444444444444442</v>
      </c>
      <c r="X65" s="215">
        <f t="shared" si="23"/>
        <v>0</v>
      </c>
      <c r="Y65" s="219">
        <f t="shared" si="76"/>
        <v>8.6999999999999994E-2</v>
      </c>
      <c r="Z65" s="215">
        <f t="shared" si="62"/>
        <v>0.14673944943358574</v>
      </c>
      <c r="AA65" s="215">
        <f t="shared" si="25"/>
        <v>0.16036972471679287</v>
      </c>
      <c r="AB65" s="220">
        <f t="shared" si="63"/>
        <v>7.2124014217562649E-2</v>
      </c>
      <c r="AC65" s="219">
        <v>0</v>
      </c>
      <c r="AD65" s="215">
        <f t="shared" si="64"/>
        <v>7.9692700899421348E-2</v>
      </c>
      <c r="AE65" s="220">
        <f t="shared" si="27"/>
        <v>7.9692700899421348E-2</v>
      </c>
      <c r="AF65" s="58">
        <f t="shared" si="65"/>
        <v>1.1599999999999999E-2</v>
      </c>
      <c r="AG65" s="61">
        <f t="shared" si="66"/>
        <v>1.1599999999999999E-2</v>
      </c>
      <c r="AH65" s="58">
        <f t="shared" si="67"/>
        <v>4.5256298813640053E-5</v>
      </c>
      <c r="AI65" s="49">
        <f t="shared" si="68"/>
        <v>6.18225937383404E-3</v>
      </c>
      <c r="AJ65" s="61">
        <f t="shared" si="45"/>
        <v>6.2275156726476801E-3</v>
      </c>
      <c r="AK65" s="219">
        <f t="shared" si="69"/>
        <v>0.57999999999999996</v>
      </c>
      <c r="AL65" s="215">
        <f t="shared" si="13"/>
        <v>15</v>
      </c>
      <c r="AM65" s="220">
        <f t="shared" si="28"/>
        <v>3.8666666666666662E-2</v>
      </c>
      <c r="AN65" s="219">
        <f t="shared" si="77"/>
        <v>2</v>
      </c>
      <c r="AO65" s="215">
        <f t="shared" si="78"/>
        <v>0.44444444444444442</v>
      </c>
      <c r="AP65" s="215">
        <f t="shared" si="79"/>
        <v>8.6999999999999994E-2</v>
      </c>
      <c r="AQ65" s="215">
        <f t="shared" si="80"/>
        <v>0.14673944943358572</v>
      </c>
      <c r="AR65" s="215">
        <f t="shared" si="46"/>
        <v>0.16036972471679284</v>
      </c>
      <c r="AS65" s="220">
        <f t="shared" si="47"/>
        <v>6.4509679440252543E-2</v>
      </c>
      <c r="AT65" s="219"/>
      <c r="AU65" s="215">
        <f t="shared" si="81"/>
        <v>2.2905102222222216E-2</v>
      </c>
      <c r="AV65" s="220">
        <f t="shared" si="48"/>
        <v>2.2905102222222216E-2</v>
      </c>
      <c r="AW65" s="219">
        <f t="shared" si="82"/>
        <v>6.8148E-2</v>
      </c>
      <c r="AX65" s="215">
        <f t="shared" si="83"/>
        <v>1.1599999999999997E-2</v>
      </c>
      <c r="AY65" s="220">
        <f t="shared" si="49"/>
        <v>7.9747999999999999E-2</v>
      </c>
      <c r="AZ65" s="219">
        <f t="shared" si="70"/>
        <v>0</v>
      </c>
      <c r="BA65" s="215">
        <f t="shared" si="71"/>
        <v>0</v>
      </c>
      <c r="BB65" s="215">
        <f t="shared" si="50"/>
        <v>0</v>
      </c>
      <c r="BC65" s="61">
        <f t="shared" si="84"/>
        <v>0</v>
      </c>
      <c r="BD65" s="58">
        <v>0</v>
      </c>
      <c r="BE65" s="49">
        <f t="shared" si="85"/>
        <v>0</v>
      </c>
      <c r="BF65" s="61">
        <f t="shared" si="52"/>
        <v>0</v>
      </c>
      <c r="BG65" s="58">
        <f t="shared" si="86"/>
        <v>0</v>
      </c>
      <c r="BH65" s="49">
        <f t="shared" si="87"/>
        <v>0</v>
      </c>
      <c r="BI65" s="61">
        <f t="shared" si="88"/>
        <v>0</v>
      </c>
      <c r="BK65" s="219">
        <f t="shared" si="72"/>
        <v>0</v>
      </c>
      <c r="BL65" s="215">
        <f t="shared" si="18"/>
        <v>0</v>
      </c>
      <c r="BM65" s="215">
        <f t="shared" si="73"/>
        <v>0</v>
      </c>
      <c r="BN65" s="61">
        <f t="shared" si="89"/>
        <v>0</v>
      </c>
      <c r="BO65" s="58">
        <v>0</v>
      </c>
      <c r="BP65" s="49">
        <f t="shared" si="90"/>
        <v>0</v>
      </c>
      <c r="BQ65" s="61">
        <f t="shared" si="53"/>
        <v>0</v>
      </c>
      <c r="BR65" s="58">
        <f t="shared" si="91"/>
        <v>0</v>
      </c>
      <c r="BS65" s="49">
        <f t="shared" si="92"/>
        <v>0</v>
      </c>
      <c r="BT65" s="61">
        <f t="shared" si="55"/>
        <v>0</v>
      </c>
      <c r="BU65" s="58">
        <f t="shared" si="74"/>
        <v>1.0403746853710359E-4</v>
      </c>
      <c r="BV65" s="49">
        <f t="shared" si="21"/>
        <v>5.9629500000000002E-2</v>
      </c>
      <c r="BW65" s="61">
        <f t="shared" si="75"/>
        <v>5.4000000000000003E-3</v>
      </c>
      <c r="BX65" s="49">
        <f t="shared" si="56"/>
        <v>9.1292700899421347E-2</v>
      </c>
      <c r="BY65" s="49">
        <f t="shared" si="43"/>
        <v>0.27690685626282835</v>
      </c>
      <c r="BZ65" s="49">
        <f t="shared" si="93"/>
        <v>67.685302756184711</v>
      </c>
    </row>
    <row r="66" spans="17:78" x14ac:dyDescent="0.25">
      <c r="Q66" s="49">
        <v>59</v>
      </c>
      <c r="R66" s="219">
        <f t="shared" si="57"/>
        <v>0.59</v>
      </c>
      <c r="S66" s="215">
        <f t="shared" si="1"/>
        <v>12</v>
      </c>
      <c r="T66" s="220">
        <f t="shared" si="58"/>
        <v>4.9166666666666664E-2</v>
      </c>
      <c r="U66" s="219">
        <f t="shared" si="59"/>
        <v>2</v>
      </c>
      <c r="V66" s="215">
        <f t="shared" si="60"/>
        <v>0.55555555555555558</v>
      </c>
      <c r="W66" s="215">
        <f t="shared" si="61"/>
        <v>0.44444444444444442</v>
      </c>
      <c r="X66" s="215">
        <f t="shared" si="23"/>
        <v>0</v>
      </c>
      <c r="Y66" s="219">
        <f t="shared" si="76"/>
        <v>8.8499999999999995E-2</v>
      </c>
      <c r="Z66" s="215">
        <f t="shared" si="62"/>
        <v>0.14673944943358574</v>
      </c>
      <c r="AA66" s="215">
        <f t="shared" si="25"/>
        <v>0.16186972471679287</v>
      </c>
      <c r="AB66" s="220">
        <f t="shared" si="63"/>
        <v>7.31308650766226E-2</v>
      </c>
      <c r="AC66" s="219">
        <v>0</v>
      </c>
      <c r="AD66" s="215">
        <f t="shared" si="64"/>
        <v>8.1933250899421356E-2</v>
      </c>
      <c r="AE66" s="220">
        <f t="shared" si="27"/>
        <v>8.1933250899421356E-2</v>
      </c>
      <c r="AF66" s="58">
        <f t="shared" si="65"/>
        <v>1.18E-2</v>
      </c>
      <c r="AG66" s="61">
        <f t="shared" si="66"/>
        <v>1.18E-2</v>
      </c>
      <c r="AH66" s="58">
        <f t="shared" si="67"/>
        <v>4.6528673813640056E-5</v>
      </c>
      <c r="AI66" s="49">
        <f t="shared" si="68"/>
        <v>6.2888500526932485E-3</v>
      </c>
      <c r="AJ66" s="61">
        <f t="shared" si="45"/>
        <v>6.3353787265068885E-3</v>
      </c>
      <c r="AK66" s="219">
        <f t="shared" si="69"/>
        <v>0.59</v>
      </c>
      <c r="AL66" s="215">
        <f t="shared" si="13"/>
        <v>15</v>
      </c>
      <c r="AM66" s="220">
        <f t="shared" si="28"/>
        <v>3.9333333333333331E-2</v>
      </c>
      <c r="AN66" s="219">
        <f t="shared" si="77"/>
        <v>2</v>
      </c>
      <c r="AO66" s="215">
        <f t="shared" si="78"/>
        <v>0.44444444444444442</v>
      </c>
      <c r="AP66" s="215">
        <f t="shared" si="79"/>
        <v>8.8499999999999995E-2</v>
      </c>
      <c r="AQ66" s="215">
        <f t="shared" si="80"/>
        <v>0.14673944943358572</v>
      </c>
      <c r="AR66" s="215">
        <f t="shared" si="46"/>
        <v>0.16186972471679284</v>
      </c>
      <c r="AS66" s="220">
        <f t="shared" si="47"/>
        <v>6.5410234225877384E-2</v>
      </c>
      <c r="AT66" s="219"/>
      <c r="AU66" s="215">
        <f t="shared" si="81"/>
        <v>2.3701742222222218E-2</v>
      </c>
      <c r="AV66" s="220">
        <f t="shared" si="48"/>
        <v>2.3701742222222218E-2</v>
      </c>
      <c r="AW66" s="219">
        <f t="shared" si="82"/>
        <v>6.8148E-2</v>
      </c>
      <c r="AX66" s="215">
        <f t="shared" si="83"/>
        <v>1.18E-2</v>
      </c>
      <c r="AY66" s="220">
        <f t="shared" si="49"/>
        <v>7.9948000000000005E-2</v>
      </c>
      <c r="AZ66" s="219">
        <f t="shared" si="70"/>
        <v>0</v>
      </c>
      <c r="BA66" s="215">
        <f t="shared" si="71"/>
        <v>0</v>
      </c>
      <c r="BB66" s="215">
        <f t="shared" si="50"/>
        <v>0</v>
      </c>
      <c r="BC66" s="61">
        <f t="shared" si="84"/>
        <v>0</v>
      </c>
      <c r="BD66" s="58">
        <v>0</v>
      </c>
      <c r="BE66" s="49">
        <f t="shared" si="85"/>
        <v>0</v>
      </c>
      <c r="BF66" s="61">
        <f t="shared" si="52"/>
        <v>0</v>
      </c>
      <c r="BG66" s="58">
        <f t="shared" si="86"/>
        <v>0</v>
      </c>
      <c r="BH66" s="49">
        <f t="shared" si="87"/>
        <v>0</v>
      </c>
      <c r="BI66" s="61">
        <f t="shared" si="88"/>
        <v>0</v>
      </c>
      <c r="BK66" s="219">
        <f t="shared" si="72"/>
        <v>0</v>
      </c>
      <c r="BL66" s="215">
        <f t="shared" si="18"/>
        <v>0</v>
      </c>
      <c r="BM66" s="215">
        <f t="shared" si="73"/>
        <v>0</v>
      </c>
      <c r="BN66" s="61">
        <f t="shared" si="89"/>
        <v>0</v>
      </c>
      <c r="BO66" s="58">
        <v>0</v>
      </c>
      <c r="BP66" s="49">
        <f t="shared" si="90"/>
        <v>0</v>
      </c>
      <c r="BQ66" s="61">
        <f t="shared" si="53"/>
        <v>0</v>
      </c>
      <c r="BR66" s="58">
        <f t="shared" si="91"/>
        <v>0</v>
      </c>
      <c r="BS66" s="49">
        <f t="shared" si="92"/>
        <v>0</v>
      </c>
      <c r="BT66" s="61">
        <f t="shared" si="55"/>
        <v>0</v>
      </c>
      <c r="BU66" s="58">
        <f t="shared" si="74"/>
        <v>1.0696246853710359E-4</v>
      </c>
      <c r="BV66" s="49">
        <f t="shared" si="21"/>
        <v>5.9629500000000002E-2</v>
      </c>
      <c r="BW66" s="61">
        <f t="shared" si="75"/>
        <v>5.4000000000000003E-3</v>
      </c>
      <c r="BX66" s="49">
        <f t="shared" si="56"/>
        <v>9.3733250899421361E-2</v>
      </c>
      <c r="BY66" s="49">
        <f t="shared" si="43"/>
        <v>0.28065483431668753</v>
      </c>
      <c r="BZ66" s="49">
        <f t="shared" si="93"/>
        <v>67.765086317248475</v>
      </c>
    </row>
    <row r="67" spans="17:78" x14ac:dyDescent="0.25">
      <c r="Q67" s="49">
        <v>60</v>
      </c>
      <c r="R67" s="219">
        <f t="shared" si="57"/>
        <v>0.6</v>
      </c>
      <c r="S67" s="215">
        <f t="shared" si="1"/>
        <v>12</v>
      </c>
      <c r="T67" s="220">
        <f t="shared" si="58"/>
        <v>4.9999999999999996E-2</v>
      </c>
      <c r="U67" s="219">
        <f t="shared" si="59"/>
        <v>2</v>
      </c>
      <c r="V67" s="215">
        <f t="shared" si="60"/>
        <v>0.55555555555555558</v>
      </c>
      <c r="W67" s="215">
        <f t="shared" si="61"/>
        <v>0.44444444444444442</v>
      </c>
      <c r="X67" s="215">
        <f t="shared" si="23"/>
        <v>0</v>
      </c>
      <c r="Y67" s="219">
        <f t="shared" si="76"/>
        <v>0.09</v>
      </c>
      <c r="Z67" s="215">
        <f t="shared" si="62"/>
        <v>0.14673944943358574</v>
      </c>
      <c r="AA67" s="215">
        <f t="shared" si="25"/>
        <v>0.16336972471679287</v>
      </c>
      <c r="AB67" s="220">
        <f t="shared" si="63"/>
        <v>7.4140902522529237E-2</v>
      </c>
      <c r="AC67" s="219">
        <v>0</v>
      </c>
      <c r="AD67" s="215">
        <f t="shared" si="64"/>
        <v>8.4212100899421397E-2</v>
      </c>
      <c r="AE67" s="220">
        <f t="shared" si="27"/>
        <v>8.4212100899421397E-2</v>
      </c>
      <c r="AF67" s="58">
        <f t="shared" si="65"/>
        <v>1.2E-2</v>
      </c>
      <c r="AG67" s="61">
        <f t="shared" si="66"/>
        <v>1.2E-2</v>
      </c>
      <c r="AH67" s="58">
        <f t="shared" si="67"/>
        <v>4.7822798813640083E-5</v>
      </c>
      <c r="AI67" s="49">
        <f t="shared" si="68"/>
        <v>6.3954407315524537E-3</v>
      </c>
      <c r="AJ67" s="61">
        <f t="shared" si="45"/>
        <v>6.4432635303660933E-3</v>
      </c>
      <c r="AK67" s="219">
        <f t="shared" si="69"/>
        <v>0.6</v>
      </c>
      <c r="AL67" s="215">
        <f t="shared" si="13"/>
        <v>15</v>
      </c>
      <c r="AM67" s="220">
        <f t="shared" si="28"/>
        <v>0.04</v>
      </c>
      <c r="AN67" s="219">
        <f t="shared" si="77"/>
        <v>2</v>
      </c>
      <c r="AO67" s="215">
        <f t="shared" si="78"/>
        <v>0.44444444444444448</v>
      </c>
      <c r="AP67" s="215">
        <f t="shared" si="79"/>
        <v>0.09</v>
      </c>
      <c r="AQ67" s="215">
        <f t="shared" si="80"/>
        <v>0.14673944943358574</v>
      </c>
      <c r="AR67" s="215">
        <f t="shared" si="46"/>
        <v>0.16336972471679287</v>
      </c>
      <c r="AS67" s="220">
        <f t="shared" si="47"/>
        <v>6.6313639181424397E-2</v>
      </c>
      <c r="AT67" s="219"/>
      <c r="AU67" s="215">
        <f t="shared" si="81"/>
        <v>2.4512000000000003E-2</v>
      </c>
      <c r="AV67" s="220">
        <f t="shared" si="48"/>
        <v>2.4512000000000003E-2</v>
      </c>
      <c r="AW67" s="219">
        <f t="shared" si="82"/>
        <v>6.8148E-2</v>
      </c>
      <c r="AX67" s="215">
        <f t="shared" si="83"/>
        <v>1.2E-2</v>
      </c>
      <c r="AY67" s="220">
        <f t="shared" si="49"/>
        <v>8.0147999999999997E-2</v>
      </c>
      <c r="AZ67" s="219">
        <f t="shared" si="70"/>
        <v>0</v>
      </c>
      <c r="BA67" s="215">
        <f t="shared" si="71"/>
        <v>0</v>
      </c>
      <c r="BB67" s="215">
        <f t="shared" si="50"/>
        <v>0</v>
      </c>
      <c r="BC67" s="61">
        <f t="shared" si="84"/>
        <v>0</v>
      </c>
      <c r="BD67" s="58">
        <v>0</v>
      </c>
      <c r="BE67" s="49">
        <f t="shared" si="85"/>
        <v>0</v>
      </c>
      <c r="BF67" s="61">
        <f t="shared" si="52"/>
        <v>0</v>
      </c>
      <c r="BG67" s="58">
        <f t="shared" si="86"/>
        <v>0</v>
      </c>
      <c r="BH67" s="49">
        <f t="shared" si="87"/>
        <v>0</v>
      </c>
      <c r="BI67" s="61">
        <f t="shared" si="88"/>
        <v>0</v>
      </c>
      <c r="BK67" s="219">
        <f t="shared" si="72"/>
        <v>0</v>
      </c>
      <c r="BL67" s="215">
        <f t="shared" si="18"/>
        <v>0</v>
      </c>
      <c r="BM67" s="215">
        <f t="shared" si="73"/>
        <v>0</v>
      </c>
      <c r="BN67" s="61">
        <f t="shared" si="89"/>
        <v>0</v>
      </c>
      <c r="BO67" s="58">
        <v>0</v>
      </c>
      <c r="BP67" s="49">
        <f t="shared" si="90"/>
        <v>0</v>
      </c>
      <c r="BQ67" s="61">
        <f t="shared" si="53"/>
        <v>0</v>
      </c>
      <c r="BR67" s="58">
        <f t="shared" si="91"/>
        <v>0</v>
      </c>
      <c r="BS67" s="49">
        <f t="shared" si="92"/>
        <v>0</v>
      </c>
      <c r="BT67" s="61">
        <f t="shared" si="55"/>
        <v>0</v>
      </c>
      <c r="BU67" s="58">
        <f t="shared" si="74"/>
        <v>1.0993746853710365E-4</v>
      </c>
      <c r="BV67" s="49">
        <f t="shared" si="21"/>
        <v>5.9629500000000002E-2</v>
      </c>
      <c r="BW67" s="61">
        <f t="shared" si="75"/>
        <v>5.4000000000000003E-3</v>
      </c>
      <c r="BX67" s="49">
        <f t="shared" si="56"/>
        <v>9.6212100899421393E-2</v>
      </c>
      <c r="BY67" s="49">
        <f t="shared" si="43"/>
        <v>0.28445480189832462</v>
      </c>
      <c r="BZ67" s="49">
        <f t="shared" si="93"/>
        <v>67.838401545472635</v>
      </c>
    </row>
    <row r="68" spans="17:78" x14ac:dyDescent="0.25">
      <c r="Q68" s="49">
        <v>61</v>
      </c>
      <c r="R68" s="219">
        <f t="shared" si="57"/>
        <v>0.61</v>
      </c>
      <c r="S68" s="215">
        <f t="shared" si="1"/>
        <v>12</v>
      </c>
      <c r="T68" s="220">
        <f t="shared" si="58"/>
        <v>5.0833333333333335E-2</v>
      </c>
      <c r="U68" s="219">
        <f t="shared" si="59"/>
        <v>2</v>
      </c>
      <c r="V68" s="215">
        <f t="shared" si="60"/>
        <v>0.55555555555555558</v>
      </c>
      <c r="W68" s="215">
        <f t="shared" si="61"/>
        <v>0.44444444444444442</v>
      </c>
      <c r="X68" s="215">
        <f t="shared" si="23"/>
        <v>0</v>
      </c>
      <c r="Y68" s="219">
        <f t="shared" si="76"/>
        <v>9.1499999999999998E-2</v>
      </c>
      <c r="Z68" s="215">
        <f t="shared" si="62"/>
        <v>0.14673944943358574</v>
      </c>
      <c r="AA68" s="215">
        <f t="shared" si="25"/>
        <v>0.16486972471679287</v>
      </c>
      <c r="AB68" s="220">
        <f t="shared" si="63"/>
        <v>7.5153998076317785E-2</v>
      </c>
      <c r="AC68" s="219">
        <v>0</v>
      </c>
      <c r="AD68" s="215">
        <f t="shared" si="64"/>
        <v>8.6529250899421317E-2</v>
      </c>
      <c r="AE68" s="220">
        <f t="shared" si="27"/>
        <v>8.6529250899421317E-2</v>
      </c>
      <c r="AF68" s="58">
        <f t="shared" si="65"/>
        <v>1.2200000000000001E-2</v>
      </c>
      <c r="AG68" s="61">
        <f t="shared" si="66"/>
        <v>1.2200000000000001E-2</v>
      </c>
      <c r="AH68" s="58">
        <f t="shared" si="67"/>
        <v>4.9138673813640039E-5</v>
      </c>
      <c r="AI68" s="49">
        <f t="shared" si="68"/>
        <v>6.5020314104116623E-3</v>
      </c>
      <c r="AJ68" s="61">
        <f t="shared" si="45"/>
        <v>6.5511700842253023E-3</v>
      </c>
      <c r="AK68" s="219">
        <f t="shared" si="69"/>
        <v>0.61</v>
      </c>
      <c r="AL68" s="215">
        <f t="shared" si="13"/>
        <v>15</v>
      </c>
      <c r="AM68" s="220">
        <f t="shared" si="28"/>
        <v>4.0666666666666663E-2</v>
      </c>
      <c r="AN68" s="219">
        <f t="shared" si="77"/>
        <v>2</v>
      </c>
      <c r="AO68" s="215">
        <f t="shared" si="78"/>
        <v>0.44444444444444442</v>
      </c>
      <c r="AP68" s="215">
        <f t="shared" si="79"/>
        <v>9.1499999999999998E-2</v>
      </c>
      <c r="AQ68" s="215">
        <f t="shared" si="80"/>
        <v>0.14673944943358572</v>
      </c>
      <c r="AR68" s="215">
        <f t="shared" si="46"/>
        <v>0.16486972471679284</v>
      </c>
      <c r="AS68" s="220">
        <f t="shared" si="47"/>
        <v>6.7219779391814005E-2</v>
      </c>
      <c r="AT68" s="219"/>
      <c r="AU68" s="215">
        <f t="shared" si="81"/>
        <v>2.533587555555555E-2</v>
      </c>
      <c r="AV68" s="220">
        <f t="shared" si="48"/>
        <v>2.533587555555555E-2</v>
      </c>
      <c r="AW68" s="219">
        <f t="shared" si="82"/>
        <v>6.8148E-2</v>
      </c>
      <c r="AX68" s="215">
        <f t="shared" si="83"/>
        <v>1.2199999999999999E-2</v>
      </c>
      <c r="AY68" s="220">
        <f t="shared" si="49"/>
        <v>8.0348000000000003E-2</v>
      </c>
      <c r="AZ68" s="219">
        <f t="shared" si="70"/>
        <v>0</v>
      </c>
      <c r="BA68" s="215">
        <f t="shared" si="71"/>
        <v>0</v>
      </c>
      <c r="BB68" s="215">
        <f t="shared" si="50"/>
        <v>0</v>
      </c>
      <c r="BC68" s="61">
        <f t="shared" si="84"/>
        <v>0</v>
      </c>
      <c r="BD68" s="58">
        <v>0</v>
      </c>
      <c r="BE68" s="49">
        <f t="shared" si="85"/>
        <v>0</v>
      </c>
      <c r="BF68" s="61">
        <f t="shared" si="52"/>
        <v>0</v>
      </c>
      <c r="BG68" s="58">
        <f t="shared" si="86"/>
        <v>0</v>
      </c>
      <c r="BH68" s="49">
        <f t="shared" si="87"/>
        <v>0</v>
      </c>
      <c r="BI68" s="61">
        <f t="shared" si="88"/>
        <v>0</v>
      </c>
      <c r="BK68" s="219">
        <f t="shared" si="72"/>
        <v>0</v>
      </c>
      <c r="BL68" s="215">
        <f t="shared" si="18"/>
        <v>0</v>
      </c>
      <c r="BM68" s="215">
        <f t="shared" si="73"/>
        <v>0</v>
      </c>
      <c r="BN68" s="61">
        <f t="shared" si="89"/>
        <v>0</v>
      </c>
      <c r="BO68" s="58">
        <v>0</v>
      </c>
      <c r="BP68" s="49">
        <f t="shared" si="90"/>
        <v>0</v>
      </c>
      <c r="BQ68" s="61">
        <f t="shared" si="53"/>
        <v>0</v>
      </c>
      <c r="BR68" s="58">
        <f t="shared" si="91"/>
        <v>0</v>
      </c>
      <c r="BS68" s="49">
        <f t="shared" si="92"/>
        <v>0</v>
      </c>
      <c r="BT68" s="61">
        <f t="shared" si="55"/>
        <v>0</v>
      </c>
      <c r="BU68" s="58">
        <f t="shared" si="74"/>
        <v>1.1296246853710356E-4</v>
      </c>
      <c r="BV68" s="49">
        <f t="shared" si="21"/>
        <v>5.9629500000000002E-2</v>
      </c>
      <c r="BW68" s="61">
        <f t="shared" si="75"/>
        <v>5.4000000000000003E-3</v>
      </c>
      <c r="BX68" s="49">
        <f t="shared" si="56"/>
        <v>9.872925089942132E-2</v>
      </c>
      <c r="BY68" s="49">
        <f t="shared" si="43"/>
        <v>0.28830675900773928</v>
      </c>
      <c r="BZ68" s="49">
        <f t="shared" si="93"/>
        <v>67.905533814952022</v>
      </c>
    </row>
    <row r="69" spans="17:78" x14ac:dyDescent="0.25">
      <c r="Q69" s="49">
        <v>62</v>
      </c>
      <c r="R69" s="219">
        <f t="shared" si="57"/>
        <v>0.62</v>
      </c>
      <c r="S69" s="215">
        <f t="shared" si="1"/>
        <v>12</v>
      </c>
      <c r="T69" s="220">
        <f t="shared" si="58"/>
        <v>5.1666666666666666E-2</v>
      </c>
      <c r="U69" s="219">
        <f t="shared" si="59"/>
        <v>2</v>
      </c>
      <c r="V69" s="215">
        <f t="shared" si="60"/>
        <v>0.55555555555555558</v>
      </c>
      <c r="W69" s="215">
        <f t="shared" si="61"/>
        <v>0.44444444444444442</v>
      </c>
      <c r="X69" s="215">
        <f t="shared" si="23"/>
        <v>0</v>
      </c>
      <c r="Y69" s="219">
        <f t="shared" si="76"/>
        <v>9.2999999999999999E-2</v>
      </c>
      <c r="Z69" s="215">
        <f t="shared" si="62"/>
        <v>0.14673944943358574</v>
      </c>
      <c r="AA69" s="215">
        <f t="shared" si="25"/>
        <v>0.16636972471679287</v>
      </c>
      <c r="AB69" s="220">
        <f t="shared" si="63"/>
        <v>7.6170029715467338E-2</v>
      </c>
      <c r="AC69" s="219">
        <v>0</v>
      </c>
      <c r="AD69" s="215">
        <f t="shared" si="64"/>
        <v>8.8884700899421312E-2</v>
      </c>
      <c r="AE69" s="220">
        <f t="shared" si="27"/>
        <v>8.8884700899421312E-2</v>
      </c>
      <c r="AF69" s="58">
        <f t="shared" si="65"/>
        <v>1.24E-2</v>
      </c>
      <c r="AG69" s="61">
        <f t="shared" si="66"/>
        <v>1.24E-2</v>
      </c>
      <c r="AH69" s="58">
        <f t="shared" si="67"/>
        <v>5.047629881364004E-5</v>
      </c>
      <c r="AI69" s="49">
        <f t="shared" si="68"/>
        <v>6.6086220892708708E-3</v>
      </c>
      <c r="AJ69" s="61">
        <f t="shared" si="45"/>
        <v>6.6590983880845112E-3</v>
      </c>
      <c r="AK69" s="219">
        <f t="shared" si="69"/>
        <v>0.62</v>
      </c>
      <c r="AL69" s="215">
        <f t="shared" si="13"/>
        <v>15</v>
      </c>
      <c r="AM69" s="220">
        <f t="shared" si="28"/>
        <v>4.1333333333333333E-2</v>
      </c>
      <c r="AN69" s="219">
        <f t="shared" si="77"/>
        <v>2</v>
      </c>
      <c r="AO69" s="215">
        <f t="shared" si="78"/>
        <v>0.44444444444444442</v>
      </c>
      <c r="AP69" s="215">
        <f t="shared" si="79"/>
        <v>9.2999999999999999E-2</v>
      </c>
      <c r="AQ69" s="215">
        <f t="shared" si="80"/>
        <v>0.14673944943358572</v>
      </c>
      <c r="AR69" s="215">
        <f t="shared" si="46"/>
        <v>0.16636972471679284</v>
      </c>
      <c r="AS69" s="220">
        <f t="shared" si="47"/>
        <v>6.8128545716785574E-2</v>
      </c>
      <c r="AT69" s="219"/>
      <c r="AU69" s="215">
        <f t="shared" si="81"/>
        <v>2.6173368888888892E-2</v>
      </c>
      <c r="AV69" s="220">
        <f t="shared" si="48"/>
        <v>2.6173368888888892E-2</v>
      </c>
      <c r="AW69" s="219">
        <f t="shared" si="82"/>
        <v>6.8148E-2</v>
      </c>
      <c r="AX69" s="215">
        <f t="shared" si="83"/>
        <v>1.24E-2</v>
      </c>
      <c r="AY69" s="220">
        <f t="shared" si="49"/>
        <v>8.0547999999999995E-2</v>
      </c>
      <c r="AZ69" s="219">
        <f t="shared" si="70"/>
        <v>0</v>
      </c>
      <c r="BA69" s="215">
        <f t="shared" si="71"/>
        <v>0</v>
      </c>
      <c r="BB69" s="215">
        <f t="shared" si="50"/>
        <v>0</v>
      </c>
      <c r="BC69" s="61">
        <f t="shared" si="84"/>
        <v>0</v>
      </c>
      <c r="BD69" s="58">
        <v>0</v>
      </c>
      <c r="BE69" s="49">
        <f t="shared" si="85"/>
        <v>0</v>
      </c>
      <c r="BF69" s="61">
        <f t="shared" si="52"/>
        <v>0</v>
      </c>
      <c r="BG69" s="58">
        <f t="shared" si="86"/>
        <v>0</v>
      </c>
      <c r="BH69" s="49">
        <f t="shared" si="87"/>
        <v>0</v>
      </c>
      <c r="BI69" s="61">
        <f t="shared" si="88"/>
        <v>0</v>
      </c>
      <c r="BK69" s="219">
        <f t="shared" si="72"/>
        <v>0</v>
      </c>
      <c r="BL69" s="215">
        <f t="shared" si="18"/>
        <v>0</v>
      </c>
      <c r="BM69" s="215">
        <f t="shared" si="73"/>
        <v>0</v>
      </c>
      <c r="BN69" s="61">
        <f t="shared" si="89"/>
        <v>0</v>
      </c>
      <c r="BO69" s="58">
        <v>0</v>
      </c>
      <c r="BP69" s="49">
        <f t="shared" si="90"/>
        <v>0</v>
      </c>
      <c r="BQ69" s="61">
        <f t="shared" si="53"/>
        <v>0</v>
      </c>
      <c r="BR69" s="58">
        <f t="shared" si="91"/>
        <v>0</v>
      </c>
      <c r="BS69" s="49">
        <f t="shared" si="92"/>
        <v>0</v>
      </c>
      <c r="BT69" s="61">
        <f t="shared" si="55"/>
        <v>0</v>
      </c>
      <c r="BU69" s="58">
        <f t="shared" si="74"/>
        <v>1.1603746853710354E-4</v>
      </c>
      <c r="BV69" s="49">
        <f t="shared" si="21"/>
        <v>5.9629500000000002E-2</v>
      </c>
      <c r="BW69" s="61">
        <f t="shared" si="75"/>
        <v>5.4000000000000003E-3</v>
      </c>
      <c r="BX69" s="49">
        <f t="shared" si="56"/>
        <v>0.10128470089942131</v>
      </c>
      <c r="BY69" s="49">
        <f t="shared" si="43"/>
        <v>0.29221070564493179</v>
      </c>
      <c r="BZ69" s="49">
        <f t="shared" si="93"/>
        <v>67.966753312948768</v>
      </c>
    </row>
    <row r="70" spans="17:78" x14ac:dyDescent="0.25">
      <c r="Q70" s="49">
        <v>63</v>
      </c>
      <c r="R70" s="219">
        <f t="shared" si="57"/>
        <v>0.63</v>
      </c>
      <c r="S70" s="215">
        <f t="shared" si="1"/>
        <v>12</v>
      </c>
      <c r="T70" s="220">
        <f t="shared" si="58"/>
        <v>5.2499999999999998E-2</v>
      </c>
      <c r="U70" s="219">
        <f t="shared" si="59"/>
        <v>2</v>
      </c>
      <c r="V70" s="215">
        <f t="shared" si="60"/>
        <v>0.55555555555555558</v>
      </c>
      <c r="W70" s="215">
        <f t="shared" si="61"/>
        <v>0.44444444444444442</v>
      </c>
      <c r="X70" s="215">
        <f t="shared" si="23"/>
        <v>0</v>
      </c>
      <c r="Y70" s="219">
        <f t="shared" si="76"/>
        <v>9.4500000000000001E-2</v>
      </c>
      <c r="Z70" s="215">
        <f t="shared" si="62"/>
        <v>0.14673944943358574</v>
      </c>
      <c r="AA70" s="215">
        <f t="shared" si="25"/>
        <v>0.16786972471679287</v>
      </c>
      <c r="AB70" s="220">
        <f t="shared" si="63"/>
        <v>7.7188881497630077E-2</v>
      </c>
      <c r="AC70" s="219">
        <v>0</v>
      </c>
      <c r="AD70" s="215">
        <f t="shared" si="64"/>
        <v>9.127845089942134E-2</v>
      </c>
      <c r="AE70" s="220">
        <f t="shared" si="27"/>
        <v>9.127845089942134E-2</v>
      </c>
      <c r="AF70" s="58">
        <f t="shared" si="65"/>
        <v>1.26E-2</v>
      </c>
      <c r="AG70" s="61">
        <f t="shared" si="66"/>
        <v>1.26E-2</v>
      </c>
      <c r="AH70" s="58">
        <f t="shared" si="67"/>
        <v>5.1835673813640051E-5</v>
      </c>
      <c r="AI70" s="49">
        <f t="shared" si="68"/>
        <v>6.7152127681300777E-3</v>
      </c>
      <c r="AJ70" s="61">
        <f t="shared" si="45"/>
        <v>6.7670484419437181E-3</v>
      </c>
      <c r="AK70" s="219">
        <f t="shared" si="69"/>
        <v>0.63</v>
      </c>
      <c r="AL70" s="215">
        <f t="shared" si="13"/>
        <v>15</v>
      </c>
      <c r="AM70" s="220">
        <f t="shared" si="28"/>
        <v>4.2000000000000003E-2</v>
      </c>
      <c r="AN70" s="219">
        <f t="shared" si="77"/>
        <v>2</v>
      </c>
      <c r="AO70" s="215">
        <f t="shared" si="78"/>
        <v>0.44444444444444448</v>
      </c>
      <c r="AP70" s="215">
        <f t="shared" si="79"/>
        <v>9.4500000000000001E-2</v>
      </c>
      <c r="AQ70" s="215">
        <f t="shared" si="80"/>
        <v>0.14673944943358574</v>
      </c>
      <c r="AR70" s="215">
        <f t="shared" si="46"/>
        <v>0.16786972471679287</v>
      </c>
      <c r="AS70" s="220">
        <f t="shared" si="47"/>
        <v>6.9039834454350649E-2</v>
      </c>
      <c r="AT70" s="219"/>
      <c r="AU70" s="215">
        <f t="shared" si="81"/>
        <v>2.7024480000000003E-2</v>
      </c>
      <c r="AV70" s="220">
        <f t="shared" si="48"/>
        <v>2.7024480000000003E-2</v>
      </c>
      <c r="AW70" s="219">
        <f t="shared" si="82"/>
        <v>6.8148E-2</v>
      </c>
      <c r="AX70" s="215">
        <f t="shared" si="83"/>
        <v>1.26E-2</v>
      </c>
      <c r="AY70" s="220">
        <f t="shared" si="49"/>
        <v>8.0748E-2</v>
      </c>
      <c r="AZ70" s="219">
        <f t="shared" si="70"/>
        <v>0</v>
      </c>
      <c r="BA70" s="215">
        <f t="shared" si="71"/>
        <v>0</v>
      </c>
      <c r="BB70" s="215">
        <f t="shared" si="50"/>
        <v>0</v>
      </c>
      <c r="BC70" s="61">
        <f t="shared" si="84"/>
        <v>0</v>
      </c>
      <c r="BD70" s="58">
        <v>0</v>
      </c>
      <c r="BE70" s="49">
        <f t="shared" si="85"/>
        <v>0</v>
      </c>
      <c r="BF70" s="61">
        <f t="shared" si="52"/>
        <v>0</v>
      </c>
      <c r="BG70" s="58">
        <f t="shared" si="86"/>
        <v>0</v>
      </c>
      <c r="BH70" s="49">
        <f t="shared" si="87"/>
        <v>0</v>
      </c>
      <c r="BI70" s="61">
        <f t="shared" si="88"/>
        <v>0</v>
      </c>
      <c r="BK70" s="219">
        <f t="shared" si="72"/>
        <v>0</v>
      </c>
      <c r="BL70" s="215">
        <f t="shared" si="18"/>
        <v>0</v>
      </c>
      <c r="BM70" s="215">
        <f t="shared" si="73"/>
        <v>0</v>
      </c>
      <c r="BN70" s="61">
        <f t="shared" si="89"/>
        <v>0</v>
      </c>
      <c r="BO70" s="58">
        <v>0</v>
      </c>
      <c r="BP70" s="49">
        <f t="shared" si="90"/>
        <v>0</v>
      </c>
      <c r="BQ70" s="61">
        <f t="shared" si="53"/>
        <v>0</v>
      </c>
      <c r="BR70" s="58">
        <f t="shared" si="91"/>
        <v>0</v>
      </c>
      <c r="BS70" s="49">
        <f t="shared" si="92"/>
        <v>0</v>
      </c>
      <c r="BT70" s="61">
        <f t="shared" si="55"/>
        <v>0</v>
      </c>
      <c r="BU70" s="58">
        <f t="shared" si="74"/>
        <v>1.1916246853710357E-4</v>
      </c>
      <c r="BV70" s="49">
        <f t="shared" si="21"/>
        <v>5.9629500000000002E-2</v>
      </c>
      <c r="BW70" s="61">
        <f t="shared" si="75"/>
        <v>5.4000000000000003E-3</v>
      </c>
      <c r="BX70" s="49">
        <f t="shared" si="56"/>
        <v>0.10387845089942134</v>
      </c>
      <c r="BY70" s="49">
        <f t="shared" si="43"/>
        <v>0.29616664180990221</v>
      </c>
      <c r="BZ70" s="49">
        <f t="shared" si="93"/>
        <v>68.02231602391366</v>
      </c>
    </row>
    <row r="71" spans="17:78" x14ac:dyDescent="0.25">
      <c r="Q71" s="49">
        <v>64</v>
      </c>
      <c r="R71" s="219">
        <f t="shared" ref="R71:R102" si="94">AK71+AZ71+BK71</f>
        <v>0.64</v>
      </c>
      <c r="S71" s="215">
        <f t="shared" ref="S71:S134" si="95">VIN_var</f>
        <v>12</v>
      </c>
      <c r="T71" s="220">
        <f t="shared" ref="T71:T102" si="96">(R71)/(S71*EFF_est)</f>
        <v>5.3333333333333337E-2</v>
      </c>
      <c r="U71" s="219">
        <f t="shared" ref="U71:U102" si="97">IF(R71&lt;((((Np/NS1_)*(AL71)/((S71+((Np/NS1_)*(AL71)))))^2)*(S71^2))/(2*Lm*Fsw),1,2)</f>
        <v>2</v>
      </c>
      <c r="V71" s="215">
        <f t="shared" ref="V71:V102" si="98">CHOOSE(U71,SQRT((2*Lm*R71*Fsw)/((S71^2)*EFF_est)),(((Np/NS1_)*(AL71))/(S71+((Np/NS1_)*(AL71)))))</f>
        <v>0.55555555555555558</v>
      </c>
      <c r="W71" s="215">
        <f t="shared" ref="W71:W102" si="99">CHOOSE(U71,(NS1_*S71*V71)/(Np*AL71),1-V71)</f>
        <v>0.44444444444444442</v>
      </c>
      <c r="X71" s="215">
        <f t="shared" si="23"/>
        <v>0</v>
      </c>
      <c r="Y71" s="219">
        <f t="shared" si="76"/>
        <v>9.6000000000000002E-2</v>
      </c>
      <c r="Z71" s="215">
        <f t="shared" ref="Z71:Z102" si="100">(S71*V71)/(Lm*Fsw)</f>
        <v>0.14673944943358574</v>
      </c>
      <c r="AA71" s="215">
        <f t="shared" si="25"/>
        <v>0.16936972471679287</v>
      </c>
      <c r="AB71" s="220">
        <f t="shared" ref="AB71:AB102" si="101">CHOOSE(U71,AA71*SQRT(V71/3),SQRT(V71*((AA71^2)+((Z71^2)/(3))-(AA71*Z71))))</f>
        <v>7.8210443208405228E-2</v>
      </c>
      <c r="AC71" s="219">
        <v>0</v>
      </c>
      <c r="AD71" s="215">
        <f t="shared" ref="AD71:AD102" si="102">(AB71^2)*Rdcr</f>
        <v>9.3710500899421359E-2</v>
      </c>
      <c r="AE71" s="220">
        <f t="shared" si="27"/>
        <v>9.3710500899421359E-2</v>
      </c>
      <c r="AF71" s="58">
        <f t="shared" ref="AF71:AF102" si="103">R71*0.02</f>
        <v>1.2800000000000001E-2</v>
      </c>
      <c r="AG71" s="61">
        <f t="shared" ref="AG71:AG102" si="104">R71*0.02</f>
        <v>1.2800000000000001E-2</v>
      </c>
      <c r="AH71" s="58">
        <f t="shared" ref="AH71:AH102" si="105">(AB71^2)*RDS_on</f>
        <v>5.3216798813640059E-5</v>
      </c>
      <c r="AI71" s="49">
        <f t="shared" ref="AI71:AI102" si="106">((Y71*(S71+((Np/NS1_)*VOUT1)))/2)*Fsw*(tr_sw+tf_sw)</f>
        <v>6.8218034469892863E-3</v>
      </c>
      <c r="AJ71" s="61">
        <f t="shared" si="45"/>
        <v>6.8750202458029265E-3</v>
      </c>
      <c r="AK71" s="219">
        <f t="shared" ref="AK71:AK102" si="107">Q71*$B$11</f>
        <v>0.64</v>
      </c>
      <c r="AL71" s="215">
        <f t="shared" ref="AL71:AL134" si="108">VOUT1</f>
        <v>15</v>
      </c>
      <c r="AM71" s="220">
        <f t="shared" si="28"/>
        <v>4.2666666666666665E-2</v>
      </c>
      <c r="AN71" s="219">
        <f t="shared" si="77"/>
        <v>2</v>
      </c>
      <c r="AO71" s="215">
        <f t="shared" si="78"/>
        <v>0.44444444444444442</v>
      </c>
      <c r="AP71" s="215">
        <f t="shared" si="79"/>
        <v>9.6000000000000002E-2</v>
      </c>
      <c r="AQ71" s="215">
        <f t="shared" si="80"/>
        <v>0.14673944943358572</v>
      </c>
      <c r="AR71" s="215">
        <f t="shared" si="46"/>
        <v>0.16936972471679285</v>
      </c>
      <c r="AS71" s="220">
        <f t="shared" si="47"/>
        <v>6.9953547025752336E-2</v>
      </c>
      <c r="AT71" s="219"/>
      <c r="AU71" s="215">
        <f t="shared" si="81"/>
        <v>2.7889208888888888E-2</v>
      </c>
      <c r="AV71" s="220">
        <f t="shared" si="48"/>
        <v>2.7889208888888888E-2</v>
      </c>
      <c r="AW71" s="219">
        <f t="shared" si="82"/>
        <v>6.8148E-2</v>
      </c>
      <c r="AX71" s="215">
        <f t="shared" si="83"/>
        <v>1.2799999999999999E-2</v>
      </c>
      <c r="AY71" s="220">
        <f t="shared" si="49"/>
        <v>8.0947999999999992E-2</v>
      </c>
      <c r="AZ71" s="219">
        <f t="shared" ref="AZ71:AZ102" si="109">IF(EN_OUT_2=1,Q71*$B$15,0)</f>
        <v>0</v>
      </c>
      <c r="BA71" s="215">
        <f t="shared" ref="BA71:BA102" si="110">IF(EN_OUT_2=1,VOUT2,0)</f>
        <v>0</v>
      </c>
      <c r="BB71" s="215">
        <f t="shared" si="50"/>
        <v>0</v>
      </c>
      <c r="BC71" s="61">
        <f t="shared" si="84"/>
        <v>0</v>
      </c>
      <c r="BD71" s="58">
        <v>0</v>
      </c>
      <c r="BE71" s="49">
        <f t="shared" si="85"/>
        <v>0</v>
      </c>
      <c r="BF71" s="61">
        <f t="shared" si="52"/>
        <v>0</v>
      </c>
      <c r="BG71" s="58">
        <f t="shared" si="86"/>
        <v>0</v>
      </c>
      <c r="BH71" s="49">
        <f t="shared" si="87"/>
        <v>0</v>
      </c>
      <c r="BI71" s="61">
        <f t="shared" si="88"/>
        <v>0</v>
      </c>
      <c r="BK71" s="219">
        <f t="shared" ref="BK71:BK102" si="111">IF(EN_OUT_3=1,Q71*$B$19,0)</f>
        <v>0</v>
      </c>
      <c r="BL71" s="215">
        <f t="shared" ref="BL71:BL134" si="112">IF(EN_OUT_3=1,VOUT3,0)</f>
        <v>0</v>
      </c>
      <c r="BM71" s="215">
        <f t="shared" ref="BM71:BM102" si="113">IF(EN_OUT_3=1,BK71/BL71,0)</f>
        <v>0</v>
      </c>
      <c r="BN71" s="61">
        <f t="shared" si="89"/>
        <v>0</v>
      </c>
      <c r="BO71" s="58">
        <v>0</v>
      </c>
      <c r="BP71" s="49">
        <f t="shared" si="90"/>
        <v>0</v>
      </c>
      <c r="BQ71" s="61">
        <f t="shared" si="53"/>
        <v>0</v>
      </c>
      <c r="BR71" s="58">
        <f t="shared" si="91"/>
        <v>0</v>
      </c>
      <c r="BS71" s="49">
        <f t="shared" si="92"/>
        <v>0</v>
      </c>
      <c r="BT71" s="61">
        <f t="shared" si="55"/>
        <v>0</v>
      </c>
      <c r="BU71" s="58">
        <f t="shared" ref="BU71:BU102" si="114">(AB71^2)*R_cs</f>
        <v>1.223374685371036E-4</v>
      </c>
      <c r="BV71" s="49">
        <f t="shared" ref="BV71:BV134" si="115">Qg_tot*Vcc*Fsw</f>
        <v>5.9629500000000002E-2</v>
      </c>
      <c r="BW71" s="61">
        <f t="shared" ref="BW71:BW102" si="116">IQ*S71</f>
        <v>5.4000000000000003E-3</v>
      </c>
      <c r="BX71" s="49">
        <f t="shared" si="56"/>
        <v>0.10651050089942136</v>
      </c>
      <c r="BY71" s="49">
        <f t="shared" si="43"/>
        <v>0.30017456750265026</v>
      </c>
      <c r="BZ71" s="49">
        <f t="shared" si="93"/>
        <v>68.072464638137092</v>
      </c>
    </row>
    <row r="72" spans="17:78" x14ac:dyDescent="0.25">
      <c r="Q72" s="49">
        <v>65</v>
      </c>
      <c r="R72" s="219">
        <f t="shared" si="94"/>
        <v>0.65</v>
      </c>
      <c r="S72" s="215">
        <f t="shared" si="95"/>
        <v>12</v>
      </c>
      <c r="T72" s="220">
        <f t="shared" si="96"/>
        <v>5.4166666666666669E-2</v>
      </c>
      <c r="U72" s="219">
        <f t="shared" si="97"/>
        <v>2</v>
      </c>
      <c r="V72" s="215">
        <f t="shared" si="98"/>
        <v>0.55555555555555558</v>
      </c>
      <c r="W72" s="215">
        <f t="shared" si="99"/>
        <v>0.44444444444444442</v>
      </c>
      <c r="X72" s="215">
        <f t="shared" ref="X72:X135" si="117">CHOOSE(U72,1-V72-W72,0)</f>
        <v>0</v>
      </c>
      <c r="Y72" s="219">
        <f t="shared" ref="Y72:Y103" si="118">R72/(S72*EFF_est*V72)</f>
        <v>9.7500000000000003E-2</v>
      </c>
      <c r="Z72" s="215">
        <f t="shared" si="100"/>
        <v>0.14673944943358574</v>
      </c>
      <c r="AA72" s="215">
        <f t="shared" ref="AA72:AA135" si="119">Y72+(Z72/2)</f>
        <v>0.17086972471679288</v>
      </c>
      <c r="AB72" s="220">
        <f t="shared" si="101"/>
        <v>7.9234610031571312E-2</v>
      </c>
      <c r="AC72" s="219">
        <v>0</v>
      </c>
      <c r="AD72" s="215">
        <f t="shared" si="102"/>
        <v>9.6180850899421383E-2</v>
      </c>
      <c r="AE72" s="220">
        <f t="shared" ref="AE72:AE135" si="120">AC72+AD72</f>
        <v>9.6180850899421383E-2</v>
      </c>
      <c r="AF72" s="58">
        <f t="shared" si="103"/>
        <v>1.3000000000000001E-2</v>
      </c>
      <c r="AG72" s="61">
        <f t="shared" si="104"/>
        <v>1.3000000000000001E-2</v>
      </c>
      <c r="AH72" s="58">
        <f t="shared" si="105"/>
        <v>5.4619673813640077E-5</v>
      </c>
      <c r="AI72" s="49">
        <f t="shared" si="106"/>
        <v>6.9283941258484949E-3</v>
      </c>
      <c r="AJ72" s="61">
        <f t="shared" ref="AJ72:AJ135" si="121">AH72+AI72</f>
        <v>6.9830137996621348E-3</v>
      </c>
      <c r="AK72" s="219">
        <f t="shared" si="107"/>
        <v>0.65</v>
      </c>
      <c r="AL72" s="215">
        <f t="shared" si="108"/>
        <v>15</v>
      </c>
      <c r="AM72" s="220">
        <f t="shared" ref="AM72:AM103" si="122">AK72/AL72</f>
        <v>4.3333333333333335E-2</v>
      </c>
      <c r="AN72" s="219">
        <f t="shared" ref="AN72:AN103" si="123">IF(((AL72*AO72)/(Fsw*$AO$2))/2&gt;AP72,1,2)</f>
        <v>2</v>
      </c>
      <c r="AO72" s="215">
        <f t="shared" ref="AO72:AO103" si="124">AM72/AP72</f>
        <v>0.44444444444444442</v>
      </c>
      <c r="AP72" s="215">
        <f t="shared" ref="AP72:AP103" si="125">Np*$Y72*AK72/(R72*NS1_)</f>
        <v>9.7500000000000003E-2</v>
      </c>
      <c r="AQ72" s="215">
        <f t="shared" ref="AQ72:AQ103" si="126">(AL72*AO72)/(Fsw*$AO$2)</f>
        <v>0.14673944943358572</v>
      </c>
      <c r="AR72" s="215">
        <f t="shared" si="46"/>
        <v>0.17086972471679285</v>
      </c>
      <c r="AS72" s="220">
        <f t="shared" si="47"/>
        <v>7.0869589680512074E-2</v>
      </c>
      <c r="AT72" s="219"/>
      <c r="AU72" s="215">
        <f t="shared" ref="AU72:AU103" si="127">(AM72^2)*Rdcr1</f>
        <v>2.8767555555555557E-2</v>
      </c>
      <c r="AV72" s="220">
        <f t="shared" si="48"/>
        <v>2.8767555555555557E-2</v>
      </c>
      <c r="AW72" s="219">
        <f t="shared" ref="AW72:AW103" si="128">(VOUT1+((NS1_/Np)*S72))*QRR1_*Fsw</f>
        <v>6.8148E-2</v>
      </c>
      <c r="AX72" s="215">
        <f t="shared" ref="AX72:AX103" si="129">AM72*VD1_</f>
        <v>1.2999999999999999E-2</v>
      </c>
      <c r="AY72" s="220">
        <f t="shared" si="49"/>
        <v>8.1147999999999998E-2</v>
      </c>
      <c r="AZ72" s="219">
        <f t="shared" si="109"/>
        <v>0</v>
      </c>
      <c r="BA72" s="215">
        <f t="shared" si="110"/>
        <v>0</v>
      </c>
      <c r="BB72" s="215">
        <f t="shared" si="50"/>
        <v>0</v>
      </c>
      <c r="BC72" s="61">
        <f t="shared" ref="BC72:BC103" si="130">IF(EN_OUT_2=1,AZ72/BA72,0)</f>
        <v>0</v>
      </c>
      <c r="BD72" s="58">
        <v>0</v>
      </c>
      <c r="BE72" s="49">
        <f t="shared" ref="BE72:BE103" si="131">(BB72^2)*Rdcr2</f>
        <v>0</v>
      </c>
      <c r="BF72" s="61">
        <f t="shared" si="52"/>
        <v>0</v>
      </c>
      <c r="BG72" s="58">
        <f t="shared" ref="BG72:BG103" si="132">(VOUT2+((NS2_/Np)*S72))*QRR2_*Fsw</f>
        <v>0</v>
      </c>
      <c r="BH72" s="49">
        <f t="shared" ref="BH72:BH103" si="133">BB72*VD2_</f>
        <v>0</v>
      </c>
      <c r="BI72" s="61">
        <f t="shared" ref="BI72:BI103" si="134">BH72+BG72</f>
        <v>0</v>
      </c>
      <c r="BK72" s="219">
        <f t="shared" si="111"/>
        <v>0</v>
      </c>
      <c r="BL72" s="215">
        <f t="shared" si="112"/>
        <v>0</v>
      </c>
      <c r="BM72" s="215">
        <f t="shared" si="113"/>
        <v>0</v>
      </c>
      <c r="BN72" s="61">
        <f t="shared" ref="BN72:BN79" si="135">Y72*(Np/NS3_)*(BK72/R72)</f>
        <v>0</v>
      </c>
      <c r="BO72" s="58">
        <v>0</v>
      </c>
      <c r="BP72" s="49">
        <f t="shared" ref="BP72:BP103" si="136">(BM72^2)*Rdcr3</f>
        <v>0</v>
      </c>
      <c r="BQ72" s="61">
        <f t="shared" si="53"/>
        <v>0</v>
      </c>
      <c r="BR72" s="58">
        <f t="shared" ref="BR72:BR103" si="137">(VOUT3+((NS3_/Np)*S72))*QRR3_*Fsw</f>
        <v>0</v>
      </c>
      <c r="BS72" s="49">
        <f t="shared" ref="BS72:BS103" si="138">BM72*VD3_</f>
        <v>0</v>
      </c>
      <c r="BT72" s="61">
        <f t="shared" si="55"/>
        <v>0</v>
      </c>
      <c r="BU72" s="58">
        <f t="shared" si="114"/>
        <v>1.2556246853710363E-4</v>
      </c>
      <c r="BV72" s="49">
        <f t="shared" si="115"/>
        <v>5.9629500000000002E-2</v>
      </c>
      <c r="BW72" s="61">
        <f t="shared" si="116"/>
        <v>5.4000000000000003E-3</v>
      </c>
      <c r="BX72" s="49">
        <f t="shared" ref="BX72:BX135" si="139">BF72+BQ72+AE72+AG72</f>
        <v>0.10918085089942138</v>
      </c>
      <c r="BY72" s="49">
        <f t="shared" ref="BY72:BY135" si="140">BW72+BV72+BU72+BT72+BQ72+BI72+BF72++AY72+AV72+AJ72+AF72+AE72+AG72</f>
        <v>0.30423448272317621</v>
      </c>
      <c r="BZ72" s="49">
        <f t="shared" ref="BZ72:BZ103" si="141">(R72/(R72+BY72))*100</f>
        <v>68.117429391677646</v>
      </c>
    </row>
    <row r="73" spans="17:78" x14ac:dyDescent="0.25">
      <c r="Q73" s="49">
        <v>66</v>
      </c>
      <c r="R73" s="219">
        <f t="shared" si="94"/>
        <v>0.66</v>
      </c>
      <c r="S73" s="215">
        <f t="shared" si="95"/>
        <v>12</v>
      </c>
      <c r="T73" s="220">
        <f t="shared" si="96"/>
        <v>5.5E-2</v>
      </c>
      <c r="U73" s="219">
        <f t="shared" si="97"/>
        <v>2</v>
      </c>
      <c r="V73" s="215">
        <f t="shared" si="98"/>
        <v>0.55555555555555558</v>
      </c>
      <c r="W73" s="215">
        <f t="shared" si="99"/>
        <v>0.44444444444444442</v>
      </c>
      <c r="X73" s="215">
        <f t="shared" si="117"/>
        <v>0</v>
      </c>
      <c r="Y73" s="219">
        <f t="shared" si="118"/>
        <v>9.9000000000000005E-2</v>
      </c>
      <c r="Z73" s="215">
        <f t="shared" si="100"/>
        <v>0.14673944943358574</v>
      </c>
      <c r="AA73" s="215">
        <f t="shared" si="119"/>
        <v>0.17236972471679288</v>
      </c>
      <c r="AB73" s="220">
        <f t="shared" si="101"/>
        <v>8.0261282240288084E-2</v>
      </c>
      <c r="AC73" s="219">
        <v>0</v>
      </c>
      <c r="AD73" s="215">
        <f t="shared" si="102"/>
        <v>9.8689500899421426E-2</v>
      </c>
      <c r="AE73" s="220">
        <f t="shared" si="120"/>
        <v>9.8689500899421426E-2</v>
      </c>
      <c r="AF73" s="58">
        <f t="shared" si="103"/>
        <v>1.3200000000000002E-2</v>
      </c>
      <c r="AG73" s="61">
        <f t="shared" si="104"/>
        <v>1.3200000000000002E-2</v>
      </c>
      <c r="AH73" s="58">
        <f t="shared" si="105"/>
        <v>5.6044298813640099E-5</v>
      </c>
      <c r="AI73" s="49">
        <f t="shared" si="106"/>
        <v>7.0349848047077E-3</v>
      </c>
      <c r="AJ73" s="61">
        <f t="shared" si="121"/>
        <v>7.0910291035213404E-3</v>
      </c>
      <c r="AK73" s="219">
        <f t="shared" si="107"/>
        <v>0.66</v>
      </c>
      <c r="AL73" s="215">
        <f t="shared" si="108"/>
        <v>15</v>
      </c>
      <c r="AM73" s="220">
        <f t="shared" si="122"/>
        <v>4.4000000000000004E-2</v>
      </c>
      <c r="AN73" s="219">
        <f t="shared" si="123"/>
        <v>2</v>
      </c>
      <c r="AO73" s="215">
        <f t="shared" si="124"/>
        <v>0.44444444444444448</v>
      </c>
      <c r="AP73" s="215">
        <f t="shared" si="125"/>
        <v>9.9000000000000005E-2</v>
      </c>
      <c r="AQ73" s="215">
        <f t="shared" si="126"/>
        <v>0.14673944943358574</v>
      </c>
      <c r="AR73" s="215">
        <f t="shared" ref="AR73:AR136" si="142">AP73+(AQ73/2)</f>
        <v>0.17236972471679288</v>
      </c>
      <c r="AS73" s="220">
        <f t="shared" ref="AS73:AS136" si="143">CHOOSE(AN73,AR73*SQRT(AO73/3),SQRT(AO73*((AR73^2)+((AQ73^2)/(3))-(AQ73*AR73))))</f>
        <v>7.1787873220232307E-2</v>
      </c>
      <c r="AT73" s="219"/>
      <c r="AU73" s="215">
        <f t="shared" si="127"/>
        <v>2.9659520000000009E-2</v>
      </c>
      <c r="AV73" s="220">
        <f t="shared" ref="AV73:AV136" si="144">AT73+AU73</f>
        <v>2.9659520000000009E-2</v>
      </c>
      <c r="AW73" s="219">
        <f t="shared" si="128"/>
        <v>6.8148E-2</v>
      </c>
      <c r="AX73" s="215">
        <f t="shared" si="129"/>
        <v>1.3200000000000002E-2</v>
      </c>
      <c r="AY73" s="220">
        <f t="shared" ref="AY73:AY136" si="145">AW73+AX73</f>
        <v>8.1348000000000004E-2</v>
      </c>
      <c r="AZ73" s="219">
        <f t="shared" si="109"/>
        <v>0</v>
      </c>
      <c r="BA73" s="215">
        <f t="shared" si="110"/>
        <v>0</v>
      </c>
      <c r="BB73" s="215">
        <f t="shared" ref="BB73:BB136" si="146">IF(EN_OUT_2=1,AZ73/BA73,0)</f>
        <v>0</v>
      </c>
      <c r="BC73" s="61">
        <f t="shared" si="130"/>
        <v>0</v>
      </c>
      <c r="BD73" s="58">
        <v>0</v>
      </c>
      <c r="BE73" s="49">
        <f t="shared" si="131"/>
        <v>0</v>
      </c>
      <c r="BF73" s="61">
        <f t="shared" ref="BF73:BF136" si="147">BD73+BE73</f>
        <v>0</v>
      </c>
      <c r="BG73" s="58">
        <f t="shared" si="132"/>
        <v>0</v>
      </c>
      <c r="BH73" s="49">
        <f t="shared" si="133"/>
        <v>0</v>
      </c>
      <c r="BI73" s="61">
        <f t="shared" si="134"/>
        <v>0</v>
      </c>
      <c r="BK73" s="219">
        <f t="shared" si="111"/>
        <v>0</v>
      </c>
      <c r="BL73" s="215">
        <f t="shared" si="112"/>
        <v>0</v>
      </c>
      <c r="BM73" s="215">
        <f t="shared" si="113"/>
        <v>0</v>
      </c>
      <c r="BN73" s="61">
        <f t="shared" si="135"/>
        <v>0</v>
      </c>
      <c r="BO73" s="58">
        <v>0</v>
      </c>
      <c r="BP73" s="49">
        <f t="shared" si="136"/>
        <v>0</v>
      </c>
      <c r="BQ73" s="61">
        <f t="shared" ref="BQ73:BQ136" si="148">BO73+BP73</f>
        <v>0</v>
      </c>
      <c r="BR73" s="58">
        <f t="shared" si="137"/>
        <v>0</v>
      </c>
      <c r="BS73" s="49">
        <f t="shared" si="138"/>
        <v>0</v>
      </c>
      <c r="BT73" s="61">
        <f t="shared" ref="BT73:BT136" si="149">BS73+BR73</f>
        <v>0</v>
      </c>
      <c r="BU73" s="58">
        <f t="shared" si="114"/>
        <v>1.2883746853710367E-4</v>
      </c>
      <c r="BV73" s="49">
        <f t="shared" si="115"/>
        <v>5.9629500000000002E-2</v>
      </c>
      <c r="BW73" s="61">
        <f t="shared" si="116"/>
        <v>5.4000000000000003E-3</v>
      </c>
      <c r="BX73" s="49">
        <f t="shared" si="139"/>
        <v>0.11188950089942143</v>
      </c>
      <c r="BY73" s="49">
        <f t="shared" si="140"/>
        <v>0.30834638747147985</v>
      </c>
      <c r="BZ73" s="49">
        <f t="shared" si="141"/>
        <v>68.15742884355403</v>
      </c>
    </row>
    <row r="74" spans="17:78" x14ac:dyDescent="0.25">
      <c r="Q74" s="49">
        <v>67</v>
      </c>
      <c r="R74" s="219">
        <f t="shared" si="94"/>
        <v>0.67</v>
      </c>
      <c r="S74" s="215">
        <f t="shared" si="95"/>
        <v>12</v>
      </c>
      <c r="T74" s="220">
        <f t="shared" si="96"/>
        <v>5.5833333333333339E-2</v>
      </c>
      <c r="U74" s="219">
        <f t="shared" si="97"/>
        <v>2</v>
      </c>
      <c r="V74" s="215">
        <f t="shared" si="98"/>
        <v>0.55555555555555558</v>
      </c>
      <c r="W74" s="215">
        <f t="shared" si="99"/>
        <v>0.44444444444444442</v>
      </c>
      <c r="X74" s="215">
        <f t="shared" si="117"/>
        <v>0</v>
      </c>
      <c r="Y74" s="219">
        <f t="shared" si="118"/>
        <v>0.10050000000000001</v>
      </c>
      <c r="Z74" s="215">
        <f t="shared" si="100"/>
        <v>0.14673944943358574</v>
      </c>
      <c r="AA74" s="215">
        <f t="shared" si="119"/>
        <v>0.17386972471679288</v>
      </c>
      <c r="AB74" s="220">
        <f t="shared" si="101"/>
        <v>8.1290364907873183E-2</v>
      </c>
      <c r="AC74" s="219">
        <v>0</v>
      </c>
      <c r="AD74" s="215">
        <f t="shared" si="102"/>
        <v>0.10123645089942136</v>
      </c>
      <c r="AE74" s="220">
        <f t="shared" si="120"/>
        <v>0.10123645089942136</v>
      </c>
      <c r="AF74" s="58">
        <f t="shared" si="103"/>
        <v>1.34E-2</v>
      </c>
      <c r="AG74" s="61">
        <f t="shared" si="104"/>
        <v>1.34E-2</v>
      </c>
      <c r="AH74" s="58">
        <f t="shared" si="105"/>
        <v>5.7490673813640064E-5</v>
      </c>
      <c r="AI74" s="49">
        <f t="shared" si="106"/>
        <v>7.1415754835669086E-3</v>
      </c>
      <c r="AJ74" s="61">
        <f t="shared" si="121"/>
        <v>7.1990661573805483E-3</v>
      </c>
      <c r="AK74" s="219">
        <f t="shared" si="107"/>
        <v>0.67</v>
      </c>
      <c r="AL74" s="215">
        <f t="shared" si="108"/>
        <v>15</v>
      </c>
      <c r="AM74" s="220">
        <f t="shared" si="122"/>
        <v>4.4666666666666667E-2</v>
      </c>
      <c r="AN74" s="219">
        <f t="shared" si="123"/>
        <v>2</v>
      </c>
      <c r="AO74" s="215">
        <f t="shared" si="124"/>
        <v>0.44444444444444442</v>
      </c>
      <c r="AP74" s="215">
        <f t="shared" si="125"/>
        <v>0.10050000000000001</v>
      </c>
      <c r="AQ74" s="215">
        <f t="shared" si="126"/>
        <v>0.14673944943358572</v>
      </c>
      <c r="AR74" s="215">
        <f t="shared" si="142"/>
        <v>0.17386972471679285</v>
      </c>
      <c r="AS74" s="220">
        <f t="shared" si="143"/>
        <v>7.2708312739907147E-2</v>
      </c>
      <c r="AT74" s="219"/>
      <c r="AU74" s="215">
        <f t="shared" si="127"/>
        <v>3.0565102222222224E-2</v>
      </c>
      <c r="AV74" s="220">
        <f t="shared" si="144"/>
        <v>3.0565102222222224E-2</v>
      </c>
      <c r="AW74" s="219">
        <f t="shared" si="128"/>
        <v>6.8148E-2</v>
      </c>
      <c r="AX74" s="215">
        <f t="shared" si="129"/>
        <v>1.34E-2</v>
      </c>
      <c r="AY74" s="220">
        <f t="shared" si="145"/>
        <v>8.1547999999999995E-2</v>
      </c>
      <c r="AZ74" s="219">
        <f t="shared" si="109"/>
        <v>0</v>
      </c>
      <c r="BA74" s="215">
        <f t="shared" si="110"/>
        <v>0</v>
      </c>
      <c r="BB74" s="215">
        <f t="shared" si="146"/>
        <v>0</v>
      </c>
      <c r="BC74" s="61">
        <f t="shared" si="130"/>
        <v>0</v>
      </c>
      <c r="BD74" s="58">
        <v>0</v>
      </c>
      <c r="BE74" s="49">
        <f t="shared" si="131"/>
        <v>0</v>
      </c>
      <c r="BF74" s="61">
        <f t="shared" si="147"/>
        <v>0</v>
      </c>
      <c r="BG74" s="58">
        <f t="shared" si="132"/>
        <v>0</v>
      </c>
      <c r="BH74" s="49">
        <f t="shared" si="133"/>
        <v>0</v>
      </c>
      <c r="BI74" s="61">
        <f t="shared" si="134"/>
        <v>0</v>
      </c>
      <c r="BK74" s="219">
        <f t="shared" si="111"/>
        <v>0</v>
      </c>
      <c r="BL74" s="215">
        <f t="shared" si="112"/>
        <v>0</v>
      </c>
      <c r="BM74" s="215">
        <f t="shared" si="113"/>
        <v>0</v>
      </c>
      <c r="BN74" s="61">
        <f t="shared" si="135"/>
        <v>0</v>
      </c>
      <c r="BO74" s="58">
        <v>0</v>
      </c>
      <c r="BP74" s="49">
        <f t="shared" si="136"/>
        <v>0</v>
      </c>
      <c r="BQ74" s="61">
        <f t="shared" si="148"/>
        <v>0</v>
      </c>
      <c r="BR74" s="58">
        <f t="shared" si="137"/>
        <v>0</v>
      </c>
      <c r="BS74" s="49">
        <f t="shared" si="138"/>
        <v>0</v>
      </c>
      <c r="BT74" s="61">
        <f t="shared" si="149"/>
        <v>0</v>
      </c>
      <c r="BU74" s="58">
        <f t="shared" si="114"/>
        <v>1.3216246853710361E-4</v>
      </c>
      <c r="BV74" s="49">
        <f t="shared" si="115"/>
        <v>5.9629500000000002E-2</v>
      </c>
      <c r="BW74" s="61">
        <f t="shared" si="116"/>
        <v>5.4000000000000003E-3</v>
      </c>
      <c r="BX74" s="49">
        <f t="shared" si="139"/>
        <v>0.11463645089942136</v>
      </c>
      <c r="BY74" s="49">
        <f t="shared" si="140"/>
        <v>0.31251028174756129</v>
      </c>
      <c r="BZ74" s="49">
        <f t="shared" si="141"/>
        <v>68.192670595598386</v>
      </c>
    </row>
    <row r="75" spans="17:78" x14ac:dyDescent="0.25">
      <c r="Q75" s="49">
        <v>68</v>
      </c>
      <c r="R75" s="219">
        <f t="shared" si="94"/>
        <v>0.68</v>
      </c>
      <c r="S75" s="215">
        <f t="shared" si="95"/>
        <v>12</v>
      </c>
      <c r="T75" s="220">
        <f t="shared" si="96"/>
        <v>5.6666666666666671E-2</v>
      </c>
      <c r="U75" s="219">
        <f t="shared" si="97"/>
        <v>2</v>
      </c>
      <c r="V75" s="215">
        <f t="shared" si="98"/>
        <v>0.55555555555555558</v>
      </c>
      <c r="W75" s="215">
        <f t="shared" si="99"/>
        <v>0.44444444444444442</v>
      </c>
      <c r="X75" s="215">
        <f t="shared" si="117"/>
        <v>0</v>
      </c>
      <c r="Y75" s="219">
        <f t="shared" si="118"/>
        <v>0.10200000000000001</v>
      </c>
      <c r="Z75" s="215">
        <f t="shared" si="100"/>
        <v>0.14673944943358574</v>
      </c>
      <c r="AA75" s="215">
        <f t="shared" si="119"/>
        <v>0.17536972471679288</v>
      </c>
      <c r="AB75" s="220">
        <f t="shared" si="101"/>
        <v>8.2321767636847912E-2</v>
      </c>
      <c r="AC75" s="219">
        <v>0</v>
      </c>
      <c r="AD75" s="215">
        <f t="shared" si="102"/>
        <v>0.10382170089942137</v>
      </c>
      <c r="AE75" s="220">
        <f t="shared" si="120"/>
        <v>0.10382170089942137</v>
      </c>
      <c r="AF75" s="58">
        <f t="shared" si="103"/>
        <v>1.3600000000000001E-2</v>
      </c>
      <c r="AG75" s="61">
        <f t="shared" si="104"/>
        <v>1.3600000000000001E-2</v>
      </c>
      <c r="AH75" s="58">
        <f t="shared" si="105"/>
        <v>5.8958798813640066E-5</v>
      </c>
      <c r="AI75" s="49">
        <f t="shared" si="106"/>
        <v>7.2481661624261154E-3</v>
      </c>
      <c r="AJ75" s="61">
        <f t="shared" si="121"/>
        <v>7.3071249612397552E-3</v>
      </c>
      <c r="AK75" s="219">
        <f t="shared" si="107"/>
        <v>0.68</v>
      </c>
      <c r="AL75" s="215">
        <f t="shared" si="108"/>
        <v>15</v>
      </c>
      <c r="AM75" s="220">
        <f t="shared" si="122"/>
        <v>4.5333333333333337E-2</v>
      </c>
      <c r="AN75" s="219">
        <f t="shared" si="123"/>
        <v>2</v>
      </c>
      <c r="AO75" s="215">
        <f t="shared" si="124"/>
        <v>0.44444444444444453</v>
      </c>
      <c r="AP75" s="215">
        <f t="shared" si="125"/>
        <v>0.10199999999999999</v>
      </c>
      <c r="AQ75" s="215">
        <f t="shared" si="126"/>
        <v>0.14673944943358577</v>
      </c>
      <c r="AR75" s="215">
        <f t="shared" si="142"/>
        <v>0.17536972471679288</v>
      </c>
      <c r="AS75" s="220">
        <f t="shared" si="143"/>
        <v>7.3630827385573652E-2</v>
      </c>
      <c r="AT75" s="219"/>
      <c r="AU75" s="215">
        <f t="shared" si="127"/>
        <v>3.1484302222222225E-2</v>
      </c>
      <c r="AV75" s="220">
        <f t="shared" si="144"/>
        <v>3.1484302222222225E-2</v>
      </c>
      <c r="AW75" s="219">
        <f t="shared" si="128"/>
        <v>6.8148E-2</v>
      </c>
      <c r="AX75" s="215">
        <f t="shared" si="129"/>
        <v>1.3600000000000001E-2</v>
      </c>
      <c r="AY75" s="220">
        <f t="shared" si="145"/>
        <v>8.1748000000000001E-2</v>
      </c>
      <c r="AZ75" s="219">
        <f t="shared" si="109"/>
        <v>0</v>
      </c>
      <c r="BA75" s="215">
        <f t="shared" si="110"/>
        <v>0</v>
      </c>
      <c r="BB75" s="215">
        <f t="shared" si="146"/>
        <v>0</v>
      </c>
      <c r="BC75" s="61">
        <f t="shared" si="130"/>
        <v>0</v>
      </c>
      <c r="BD75" s="58">
        <v>0</v>
      </c>
      <c r="BE75" s="49">
        <f t="shared" si="131"/>
        <v>0</v>
      </c>
      <c r="BF75" s="61">
        <f t="shared" si="147"/>
        <v>0</v>
      </c>
      <c r="BG75" s="58">
        <f t="shared" si="132"/>
        <v>0</v>
      </c>
      <c r="BH75" s="49">
        <f t="shared" si="133"/>
        <v>0</v>
      </c>
      <c r="BI75" s="61">
        <f t="shared" si="134"/>
        <v>0</v>
      </c>
      <c r="BK75" s="219">
        <f t="shared" si="111"/>
        <v>0</v>
      </c>
      <c r="BL75" s="215">
        <f t="shared" si="112"/>
        <v>0</v>
      </c>
      <c r="BM75" s="215">
        <f t="shared" si="113"/>
        <v>0</v>
      </c>
      <c r="BN75" s="61">
        <f t="shared" si="135"/>
        <v>0</v>
      </c>
      <c r="BO75" s="58">
        <v>0</v>
      </c>
      <c r="BP75" s="49">
        <f t="shared" si="136"/>
        <v>0</v>
      </c>
      <c r="BQ75" s="61">
        <f t="shared" si="148"/>
        <v>0</v>
      </c>
      <c r="BR75" s="58">
        <f t="shared" si="137"/>
        <v>0</v>
      </c>
      <c r="BS75" s="49">
        <f t="shared" si="138"/>
        <v>0</v>
      </c>
      <c r="BT75" s="61">
        <f t="shared" si="149"/>
        <v>0</v>
      </c>
      <c r="BU75" s="58">
        <f t="shared" si="114"/>
        <v>1.3553746853710362E-4</v>
      </c>
      <c r="BV75" s="49">
        <f t="shared" si="115"/>
        <v>5.9629500000000002E-2</v>
      </c>
      <c r="BW75" s="61">
        <f t="shared" si="116"/>
        <v>5.4000000000000003E-3</v>
      </c>
      <c r="BX75" s="49">
        <f t="shared" si="139"/>
        <v>0.11742170089942137</v>
      </c>
      <c r="BY75" s="49">
        <f t="shared" si="140"/>
        <v>0.31672616555142047</v>
      </c>
      <c r="BZ75" s="49">
        <f t="shared" si="141"/>
        <v>68.223351959843697</v>
      </c>
    </row>
    <row r="76" spans="17:78" x14ac:dyDescent="0.25">
      <c r="Q76" s="49">
        <v>69</v>
      </c>
      <c r="R76" s="219">
        <f t="shared" si="94"/>
        <v>0.69000000000000006</v>
      </c>
      <c r="S76" s="215">
        <f t="shared" si="95"/>
        <v>12</v>
      </c>
      <c r="T76" s="220">
        <f t="shared" si="96"/>
        <v>5.7500000000000002E-2</v>
      </c>
      <c r="U76" s="219">
        <f t="shared" si="97"/>
        <v>2</v>
      </c>
      <c r="V76" s="215">
        <f t="shared" si="98"/>
        <v>0.55555555555555558</v>
      </c>
      <c r="W76" s="215">
        <f t="shared" si="99"/>
        <v>0.44444444444444442</v>
      </c>
      <c r="X76" s="215">
        <f t="shared" si="117"/>
        <v>0</v>
      </c>
      <c r="Y76" s="219">
        <f t="shared" si="118"/>
        <v>0.10350000000000001</v>
      </c>
      <c r="Z76" s="215">
        <f t="shared" si="100"/>
        <v>0.14673944943358574</v>
      </c>
      <c r="AA76" s="215">
        <f t="shared" si="119"/>
        <v>0.17686972471679288</v>
      </c>
      <c r="AB76" s="220">
        <f t="shared" si="101"/>
        <v>8.3355404305031008E-2</v>
      </c>
      <c r="AC76" s="219">
        <v>0</v>
      </c>
      <c r="AD76" s="215">
        <f t="shared" si="102"/>
        <v>0.10644525089942139</v>
      </c>
      <c r="AE76" s="220">
        <f t="shared" si="120"/>
        <v>0.10644525089942139</v>
      </c>
      <c r="AF76" s="58">
        <f t="shared" si="103"/>
        <v>1.3800000000000002E-2</v>
      </c>
      <c r="AG76" s="61">
        <f t="shared" si="104"/>
        <v>1.3800000000000002E-2</v>
      </c>
      <c r="AH76" s="58">
        <f t="shared" si="105"/>
        <v>6.0448673813640078E-5</v>
      </c>
      <c r="AI76" s="49">
        <f t="shared" si="106"/>
        <v>7.354756841285324E-3</v>
      </c>
      <c r="AJ76" s="61">
        <f t="shared" si="121"/>
        <v>7.4152055150989637E-3</v>
      </c>
      <c r="AK76" s="219">
        <f t="shared" si="107"/>
        <v>0.69000000000000006</v>
      </c>
      <c r="AL76" s="215">
        <f t="shared" si="108"/>
        <v>15</v>
      </c>
      <c r="AM76" s="220">
        <f t="shared" si="122"/>
        <v>4.6000000000000006E-2</v>
      </c>
      <c r="AN76" s="219">
        <f t="shared" si="123"/>
        <v>2</v>
      </c>
      <c r="AO76" s="215">
        <f t="shared" si="124"/>
        <v>0.44444444444444453</v>
      </c>
      <c r="AP76" s="215">
        <f t="shared" si="125"/>
        <v>0.10349999999999999</v>
      </c>
      <c r="AQ76" s="215">
        <f t="shared" si="126"/>
        <v>0.14673944943358577</v>
      </c>
      <c r="AR76" s="215">
        <f t="shared" si="142"/>
        <v>0.17686972471679288</v>
      </c>
      <c r="AS76" s="220">
        <f t="shared" si="143"/>
        <v>7.4555340127211184E-2</v>
      </c>
      <c r="AT76" s="219"/>
      <c r="AU76" s="215">
        <f t="shared" si="127"/>
        <v>3.2417120000000015E-2</v>
      </c>
      <c r="AV76" s="220">
        <f t="shared" si="144"/>
        <v>3.2417120000000015E-2</v>
      </c>
      <c r="AW76" s="219">
        <f t="shared" si="128"/>
        <v>6.8148E-2</v>
      </c>
      <c r="AX76" s="215">
        <f t="shared" si="129"/>
        <v>1.3800000000000002E-2</v>
      </c>
      <c r="AY76" s="220">
        <f t="shared" si="145"/>
        <v>8.1948000000000007E-2</v>
      </c>
      <c r="AZ76" s="219">
        <f t="shared" si="109"/>
        <v>0</v>
      </c>
      <c r="BA76" s="215">
        <f t="shared" si="110"/>
        <v>0</v>
      </c>
      <c r="BB76" s="215">
        <f t="shared" si="146"/>
        <v>0</v>
      </c>
      <c r="BC76" s="61">
        <f t="shared" si="130"/>
        <v>0</v>
      </c>
      <c r="BD76" s="58">
        <v>0</v>
      </c>
      <c r="BE76" s="49">
        <f t="shared" si="131"/>
        <v>0</v>
      </c>
      <c r="BF76" s="61">
        <f t="shared" si="147"/>
        <v>0</v>
      </c>
      <c r="BG76" s="58">
        <f t="shared" si="132"/>
        <v>0</v>
      </c>
      <c r="BH76" s="49">
        <f t="shared" si="133"/>
        <v>0</v>
      </c>
      <c r="BI76" s="61">
        <f t="shared" si="134"/>
        <v>0</v>
      </c>
      <c r="BK76" s="219">
        <f t="shared" si="111"/>
        <v>0</v>
      </c>
      <c r="BL76" s="215">
        <f t="shared" si="112"/>
        <v>0</v>
      </c>
      <c r="BM76" s="215">
        <f t="shared" si="113"/>
        <v>0</v>
      </c>
      <c r="BN76" s="61">
        <f t="shared" si="135"/>
        <v>0</v>
      </c>
      <c r="BO76" s="58">
        <v>0</v>
      </c>
      <c r="BP76" s="49">
        <f t="shared" si="136"/>
        <v>0</v>
      </c>
      <c r="BQ76" s="61">
        <f t="shared" si="148"/>
        <v>0</v>
      </c>
      <c r="BR76" s="58">
        <f t="shared" si="137"/>
        <v>0</v>
      </c>
      <c r="BS76" s="49">
        <f t="shared" si="138"/>
        <v>0</v>
      </c>
      <c r="BT76" s="61">
        <f t="shared" si="149"/>
        <v>0</v>
      </c>
      <c r="BU76" s="58">
        <f t="shared" si="114"/>
        <v>1.3896246853710363E-4</v>
      </c>
      <c r="BV76" s="49">
        <f t="shared" si="115"/>
        <v>5.9629500000000002E-2</v>
      </c>
      <c r="BW76" s="61">
        <f t="shared" si="116"/>
        <v>5.4000000000000003E-3</v>
      </c>
      <c r="BX76" s="49">
        <f t="shared" si="139"/>
        <v>0.1202452508994214</v>
      </c>
      <c r="BY76" s="49">
        <f t="shared" si="140"/>
        <v>0.3209940388830575</v>
      </c>
      <c r="BZ76" s="49">
        <f t="shared" si="141"/>
        <v>68.249660577851628</v>
      </c>
    </row>
    <row r="77" spans="17:78" x14ac:dyDescent="0.25">
      <c r="Q77" s="49">
        <v>70</v>
      </c>
      <c r="R77" s="219">
        <f t="shared" si="94"/>
        <v>0.70000000000000007</v>
      </c>
      <c r="S77" s="215">
        <f t="shared" si="95"/>
        <v>12</v>
      </c>
      <c r="T77" s="220">
        <f t="shared" si="96"/>
        <v>5.8333333333333341E-2</v>
      </c>
      <c r="U77" s="219">
        <f t="shared" si="97"/>
        <v>2</v>
      </c>
      <c r="V77" s="215">
        <f t="shared" si="98"/>
        <v>0.55555555555555558</v>
      </c>
      <c r="W77" s="215">
        <f t="shared" si="99"/>
        <v>0.44444444444444442</v>
      </c>
      <c r="X77" s="215">
        <f t="shared" si="117"/>
        <v>0</v>
      </c>
      <c r="Y77" s="219">
        <f t="shared" si="118"/>
        <v>0.10500000000000001</v>
      </c>
      <c r="Z77" s="215">
        <f t="shared" si="100"/>
        <v>0.14673944943358574</v>
      </c>
      <c r="AA77" s="215">
        <f t="shared" si="119"/>
        <v>0.17836972471679288</v>
      </c>
      <c r="AB77" s="220">
        <f t="shared" si="101"/>
        <v>8.4391192827540845E-2</v>
      </c>
      <c r="AC77" s="219">
        <v>0</v>
      </c>
      <c r="AD77" s="215">
        <f t="shared" si="102"/>
        <v>0.10910710089942138</v>
      </c>
      <c r="AE77" s="220">
        <f t="shared" si="120"/>
        <v>0.10910710089942138</v>
      </c>
      <c r="AF77" s="58">
        <f t="shared" si="103"/>
        <v>1.4000000000000002E-2</v>
      </c>
      <c r="AG77" s="61">
        <f t="shared" si="104"/>
        <v>1.4000000000000002E-2</v>
      </c>
      <c r="AH77" s="58">
        <f t="shared" si="105"/>
        <v>6.1960298813640074E-5</v>
      </c>
      <c r="AI77" s="49">
        <f t="shared" si="106"/>
        <v>7.4613475201445326E-3</v>
      </c>
      <c r="AJ77" s="61">
        <f t="shared" si="121"/>
        <v>7.5233078189581729E-3</v>
      </c>
      <c r="AK77" s="219">
        <f t="shared" si="107"/>
        <v>0.70000000000000007</v>
      </c>
      <c r="AL77" s="215">
        <f t="shared" si="108"/>
        <v>15</v>
      </c>
      <c r="AM77" s="220">
        <f t="shared" si="122"/>
        <v>4.6666666666666669E-2</v>
      </c>
      <c r="AN77" s="219">
        <f t="shared" si="123"/>
        <v>2</v>
      </c>
      <c r="AO77" s="215">
        <f t="shared" si="124"/>
        <v>0.44444444444444442</v>
      </c>
      <c r="AP77" s="215">
        <f t="shared" si="125"/>
        <v>0.10500000000000001</v>
      </c>
      <c r="AQ77" s="215">
        <f t="shared" si="126"/>
        <v>0.14673944943358572</v>
      </c>
      <c r="AR77" s="215">
        <f t="shared" si="142"/>
        <v>0.17836972471679285</v>
      </c>
      <c r="AS77" s="220">
        <f t="shared" si="143"/>
        <v>7.5481777545869586E-2</v>
      </c>
      <c r="AT77" s="219"/>
      <c r="AU77" s="215">
        <f t="shared" si="127"/>
        <v>3.3363555555555563E-2</v>
      </c>
      <c r="AV77" s="220">
        <f t="shared" si="144"/>
        <v>3.3363555555555563E-2</v>
      </c>
      <c r="AW77" s="219">
        <f t="shared" si="128"/>
        <v>6.8148E-2</v>
      </c>
      <c r="AX77" s="215">
        <f t="shared" si="129"/>
        <v>1.4E-2</v>
      </c>
      <c r="AY77" s="220">
        <f t="shared" si="145"/>
        <v>8.2147999999999999E-2</v>
      </c>
      <c r="AZ77" s="219">
        <f t="shared" si="109"/>
        <v>0</v>
      </c>
      <c r="BA77" s="215">
        <f t="shared" si="110"/>
        <v>0</v>
      </c>
      <c r="BB77" s="215">
        <f t="shared" si="146"/>
        <v>0</v>
      </c>
      <c r="BC77" s="61">
        <f t="shared" si="130"/>
        <v>0</v>
      </c>
      <c r="BD77" s="58">
        <v>0</v>
      </c>
      <c r="BE77" s="49">
        <f t="shared" si="131"/>
        <v>0</v>
      </c>
      <c r="BF77" s="61">
        <f t="shared" si="147"/>
        <v>0</v>
      </c>
      <c r="BG77" s="58">
        <f t="shared" si="132"/>
        <v>0</v>
      </c>
      <c r="BH77" s="49">
        <f t="shared" si="133"/>
        <v>0</v>
      </c>
      <c r="BI77" s="61">
        <f t="shared" si="134"/>
        <v>0</v>
      </c>
      <c r="BK77" s="219">
        <f t="shared" si="111"/>
        <v>0</v>
      </c>
      <c r="BL77" s="215">
        <f t="shared" si="112"/>
        <v>0</v>
      </c>
      <c r="BM77" s="215">
        <f t="shared" si="113"/>
        <v>0</v>
      </c>
      <c r="BN77" s="61">
        <f t="shared" si="135"/>
        <v>0</v>
      </c>
      <c r="BO77" s="58">
        <v>0</v>
      </c>
      <c r="BP77" s="49">
        <f t="shared" si="136"/>
        <v>0</v>
      </c>
      <c r="BQ77" s="61">
        <f t="shared" si="148"/>
        <v>0</v>
      </c>
      <c r="BR77" s="58">
        <f t="shared" si="137"/>
        <v>0</v>
      </c>
      <c r="BS77" s="49">
        <f t="shared" si="138"/>
        <v>0</v>
      </c>
      <c r="BT77" s="61">
        <f t="shared" si="149"/>
        <v>0</v>
      </c>
      <c r="BU77" s="58">
        <f t="shared" si="114"/>
        <v>1.4243746853710362E-4</v>
      </c>
      <c r="BV77" s="49">
        <f t="shared" si="115"/>
        <v>5.9629500000000002E-2</v>
      </c>
      <c r="BW77" s="61">
        <f t="shared" si="116"/>
        <v>5.4000000000000003E-3</v>
      </c>
      <c r="BX77" s="49">
        <f t="shared" si="139"/>
        <v>0.12310710089942138</v>
      </c>
      <c r="BY77" s="49">
        <f t="shared" si="140"/>
        <v>0.32531390174247227</v>
      </c>
      <c r="BZ77" s="49">
        <f t="shared" si="141"/>
        <v>68.271774995967888</v>
      </c>
    </row>
    <row r="78" spans="17:78" x14ac:dyDescent="0.25">
      <c r="Q78" s="49">
        <v>71</v>
      </c>
      <c r="R78" s="219">
        <f t="shared" si="94"/>
        <v>0.71</v>
      </c>
      <c r="S78" s="215">
        <f t="shared" si="95"/>
        <v>12</v>
      </c>
      <c r="T78" s="220">
        <f t="shared" si="96"/>
        <v>5.9166666666666666E-2</v>
      </c>
      <c r="U78" s="219">
        <f t="shared" si="97"/>
        <v>2</v>
      </c>
      <c r="V78" s="215">
        <f t="shared" si="98"/>
        <v>0.55555555555555558</v>
      </c>
      <c r="W78" s="215">
        <f t="shared" si="99"/>
        <v>0.44444444444444442</v>
      </c>
      <c r="X78" s="215">
        <f t="shared" si="117"/>
        <v>0</v>
      </c>
      <c r="Y78" s="219">
        <f t="shared" si="118"/>
        <v>0.10649999999999998</v>
      </c>
      <c r="Z78" s="215">
        <f t="shared" si="100"/>
        <v>0.14673944943358574</v>
      </c>
      <c r="AA78" s="215">
        <f t="shared" si="119"/>
        <v>0.17986972471679286</v>
      </c>
      <c r="AB78" s="220">
        <f t="shared" si="101"/>
        <v>8.5429054933641752E-2</v>
      </c>
      <c r="AC78" s="219">
        <v>0</v>
      </c>
      <c r="AD78" s="215">
        <f t="shared" si="102"/>
        <v>0.11180725089942135</v>
      </c>
      <c r="AE78" s="220">
        <f t="shared" si="120"/>
        <v>0.11180725089942135</v>
      </c>
      <c r="AF78" s="58">
        <f t="shared" si="103"/>
        <v>1.4199999999999999E-2</v>
      </c>
      <c r="AG78" s="61">
        <f t="shared" si="104"/>
        <v>1.4199999999999999E-2</v>
      </c>
      <c r="AH78" s="58">
        <f t="shared" si="105"/>
        <v>6.3493673813640053E-5</v>
      </c>
      <c r="AI78" s="49">
        <f t="shared" si="106"/>
        <v>7.5679381990037386E-3</v>
      </c>
      <c r="AJ78" s="61">
        <f t="shared" si="121"/>
        <v>7.6314318728173784E-3</v>
      </c>
      <c r="AK78" s="219">
        <f t="shared" si="107"/>
        <v>0.71</v>
      </c>
      <c r="AL78" s="215">
        <f t="shared" si="108"/>
        <v>15</v>
      </c>
      <c r="AM78" s="220">
        <f t="shared" si="122"/>
        <v>4.7333333333333331E-2</v>
      </c>
      <c r="AN78" s="219">
        <f t="shared" si="123"/>
        <v>2</v>
      </c>
      <c r="AO78" s="215">
        <f t="shared" si="124"/>
        <v>0.44444444444444448</v>
      </c>
      <c r="AP78" s="215">
        <f t="shared" si="125"/>
        <v>0.10649999999999998</v>
      </c>
      <c r="AQ78" s="215">
        <f t="shared" si="126"/>
        <v>0.14673944943358574</v>
      </c>
      <c r="AR78" s="215">
        <f t="shared" si="142"/>
        <v>0.17986972471679286</v>
      </c>
      <c r="AS78" s="220">
        <f t="shared" si="143"/>
        <v>7.6410069634074693E-2</v>
      </c>
      <c r="AT78" s="219"/>
      <c r="AU78" s="215">
        <f t="shared" si="127"/>
        <v>3.4323608888888885E-2</v>
      </c>
      <c r="AV78" s="220">
        <f t="shared" si="144"/>
        <v>3.4323608888888885E-2</v>
      </c>
      <c r="AW78" s="219">
        <f t="shared" si="128"/>
        <v>6.8148E-2</v>
      </c>
      <c r="AX78" s="215">
        <f t="shared" si="129"/>
        <v>1.4199999999999999E-2</v>
      </c>
      <c r="AY78" s="220">
        <f t="shared" si="145"/>
        <v>8.2348000000000005E-2</v>
      </c>
      <c r="AZ78" s="219">
        <f t="shared" si="109"/>
        <v>0</v>
      </c>
      <c r="BA78" s="215">
        <f t="shared" si="110"/>
        <v>0</v>
      </c>
      <c r="BB78" s="215">
        <f t="shared" si="146"/>
        <v>0</v>
      </c>
      <c r="BC78" s="61">
        <f t="shared" si="130"/>
        <v>0</v>
      </c>
      <c r="BD78" s="58">
        <v>0</v>
      </c>
      <c r="BE78" s="49">
        <f t="shared" si="131"/>
        <v>0</v>
      </c>
      <c r="BF78" s="61">
        <f t="shared" si="147"/>
        <v>0</v>
      </c>
      <c r="BG78" s="58">
        <f t="shared" si="132"/>
        <v>0</v>
      </c>
      <c r="BH78" s="49">
        <f t="shared" si="133"/>
        <v>0</v>
      </c>
      <c r="BI78" s="61">
        <f t="shared" si="134"/>
        <v>0</v>
      </c>
      <c r="BK78" s="219">
        <f t="shared" si="111"/>
        <v>0</v>
      </c>
      <c r="BL78" s="215">
        <f t="shared" si="112"/>
        <v>0</v>
      </c>
      <c r="BM78" s="215">
        <f t="shared" si="113"/>
        <v>0</v>
      </c>
      <c r="BN78" s="61">
        <f t="shared" si="135"/>
        <v>0</v>
      </c>
      <c r="BO78" s="58">
        <v>0</v>
      </c>
      <c r="BP78" s="49">
        <f t="shared" si="136"/>
        <v>0</v>
      </c>
      <c r="BQ78" s="61">
        <f t="shared" si="148"/>
        <v>0</v>
      </c>
      <c r="BR78" s="58">
        <f t="shared" si="137"/>
        <v>0</v>
      </c>
      <c r="BS78" s="49">
        <f t="shared" si="138"/>
        <v>0</v>
      </c>
      <c r="BT78" s="61">
        <f t="shared" si="149"/>
        <v>0</v>
      </c>
      <c r="BU78" s="58">
        <f t="shared" si="114"/>
        <v>1.4596246853710359E-4</v>
      </c>
      <c r="BV78" s="49">
        <f t="shared" si="115"/>
        <v>5.9629500000000002E-2</v>
      </c>
      <c r="BW78" s="61">
        <f t="shared" si="116"/>
        <v>5.4000000000000003E-3</v>
      </c>
      <c r="BX78" s="49">
        <f t="shared" si="139"/>
        <v>0.12600725089942136</v>
      </c>
      <c r="BY78" s="49">
        <f t="shared" si="140"/>
        <v>0.32968575412966467</v>
      </c>
      <c r="BZ78" s="49">
        <f t="shared" si="141"/>
        <v>68.289865200120076</v>
      </c>
    </row>
    <row r="79" spans="17:78" x14ac:dyDescent="0.25">
      <c r="Q79" s="49">
        <v>72</v>
      </c>
      <c r="R79" s="219">
        <f t="shared" si="94"/>
        <v>0.72</v>
      </c>
      <c r="S79" s="215">
        <f t="shared" si="95"/>
        <v>12</v>
      </c>
      <c r="T79" s="220">
        <f t="shared" si="96"/>
        <v>0.06</v>
      </c>
      <c r="U79" s="219">
        <f t="shared" si="97"/>
        <v>2</v>
      </c>
      <c r="V79" s="215">
        <f t="shared" si="98"/>
        <v>0.55555555555555558</v>
      </c>
      <c r="W79" s="215">
        <f t="shared" si="99"/>
        <v>0.44444444444444442</v>
      </c>
      <c r="X79" s="215">
        <f t="shared" si="117"/>
        <v>0</v>
      </c>
      <c r="Y79" s="219">
        <f t="shared" si="118"/>
        <v>0.10799999999999998</v>
      </c>
      <c r="Z79" s="215">
        <f t="shared" si="100"/>
        <v>0.14673944943358574</v>
      </c>
      <c r="AA79" s="215">
        <f t="shared" si="119"/>
        <v>0.18136972471679286</v>
      </c>
      <c r="AB79" s="220">
        <f t="shared" si="101"/>
        <v>8.6468915957442063E-2</v>
      </c>
      <c r="AC79" s="219">
        <v>0</v>
      </c>
      <c r="AD79" s="215">
        <f t="shared" si="102"/>
        <v>0.11454570089942134</v>
      </c>
      <c r="AE79" s="220">
        <f t="shared" si="120"/>
        <v>0.11454570089942134</v>
      </c>
      <c r="AF79" s="58">
        <f t="shared" si="103"/>
        <v>1.44E-2</v>
      </c>
      <c r="AG79" s="61">
        <f t="shared" si="104"/>
        <v>1.44E-2</v>
      </c>
      <c r="AH79" s="58">
        <f t="shared" si="105"/>
        <v>6.504879881364005E-5</v>
      </c>
      <c r="AI79" s="49">
        <f t="shared" si="106"/>
        <v>7.6745288778629454E-3</v>
      </c>
      <c r="AJ79" s="61">
        <f t="shared" si="121"/>
        <v>7.7395776766765855E-3</v>
      </c>
      <c r="AK79" s="219">
        <f t="shared" si="107"/>
        <v>0.72</v>
      </c>
      <c r="AL79" s="215">
        <f t="shared" si="108"/>
        <v>15</v>
      </c>
      <c r="AM79" s="220">
        <f t="shared" si="122"/>
        <v>4.8000000000000001E-2</v>
      </c>
      <c r="AN79" s="219">
        <f t="shared" si="123"/>
        <v>2</v>
      </c>
      <c r="AO79" s="215">
        <f t="shared" si="124"/>
        <v>0.44444444444444453</v>
      </c>
      <c r="AP79" s="215">
        <f t="shared" si="125"/>
        <v>0.10799999999999998</v>
      </c>
      <c r="AQ79" s="215">
        <f t="shared" si="126"/>
        <v>0.14673944943358577</v>
      </c>
      <c r="AR79" s="215">
        <f t="shared" si="142"/>
        <v>0.18136972471679286</v>
      </c>
      <c r="AS79" s="220">
        <f t="shared" si="143"/>
        <v>7.7340149608622705E-2</v>
      </c>
      <c r="AT79" s="219"/>
      <c r="AU79" s="215">
        <f t="shared" si="127"/>
        <v>3.529728E-2</v>
      </c>
      <c r="AV79" s="220">
        <f t="shared" si="144"/>
        <v>3.529728E-2</v>
      </c>
      <c r="AW79" s="219">
        <f t="shared" si="128"/>
        <v>6.8148E-2</v>
      </c>
      <c r="AX79" s="215">
        <f t="shared" si="129"/>
        <v>1.44E-2</v>
      </c>
      <c r="AY79" s="220">
        <f t="shared" si="145"/>
        <v>8.2547999999999996E-2</v>
      </c>
      <c r="AZ79" s="219">
        <f t="shared" si="109"/>
        <v>0</v>
      </c>
      <c r="BA79" s="215">
        <f t="shared" si="110"/>
        <v>0</v>
      </c>
      <c r="BB79" s="215">
        <f t="shared" si="146"/>
        <v>0</v>
      </c>
      <c r="BC79" s="61">
        <f t="shared" si="130"/>
        <v>0</v>
      </c>
      <c r="BD79" s="58">
        <v>0</v>
      </c>
      <c r="BE79" s="49">
        <f t="shared" si="131"/>
        <v>0</v>
      </c>
      <c r="BF79" s="61">
        <f t="shared" si="147"/>
        <v>0</v>
      </c>
      <c r="BG79" s="58">
        <f t="shared" si="132"/>
        <v>0</v>
      </c>
      <c r="BH79" s="49">
        <f t="shared" si="133"/>
        <v>0</v>
      </c>
      <c r="BI79" s="61">
        <f t="shared" si="134"/>
        <v>0</v>
      </c>
      <c r="BK79" s="219">
        <f t="shared" si="111"/>
        <v>0</v>
      </c>
      <c r="BL79" s="215">
        <f t="shared" si="112"/>
        <v>0</v>
      </c>
      <c r="BM79" s="215">
        <f t="shared" si="113"/>
        <v>0</v>
      </c>
      <c r="BN79" s="61">
        <f t="shared" si="135"/>
        <v>0</v>
      </c>
      <c r="BO79" s="58">
        <v>0</v>
      </c>
      <c r="BP79" s="49">
        <f t="shared" si="136"/>
        <v>0</v>
      </c>
      <c r="BQ79" s="61">
        <f t="shared" si="148"/>
        <v>0</v>
      </c>
      <c r="BR79" s="58">
        <f t="shared" si="137"/>
        <v>0</v>
      </c>
      <c r="BS79" s="49">
        <f t="shared" si="138"/>
        <v>0</v>
      </c>
      <c r="BT79" s="61">
        <f t="shared" si="149"/>
        <v>0</v>
      </c>
      <c r="BU79" s="58">
        <f t="shared" si="114"/>
        <v>1.4953746853710358E-4</v>
      </c>
      <c r="BV79" s="49">
        <f t="shared" si="115"/>
        <v>5.9629500000000002E-2</v>
      </c>
      <c r="BW79" s="61">
        <f t="shared" si="116"/>
        <v>5.4000000000000003E-3</v>
      </c>
      <c r="BX79" s="49">
        <f t="shared" si="139"/>
        <v>0.12894570089942134</v>
      </c>
      <c r="BY79" s="49">
        <f t="shared" si="140"/>
        <v>0.33410959604463503</v>
      </c>
      <c r="BZ79" s="49">
        <f t="shared" si="141"/>
        <v>68.304093113436807</v>
      </c>
    </row>
    <row r="80" spans="17:78" x14ac:dyDescent="0.25">
      <c r="Q80" s="49">
        <v>73</v>
      </c>
      <c r="R80" s="219">
        <f t="shared" si="94"/>
        <v>0.73</v>
      </c>
      <c r="S80" s="215">
        <f t="shared" si="95"/>
        <v>12</v>
      </c>
      <c r="T80" s="220">
        <f t="shared" si="96"/>
        <v>6.083333333333333E-2</v>
      </c>
      <c r="U80" s="219">
        <f t="shared" si="97"/>
        <v>2</v>
      </c>
      <c r="V80" s="215">
        <f t="shared" si="98"/>
        <v>0.55555555555555558</v>
      </c>
      <c r="W80" s="215">
        <f t="shared" si="99"/>
        <v>0.44444444444444442</v>
      </c>
      <c r="X80" s="215">
        <f t="shared" si="117"/>
        <v>0</v>
      </c>
      <c r="Y80" s="219">
        <f t="shared" si="118"/>
        <v>0.10949999999999999</v>
      </c>
      <c r="Z80" s="215">
        <f t="shared" si="100"/>
        <v>0.14673944943358574</v>
      </c>
      <c r="AA80" s="215">
        <f t="shared" si="119"/>
        <v>0.18286972471679286</v>
      </c>
      <c r="AB80" s="220">
        <f t="shared" si="101"/>
        <v>8.7510704641519027E-2</v>
      </c>
      <c r="AC80" s="219">
        <v>0</v>
      </c>
      <c r="AD80" s="215">
        <f t="shared" si="102"/>
        <v>0.11732245089942135</v>
      </c>
      <c r="AE80" s="220">
        <f t="shared" si="120"/>
        <v>0.11732245089942135</v>
      </c>
      <c r="AF80" s="58">
        <f t="shared" si="103"/>
        <v>1.46E-2</v>
      </c>
      <c r="AG80" s="61">
        <f t="shared" si="104"/>
        <v>1.46E-2</v>
      </c>
      <c r="AH80" s="58">
        <f t="shared" si="105"/>
        <v>6.6625673813640063E-5</v>
      </c>
      <c r="AI80" s="49">
        <f t="shared" si="106"/>
        <v>7.781119556722154E-3</v>
      </c>
      <c r="AJ80" s="61">
        <f t="shared" si="121"/>
        <v>7.8477452305357933E-3</v>
      </c>
      <c r="AK80" s="219">
        <f t="shared" si="107"/>
        <v>0.73</v>
      </c>
      <c r="AL80" s="215">
        <f t="shared" si="108"/>
        <v>15</v>
      </c>
      <c r="AM80" s="220">
        <f t="shared" si="122"/>
        <v>4.8666666666666664E-2</v>
      </c>
      <c r="AN80" s="219">
        <f t="shared" si="123"/>
        <v>2</v>
      </c>
      <c r="AO80" s="215">
        <f t="shared" si="124"/>
        <v>0.44444444444444448</v>
      </c>
      <c r="AP80" s="215">
        <f t="shared" si="125"/>
        <v>0.10949999999999999</v>
      </c>
      <c r="AQ80" s="215">
        <f t="shared" si="126"/>
        <v>0.14673944943358574</v>
      </c>
      <c r="AR80" s="215">
        <f t="shared" si="142"/>
        <v>0.18286972471679286</v>
      </c>
      <c r="AS80" s="220">
        <f t="shared" si="143"/>
        <v>7.8271953734937158E-2</v>
      </c>
      <c r="AT80" s="219"/>
      <c r="AU80" s="215">
        <f t="shared" si="127"/>
        <v>3.6284568888888889E-2</v>
      </c>
      <c r="AV80" s="220">
        <f t="shared" si="144"/>
        <v>3.6284568888888889E-2</v>
      </c>
      <c r="AW80" s="219">
        <f t="shared" si="128"/>
        <v>6.8148E-2</v>
      </c>
      <c r="AX80" s="215">
        <f t="shared" si="129"/>
        <v>1.4599999999999998E-2</v>
      </c>
      <c r="AY80" s="220">
        <f t="shared" si="145"/>
        <v>8.2748000000000002E-2</v>
      </c>
      <c r="AZ80" s="219">
        <f t="shared" si="109"/>
        <v>0</v>
      </c>
      <c r="BA80" s="215">
        <f t="shared" si="110"/>
        <v>0</v>
      </c>
      <c r="BB80" s="215">
        <f t="shared" si="146"/>
        <v>0</v>
      </c>
      <c r="BC80" s="61">
        <f t="shared" si="130"/>
        <v>0</v>
      </c>
      <c r="BD80" s="58">
        <v>0</v>
      </c>
      <c r="BE80" s="49">
        <f t="shared" si="131"/>
        <v>0</v>
      </c>
      <c r="BF80" s="61">
        <f t="shared" si="147"/>
        <v>0</v>
      </c>
      <c r="BG80" s="58">
        <f t="shared" si="132"/>
        <v>0</v>
      </c>
      <c r="BH80" s="49">
        <f t="shared" si="133"/>
        <v>0</v>
      </c>
      <c r="BI80" s="61">
        <f t="shared" si="134"/>
        <v>0</v>
      </c>
      <c r="BK80" s="219">
        <f t="shared" si="111"/>
        <v>0</v>
      </c>
      <c r="BL80" s="215">
        <f t="shared" si="112"/>
        <v>0</v>
      </c>
      <c r="BM80" s="215">
        <f t="shared" si="113"/>
        <v>0</v>
      </c>
      <c r="BN80" s="61">
        <f t="shared" ref="BN80:BN111" si="150">IF(EN_OUT_3=1,BK80/BL80,0)</f>
        <v>0</v>
      </c>
      <c r="BO80" s="58">
        <v>0</v>
      </c>
      <c r="BP80" s="49">
        <f t="shared" si="136"/>
        <v>0</v>
      </c>
      <c r="BQ80" s="61">
        <f t="shared" si="148"/>
        <v>0</v>
      </c>
      <c r="BR80" s="58">
        <f t="shared" si="137"/>
        <v>0</v>
      </c>
      <c r="BS80" s="49">
        <f t="shared" si="138"/>
        <v>0</v>
      </c>
      <c r="BT80" s="61">
        <f t="shared" si="149"/>
        <v>0</v>
      </c>
      <c r="BU80" s="58">
        <f t="shared" si="114"/>
        <v>1.531624685371036E-4</v>
      </c>
      <c r="BV80" s="49">
        <f t="shared" si="115"/>
        <v>5.9629500000000002E-2</v>
      </c>
      <c r="BW80" s="61">
        <f t="shared" si="116"/>
        <v>5.4000000000000003E-3</v>
      </c>
      <c r="BX80" s="49">
        <f t="shared" si="139"/>
        <v>0.13192245089942134</v>
      </c>
      <c r="BY80" s="49">
        <f t="shared" si="140"/>
        <v>0.33858542748738318</v>
      </c>
      <c r="BZ80" s="49">
        <f t="shared" si="141"/>
        <v>68.314613059667522</v>
      </c>
    </row>
    <row r="81" spans="17:78" x14ac:dyDescent="0.25">
      <c r="Q81" s="49">
        <v>74</v>
      </c>
      <c r="R81" s="219">
        <f t="shared" si="94"/>
        <v>0.74</v>
      </c>
      <c r="S81" s="215">
        <f t="shared" si="95"/>
        <v>12</v>
      </c>
      <c r="T81" s="220">
        <f t="shared" si="96"/>
        <v>6.1666666666666668E-2</v>
      </c>
      <c r="U81" s="219">
        <f t="shared" si="97"/>
        <v>2</v>
      </c>
      <c r="V81" s="215">
        <f t="shared" si="98"/>
        <v>0.55555555555555558</v>
      </c>
      <c r="W81" s="215">
        <f t="shared" si="99"/>
        <v>0.44444444444444442</v>
      </c>
      <c r="X81" s="215">
        <f t="shared" si="117"/>
        <v>0</v>
      </c>
      <c r="Y81" s="219">
        <f t="shared" si="118"/>
        <v>0.11099999999999999</v>
      </c>
      <c r="Z81" s="215">
        <f t="shared" si="100"/>
        <v>0.14673944943358574</v>
      </c>
      <c r="AA81" s="215">
        <f t="shared" si="119"/>
        <v>0.18436972471679286</v>
      </c>
      <c r="AB81" s="220">
        <f t="shared" si="101"/>
        <v>8.8554352952608592E-2</v>
      </c>
      <c r="AC81" s="219">
        <v>0</v>
      </c>
      <c r="AD81" s="215">
        <f t="shared" si="102"/>
        <v>0.12013750089942134</v>
      </c>
      <c r="AE81" s="220">
        <f t="shared" si="120"/>
        <v>0.12013750089942134</v>
      </c>
      <c r="AF81" s="58">
        <f t="shared" si="103"/>
        <v>1.4800000000000001E-2</v>
      </c>
      <c r="AG81" s="61">
        <f t="shared" si="104"/>
        <v>1.4800000000000001E-2</v>
      </c>
      <c r="AH81" s="58">
        <f t="shared" si="105"/>
        <v>6.8224298813640054E-5</v>
      </c>
      <c r="AI81" s="49">
        <f t="shared" si="106"/>
        <v>7.8877102355813609E-3</v>
      </c>
      <c r="AJ81" s="61">
        <f t="shared" si="121"/>
        <v>7.9559345343950018E-3</v>
      </c>
      <c r="AK81" s="219">
        <f t="shared" si="107"/>
        <v>0.74</v>
      </c>
      <c r="AL81" s="215">
        <f t="shared" si="108"/>
        <v>15</v>
      </c>
      <c r="AM81" s="220">
        <f t="shared" si="122"/>
        <v>4.9333333333333333E-2</v>
      </c>
      <c r="AN81" s="219">
        <f t="shared" si="123"/>
        <v>2</v>
      </c>
      <c r="AO81" s="215">
        <f t="shared" si="124"/>
        <v>0.44444444444444448</v>
      </c>
      <c r="AP81" s="215">
        <f t="shared" si="125"/>
        <v>0.11099999999999999</v>
      </c>
      <c r="AQ81" s="215">
        <f t="shared" si="126"/>
        <v>0.14673944943358574</v>
      </c>
      <c r="AR81" s="215">
        <f t="shared" si="142"/>
        <v>0.18436972471679286</v>
      </c>
      <c r="AS81" s="220">
        <f t="shared" si="143"/>
        <v>7.9205421162216808E-2</v>
      </c>
      <c r="AT81" s="219"/>
      <c r="AU81" s="215">
        <f t="shared" si="127"/>
        <v>3.7285475555555558E-2</v>
      </c>
      <c r="AV81" s="220">
        <f t="shared" si="144"/>
        <v>3.7285475555555558E-2</v>
      </c>
      <c r="AW81" s="219">
        <f t="shared" si="128"/>
        <v>6.8148E-2</v>
      </c>
      <c r="AX81" s="215">
        <f t="shared" si="129"/>
        <v>1.4799999999999999E-2</v>
      </c>
      <c r="AY81" s="220">
        <f t="shared" si="145"/>
        <v>8.2947999999999994E-2</v>
      </c>
      <c r="AZ81" s="219">
        <f t="shared" si="109"/>
        <v>0</v>
      </c>
      <c r="BA81" s="215">
        <f t="shared" si="110"/>
        <v>0</v>
      </c>
      <c r="BB81" s="215">
        <f t="shared" si="146"/>
        <v>0</v>
      </c>
      <c r="BC81" s="61">
        <f t="shared" si="130"/>
        <v>0</v>
      </c>
      <c r="BD81" s="58">
        <v>0</v>
      </c>
      <c r="BE81" s="49">
        <f t="shared" si="131"/>
        <v>0</v>
      </c>
      <c r="BF81" s="61">
        <f t="shared" si="147"/>
        <v>0</v>
      </c>
      <c r="BG81" s="58">
        <f t="shared" si="132"/>
        <v>0</v>
      </c>
      <c r="BH81" s="49">
        <f t="shared" si="133"/>
        <v>0</v>
      </c>
      <c r="BI81" s="61">
        <f t="shared" si="134"/>
        <v>0</v>
      </c>
      <c r="BK81" s="219">
        <f t="shared" si="111"/>
        <v>0</v>
      </c>
      <c r="BL81" s="215">
        <f t="shared" si="112"/>
        <v>0</v>
      </c>
      <c r="BM81" s="215">
        <f t="shared" si="113"/>
        <v>0</v>
      </c>
      <c r="BN81" s="61">
        <f t="shared" si="150"/>
        <v>0</v>
      </c>
      <c r="BO81" s="58">
        <v>0</v>
      </c>
      <c r="BP81" s="49">
        <f t="shared" si="136"/>
        <v>0</v>
      </c>
      <c r="BQ81" s="61">
        <f t="shared" si="148"/>
        <v>0</v>
      </c>
      <c r="BR81" s="58">
        <f t="shared" si="137"/>
        <v>0</v>
      </c>
      <c r="BS81" s="49">
        <f t="shared" si="138"/>
        <v>0</v>
      </c>
      <c r="BT81" s="61">
        <f t="shared" si="149"/>
        <v>0</v>
      </c>
      <c r="BU81" s="58">
        <f t="shared" si="114"/>
        <v>1.5683746853710357E-4</v>
      </c>
      <c r="BV81" s="49">
        <f t="shared" si="115"/>
        <v>5.9629500000000002E-2</v>
      </c>
      <c r="BW81" s="61">
        <f t="shared" si="116"/>
        <v>5.4000000000000003E-3</v>
      </c>
      <c r="BX81" s="49">
        <f t="shared" si="139"/>
        <v>0.13493750089942133</v>
      </c>
      <c r="BY81" s="49">
        <f t="shared" si="140"/>
        <v>0.34311324845790897</v>
      </c>
      <c r="BZ81" s="49">
        <f t="shared" si="141"/>
        <v>68.321572195112651</v>
      </c>
    </row>
    <row r="82" spans="17:78" x14ac:dyDescent="0.25">
      <c r="Q82" s="49">
        <v>75</v>
      </c>
      <c r="R82" s="219">
        <f t="shared" si="94"/>
        <v>0.75</v>
      </c>
      <c r="S82" s="215">
        <f t="shared" si="95"/>
        <v>12</v>
      </c>
      <c r="T82" s="220">
        <f t="shared" si="96"/>
        <v>6.25E-2</v>
      </c>
      <c r="U82" s="219">
        <f t="shared" si="97"/>
        <v>2</v>
      </c>
      <c r="V82" s="215">
        <f t="shared" si="98"/>
        <v>0.55555555555555558</v>
      </c>
      <c r="W82" s="215">
        <f t="shared" si="99"/>
        <v>0.44444444444444442</v>
      </c>
      <c r="X82" s="215">
        <f t="shared" si="117"/>
        <v>0</v>
      </c>
      <c r="Y82" s="219">
        <f t="shared" si="118"/>
        <v>0.11249999999999999</v>
      </c>
      <c r="Z82" s="215">
        <f t="shared" si="100"/>
        <v>0.14673944943358574</v>
      </c>
      <c r="AA82" s="215">
        <f t="shared" si="119"/>
        <v>0.18586972471679286</v>
      </c>
      <c r="AB82" s="220">
        <f t="shared" si="101"/>
        <v>8.9599795908557614E-2</v>
      </c>
      <c r="AC82" s="219">
        <v>0</v>
      </c>
      <c r="AD82" s="215">
        <f t="shared" si="102"/>
        <v>0.12299085089942133</v>
      </c>
      <c r="AE82" s="220">
        <f t="shared" si="120"/>
        <v>0.12299085089942133</v>
      </c>
      <c r="AF82" s="58">
        <f t="shared" si="103"/>
        <v>1.4999999999999999E-2</v>
      </c>
      <c r="AG82" s="61">
        <f t="shared" si="104"/>
        <v>1.4999999999999999E-2</v>
      </c>
      <c r="AH82" s="58">
        <f t="shared" si="105"/>
        <v>6.9844673813640047E-5</v>
      </c>
      <c r="AI82" s="49">
        <f t="shared" si="106"/>
        <v>7.9943009144405677E-3</v>
      </c>
      <c r="AJ82" s="61">
        <f t="shared" si="121"/>
        <v>8.0641455882542075E-3</v>
      </c>
      <c r="AK82" s="219">
        <f t="shared" si="107"/>
        <v>0.75</v>
      </c>
      <c r="AL82" s="215">
        <f t="shared" si="108"/>
        <v>15</v>
      </c>
      <c r="AM82" s="220">
        <f t="shared" si="122"/>
        <v>0.05</v>
      </c>
      <c r="AN82" s="219">
        <f t="shared" si="123"/>
        <v>2</v>
      </c>
      <c r="AO82" s="215">
        <f t="shared" si="124"/>
        <v>0.44444444444444453</v>
      </c>
      <c r="AP82" s="215">
        <f t="shared" si="125"/>
        <v>0.11249999999999999</v>
      </c>
      <c r="AQ82" s="215">
        <f t="shared" si="126"/>
        <v>0.14673944943358577</v>
      </c>
      <c r="AR82" s="215">
        <f t="shared" si="142"/>
        <v>0.18586972471679286</v>
      </c>
      <c r="AS82" s="220">
        <f t="shared" si="143"/>
        <v>8.0140493768656937E-2</v>
      </c>
      <c r="AT82" s="219"/>
      <c r="AU82" s="215">
        <f t="shared" si="127"/>
        <v>3.8300000000000008E-2</v>
      </c>
      <c r="AV82" s="220">
        <f t="shared" si="144"/>
        <v>3.8300000000000008E-2</v>
      </c>
      <c r="AW82" s="219">
        <f t="shared" si="128"/>
        <v>6.8148E-2</v>
      </c>
      <c r="AX82" s="215">
        <f t="shared" si="129"/>
        <v>1.4999999999999999E-2</v>
      </c>
      <c r="AY82" s="220">
        <f t="shared" si="145"/>
        <v>8.3148E-2</v>
      </c>
      <c r="AZ82" s="219">
        <f t="shared" si="109"/>
        <v>0</v>
      </c>
      <c r="BA82" s="215">
        <f t="shared" si="110"/>
        <v>0</v>
      </c>
      <c r="BB82" s="215">
        <f t="shared" si="146"/>
        <v>0</v>
      </c>
      <c r="BC82" s="61">
        <f t="shared" si="130"/>
        <v>0</v>
      </c>
      <c r="BD82" s="58">
        <v>0</v>
      </c>
      <c r="BE82" s="49">
        <f t="shared" si="131"/>
        <v>0</v>
      </c>
      <c r="BF82" s="61">
        <f t="shared" si="147"/>
        <v>0</v>
      </c>
      <c r="BG82" s="58">
        <f t="shared" si="132"/>
        <v>0</v>
      </c>
      <c r="BH82" s="49">
        <f t="shared" si="133"/>
        <v>0</v>
      </c>
      <c r="BI82" s="61">
        <f t="shared" si="134"/>
        <v>0</v>
      </c>
      <c r="BK82" s="219">
        <f t="shared" si="111"/>
        <v>0</v>
      </c>
      <c r="BL82" s="215">
        <f t="shared" si="112"/>
        <v>0</v>
      </c>
      <c r="BM82" s="215">
        <f t="shared" si="113"/>
        <v>0</v>
      </c>
      <c r="BN82" s="61">
        <f t="shared" si="150"/>
        <v>0</v>
      </c>
      <c r="BO82" s="58">
        <v>0</v>
      </c>
      <c r="BP82" s="49">
        <f t="shared" si="136"/>
        <v>0</v>
      </c>
      <c r="BQ82" s="61">
        <f t="shared" si="148"/>
        <v>0</v>
      </c>
      <c r="BR82" s="58">
        <f t="shared" si="137"/>
        <v>0</v>
      </c>
      <c r="BS82" s="49">
        <f t="shared" si="138"/>
        <v>0</v>
      </c>
      <c r="BT82" s="61">
        <f t="shared" si="149"/>
        <v>0</v>
      </c>
      <c r="BU82" s="58">
        <f t="shared" si="114"/>
        <v>1.6056246853710356E-4</v>
      </c>
      <c r="BV82" s="49">
        <f t="shared" si="115"/>
        <v>5.9629500000000002E-2</v>
      </c>
      <c r="BW82" s="61">
        <f t="shared" si="116"/>
        <v>5.4000000000000003E-3</v>
      </c>
      <c r="BX82" s="49">
        <f t="shared" si="139"/>
        <v>0.13799085089942131</v>
      </c>
      <c r="BY82" s="49">
        <f t="shared" si="140"/>
        <v>0.34769305895621261</v>
      </c>
      <c r="BZ82" s="49">
        <f t="shared" si="141"/>
        <v>68.325110911530118</v>
      </c>
    </row>
    <row r="83" spans="17:78" x14ac:dyDescent="0.25">
      <c r="Q83" s="49">
        <v>76</v>
      </c>
      <c r="R83" s="219">
        <f t="shared" si="94"/>
        <v>0.76</v>
      </c>
      <c r="S83" s="215">
        <f t="shared" si="95"/>
        <v>12</v>
      </c>
      <c r="T83" s="220">
        <f t="shared" si="96"/>
        <v>6.3333333333333339E-2</v>
      </c>
      <c r="U83" s="219">
        <f t="shared" si="97"/>
        <v>2</v>
      </c>
      <c r="V83" s="215">
        <f t="shared" si="98"/>
        <v>0.55555555555555558</v>
      </c>
      <c r="W83" s="215">
        <f t="shared" si="99"/>
        <v>0.44444444444444442</v>
      </c>
      <c r="X83" s="215">
        <f t="shared" si="117"/>
        <v>0</v>
      </c>
      <c r="Y83" s="219">
        <f t="shared" si="118"/>
        <v>0.11399999999999999</v>
      </c>
      <c r="Z83" s="215">
        <f t="shared" si="100"/>
        <v>0.14673944943358574</v>
      </c>
      <c r="AA83" s="215">
        <f t="shared" si="119"/>
        <v>0.18736972471679286</v>
      </c>
      <c r="AB83" s="220">
        <f t="shared" si="101"/>
        <v>9.06469714157907E-2</v>
      </c>
      <c r="AC83" s="219">
        <v>0</v>
      </c>
      <c r="AD83" s="215">
        <f t="shared" si="102"/>
        <v>0.1258825008994213</v>
      </c>
      <c r="AE83" s="220">
        <f t="shared" si="120"/>
        <v>0.1258825008994213</v>
      </c>
      <c r="AF83" s="58">
        <f t="shared" si="103"/>
        <v>1.52E-2</v>
      </c>
      <c r="AG83" s="61">
        <f t="shared" si="104"/>
        <v>1.52E-2</v>
      </c>
      <c r="AH83" s="58">
        <f t="shared" si="105"/>
        <v>7.1486798813640018E-5</v>
      </c>
      <c r="AI83" s="49">
        <f t="shared" si="106"/>
        <v>8.1008915932997763E-3</v>
      </c>
      <c r="AJ83" s="61">
        <f t="shared" si="121"/>
        <v>8.1723783921134156E-3</v>
      </c>
      <c r="AK83" s="219">
        <f t="shared" si="107"/>
        <v>0.76</v>
      </c>
      <c r="AL83" s="215">
        <f t="shared" si="108"/>
        <v>15</v>
      </c>
      <c r="AM83" s="220">
        <f t="shared" si="122"/>
        <v>5.0666666666666665E-2</v>
      </c>
      <c r="AN83" s="219">
        <f t="shared" si="123"/>
        <v>2</v>
      </c>
      <c r="AO83" s="215">
        <f t="shared" si="124"/>
        <v>0.44444444444444448</v>
      </c>
      <c r="AP83" s="215">
        <f t="shared" si="125"/>
        <v>0.11399999999999999</v>
      </c>
      <c r="AQ83" s="215">
        <f t="shared" si="126"/>
        <v>0.14673944943358574</v>
      </c>
      <c r="AR83" s="215">
        <f t="shared" si="142"/>
        <v>0.18736972471679286</v>
      </c>
      <c r="AS83" s="220">
        <f t="shared" si="143"/>
        <v>8.1077116016075354E-2</v>
      </c>
      <c r="AT83" s="219"/>
      <c r="AU83" s="215">
        <f t="shared" si="127"/>
        <v>3.9328142222222223E-2</v>
      </c>
      <c r="AV83" s="220">
        <f t="shared" si="144"/>
        <v>3.9328142222222223E-2</v>
      </c>
      <c r="AW83" s="219">
        <f t="shared" si="128"/>
        <v>6.8148E-2</v>
      </c>
      <c r="AX83" s="215">
        <f t="shared" si="129"/>
        <v>1.5199999999999998E-2</v>
      </c>
      <c r="AY83" s="220">
        <f t="shared" si="145"/>
        <v>8.3348000000000005E-2</v>
      </c>
      <c r="AZ83" s="219">
        <f t="shared" si="109"/>
        <v>0</v>
      </c>
      <c r="BA83" s="215">
        <f t="shared" si="110"/>
        <v>0</v>
      </c>
      <c r="BB83" s="215">
        <f t="shared" si="146"/>
        <v>0</v>
      </c>
      <c r="BC83" s="61">
        <f t="shared" si="130"/>
        <v>0</v>
      </c>
      <c r="BD83" s="58">
        <v>0</v>
      </c>
      <c r="BE83" s="49">
        <f t="shared" si="131"/>
        <v>0</v>
      </c>
      <c r="BF83" s="61">
        <f t="shared" si="147"/>
        <v>0</v>
      </c>
      <c r="BG83" s="58">
        <f t="shared" si="132"/>
        <v>0</v>
      </c>
      <c r="BH83" s="49">
        <f t="shared" si="133"/>
        <v>0</v>
      </c>
      <c r="BI83" s="61">
        <f t="shared" si="134"/>
        <v>0</v>
      </c>
      <c r="BK83" s="219">
        <f t="shared" si="111"/>
        <v>0</v>
      </c>
      <c r="BL83" s="215">
        <f t="shared" si="112"/>
        <v>0</v>
      </c>
      <c r="BM83" s="215">
        <f t="shared" si="113"/>
        <v>0</v>
      </c>
      <c r="BN83" s="61">
        <f t="shared" si="150"/>
        <v>0</v>
      </c>
      <c r="BO83" s="58">
        <v>0</v>
      </c>
      <c r="BP83" s="49">
        <f t="shared" si="136"/>
        <v>0</v>
      </c>
      <c r="BQ83" s="61">
        <f t="shared" si="148"/>
        <v>0</v>
      </c>
      <c r="BR83" s="58">
        <f t="shared" si="137"/>
        <v>0</v>
      </c>
      <c r="BS83" s="49">
        <f t="shared" si="138"/>
        <v>0</v>
      </c>
      <c r="BT83" s="61">
        <f t="shared" si="149"/>
        <v>0</v>
      </c>
      <c r="BU83" s="58">
        <f t="shared" si="114"/>
        <v>1.6433746853710351E-4</v>
      </c>
      <c r="BV83" s="49">
        <f t="shared" si="115"/>
        <v>5.9629500000000002E-2</v>
      </c>
      <c r="BW83" s="61">
        <f t="shared" si="116"/>
        <v>5.4000000000000003E-3</v>
      </c>
      <c r="BX83" s="49">
        <f t="shared" si="139"/>
        <v>0.14108250089942129</v>
      </c>
      <c r="BY83" s="49">
        <f t="shared" si="140"/>
        <v>0.35232485898229404</v>
      </c>
      <c r="BZ83" s="49">
        <f t="shared" si="141"/>
        <v>68.325363212267973</v>
      </c>
    </row>
    <row r="84" spans="17:78" x14ac:dyDescent="0.25">
      <c r="Q84" s="49">
        <v>77</v>
      </c>
      <c r="R84" s="219">
        <f t="shared" si="94"/>
        <v>0.77</v>
      </c>
      <c r="S84" s="215">
        <f t="shared" si="95"/>
        <v>12</v>
      </c>
      <c r="T84" s="220">
        <f t="shared" si="96"/>
        <v>6.4166666666666664E-2</v>
      </c>
      <c r="U84" s="219">
        <f t="shared" si="97"/>
        <v>2</v>
      </c>
      <c r="V84" s="215">
        <f t="shared" si="98"/>
        <v>0.55555555555555558</v>
      </c>
      <c r="W84" s="215">
        <f t="shared" si="99"/>
        <v>0.44444444444444442</v>
      </c>
      <c r="X84" s="215">
        <f t="shared" si="117"/>
        <v>0</v>
      </c>
      <c r="Y84" s="219">
        <f t="shared" si="118"/>
        <v>0.11549999999999999</v>
      </c>
      <c r="Z84" s="215">
        <f t="shared" si="100"/>
        <v>0.14673944943358574</v>
      </c>
      <c r="AA84" s="215">
        <f t="shared" si="119"/>
        <v>0.18886972471679286</v>
      </c>
      <c r="AB84" s="220">
        <f t="shared" si="101"/>
        <v>9.1695820116596258E-2</v>
      </c>
      <c r="AC84" s="219">
        <v>0</v>
      </c>
      <c r="AD84" s="215">
        <f t="shared" si="102"/>
        <v>0.12881245089942137</v>
      </c>
      <c r="AE84" s="220">
        <f t="shared" si="120"/>
        <v>0.12881245089942137</v>
      </c>
      <c r="AF84" s="58">
        <f t="shared" si="103"/>
        <v>1.54E-2</v>
      </c>
      <c r="AG84" s="61">
        <f t="shared" si="104"/>
        <v>1.54E-2</v>
      </c>
      <c r="AH84" s="58">
        <f t="shared" si="105"/>
        <v>7.3150673813640059E-5</v>
      </c>
      <c r="AI84" s="49">
        <f t="shared" si="106"/>
        <v>8.2074822721589832E-3</v>
      </c>
      <c r="AJ84" s="61">
        <f t="shared" si="121"/>
        <v>8.2806329459726227E-3</v>
      </c>
      <c r="AK84" s="219">
        <f t="shared" si="107"/>
        <v>0.77</v>
      </c>
      <c r="AL84" s="215">
        <f t="shared" si="108"/>
        <v>15</v>
      </c>
      <c r="AM84" s="220">
        <f t="shared" si="122"/>
        <v>5.1333333333333335E-2</v>
      </c>
      <c r="AN84" s="219">
        <f t="shared" si="123"/>
        <v>2</v>
      </c>
      <c r="AO84" s="215">
        <f t="shared" si="124"/>
        <v>0.44444444444444448</v>
      </c>
      <c r="AP84" s="215">
        <f t="shared" si="125"/>
        <v>0.11549999999999999</v>
      </c>
      <c r="AQ84" s="215">
        <f t="shared" si="126"/>
        <v>0.14673944943358574</v>
      </c>
      <c r="AR84" s="215">
        <f t="shared" si="142"/>
        <v>0.18886972471679286</v>
      </c>
      <c r="AS84" s="220">
        <f t="shared" si="143"/>
        <v>8.2015234813320764E-2</v>
      </c>
      <c r="AT84" s="219"/>
      <c r="AU84" s="215">
        <f t="shared" si="127"/>
        <v>4.0369902222222219E-2</v>
      </c>
      <c r="AV84" s="220">
        <f t="shared" si="144"/>
        <v>4.0369902222222219E-2</v>
      </c>
      <c r="AW84" s="219">
        <f t="shared" si="128"/>
        <v>6.8148E-2</v>
      </c>
      <c r="AX84" s="215">
        <f t="shared" si="129"/>
        <v>1.54E-2</v>
      </c>
      <c r="AY84" s="220">
        <f t="shared" si="145"/>
        <v>8.3547999999999997E-2</v>
      </c>
      <c r="AZ84" s="219">
        <f t="shared" si="109"/>
        <v>0</v>
      </c>
      <c r="BA84" s="215">
        <f t="shared" si="110"/>
        <v>0</v>
      </c>
      <c r="BB84" s="215">
        <f t="shared" si="146"/>
        <v>0</v>
      </c>
      <c r="BC84" s="61">
        <f t="shared" si="130"/>
        <v>0</v>
      </c>
      <c r="BD84" s="58">
        <v>0</v>
      </c>
      <c r="BE84" s="49">
        <f t="shared" si="131"/>
        <v>0</v>
      </c>
      <c r="BF84" s="61">
        <f t="shared" si="147"/>
        <v>0</v>
      </c>
      <c r="BG84" s="58">
        <f t="shared" si="132"/>
        <v>0</v>
      </c>
      <c r="BH84" s="49">
        <f t="shared" si="133"/>
        <v>0</v>
      </c>
      <c r="BI84" s="61">
        <f t="shared" si="134"/>
        <v>0</v>
      </c>
      <c r="BK84" s="219">
        <f t="shared" si="111"/>
        <v>0</v>
      </c>
      <c r="BL84" s="215">
        <f t="shared" si="112"/>
        <v>0</v>
      </c>
      <c r="BM84" s="215">
        <f t="shared" si="113"/>
        <v>0</v>
      </c>
      <c r="BN84" s="61">
        <f t="shared" si="150"/>
        <v>0</v>
      </c>
      <c r="BO84" s="58">
        <v>0</v>
      </c>
      <c r="BP84" s="49">
        <f t="shared" si="136"/>
        <v>0</v>
      </c>
      <c r="BQ84" s="61">
        <f t="shared" si="148"/>
        <v>0</v>
      </c>
      <c r="BR84" s="58">
        <f t="shared" si="137"/>
        <v>0</v>
      </c>
      <c r="BS84" s="49">
        <f t="shared" si="138"/>
        <v>0</v>
      </c>
      <c r="BT84" s="61">
        <f t="shared" si="149"/>
        <v>0</v>
      </c>
      <c r="BU84" s="58">
        <f t="shared" si="114"/>
        <v>1.6816246853710359E-4</v>
      </c>
      <c r="BV84" s="49">
        <f t="shared" si="115"/>
        <v>5.9629500000000002E-2</v>
      </c>
      <c r="BW84" s="61">
        <f t="shared" si="116"/>
        <v>5.4000000000000003E-3</v>
      </c>
      <c r="BX84" s="49">
        <f t="shared" si="139"/>
        <v>0.14421245089942136</v>
      </c>
      <c r="BY84" s="49">
        <f t="shared" si="140"/>
        <v>0.35700864853615333</v>
      </c>
      <c r="BZ84" s="49">
        <f t="shared" si="141"/>
        <v>68.322457063673482</v>
      </c>
    </row>
    <row r="85" spans="17:78" x14ac:dyDescent="0.25">
      <c r="Q85" s="49">
        <v>78</v>
      </c>
      <c r="R85" s="219">
        <f t="shared" si="94"/>
        <v>0.78</v>
      </c>
      <c r="S85" s="215">
        <f t="shared" si="95"/>
        <v>12</v>
      </c>
      <c r="T85" s="220">
        <f t="shared" si="96"/>
        <v>6.5000000000000002E-2</v>
      </c>
      <c r="U85" s="219">
        <f t="shared" si="97"/>
        <v>2</v>
      </c>
      <c r="V85" s="215">
        <f t="shared" si="98"/>
        <v>0.55555555555555558</v>
      </c>
      <c r="W85" s="215">
        <f t="shared" si="99"/>
        <v>0.44444444444444442</v>
      </c>
      <c r="X85" s="215">
        <f t="shared" si="117"/>
        <v>0</v>
      </c>
      <c r="Y85" s="219">
        <f t="shared" si="118"/>
        <v>0.11699999999999999</v>
      </c>
      <c r="Z85" s="215">
        <f t="shared" si="100"/>
        <v>0.14673944943358574</v>
      </c>
      <c r="AA85" s="215">
        <f t="shared" si="119"/>
        <v>0.19036972471679287</v>
      </c>
      <c r="AB85" s="220">
        <f t="shared" si="101"/>
        <v>9.2746285245583718E-2</v>
      </c>
      <c r="AC85" s="219">
        <v>0</v>
      </c>
      <c r="AD85" s="215">
        <f t="shared" si="102"/>
        <v>0.13178070089942137</v>
      </c>
      <c r="AE85" s="220">
        <f t="shared" si="120"/>
        <v>0.13178070089942137</v>
      </c>
      <c r="AF85" s="58">
        <f t="shared" si="103"/>
        <v>1.5600000000000001E-2</v>
      </c>
      <c r="AG85" s="61">
        <f t="shared" si="104"/>
        <v>1.5600000000000001E-2</v>
      </c>
      <c r="AH85" s="58">
        <f t="shared" si="105"/>
        <v>7.4836298813640064E-5</v>
      </c>
      <c r="AI85" s="49">
        <f t="shared" si="106"/>
        <v>8.3140729510181918E-3</v>
      </c>
      <c r="AJ85" s="61">
        <f t="shared" si="121"/>
        <v>8.3889092498318323E-3</v>
      </c>
      <c r="AK85" s="219">
        <f t="shared" si="107"/>
        <v>0.78</v>
      </c>
      <c r="AL85" s="215">
        <f t="shared" si="108"/>
        <v>15</v>
      </c>
      <c r="AM85" s="220">
        <f t="shared" si="122"/>
        <v>5.2000000000000005E-2</v>
      </c>
      <c r="AN85" s="219">
        <f t="shared" si="123"/>
        <v>2</v>
      </c>
      <c r="AO85" s="215">
        <f t="shared" si="124"/>
        <v>0.44444444444444453</v>
      </c>
      <c r="AP85" s="215">
        <f t="shared" si="125"/>
        <v>0.11699999999999999</v>
      </c>
      <c r="AQ85" s="215">
        <f t="shared" si="126"/>
        <v>0.14673944943358577</v>
      </c>
      <c r="AR85" s="215">
        <f t="shared" si="142"/>
        <v>0.19036972471679287</v>
      </c>
      <c r="AS85" s="220">
        <f t="shared" si="143"/>
        <v>8.2954799387884373E-2</v>
      </c>
      <c r="AT85" s="219"/>
      <c r="AU85" s="215">
        <f t="shared" si="127"/>
        <v>4.1425280000000009E-2</v>
      </c>
      <c r="AV85" s="220">
        <f t="shared" si="144"/>
        <v>4.1425280000000009E-2</v>
      </c>
      <c r="AW85" s="219">
        <f t="shared" si="128"/>
        <v>6.8148E-2</v>
      </c>
      <c r="AX85" s="215">
        <f t="shared" si="129"/>
        <v>1.5600000000000001E-2</v>
      </c>
      <c r="AY85" s="220">
        <f t="shared" si="145"/>
        <v>8.3748000000000003E-2</v>
      </c>
      <c r="AZ85" s="219">
        <f t="shared" si="109"/>
        <v>0</v>
      </c>
      <c r="BA85" s="215">
        <f t="shared" si="110"/>
        <v>0</v>
      </c>
      <c r="BB85" s="215">
        <f t="shared" si="146"/>
        <v>0</v>
      </c>
      <c r="BC85" s="61">
        <f t="shared" si="130"/>
        <v>0</v>
      </c>
      <c r="BD85" s="58">
        <v>0</v>
      </c>
      <c r="BE85" s="49">
        <f t="shared" si="131"/>
        <v>0</v>
      </c>
      <c r="BF85" s="61">
        <f t="shared" si="147"/>
        <v>0</v>
      </c>
      <c r="BG85" s="58">
        <f t="shared" si="132"/>
        <v>0</v>
      </c>
      <c r="BH85" s="49">
        <f t="shared" si="133"/>
        <v>0</v>
      </c>
      <c r="BI85" s="61">
        <f t="shared" si="134"/>
        <v>0</v>
      </c>
      <c r="BK85" s="219">
        <f t="shared" si="111"/>
        <v>0</v>
      </c>
      <c r="BL85" s="215">
        <f t="shared" si="112"/>
        <v>0</v>
      </c>
      <c r="BM85" s="215">
        <f t="shared" si="113"/>
        <v>0</v>
      </c>
      <c r="BN85" s="61">
        <f t="shared" si="150"/>
        <v>0</v>
      </c>
      <c r="BO85" s="58">
        <v>0</v>
      </c>
      <c r="BP85" s="49">
        <f t="shared" si="136"/>
        <v>0</v>
      </c>
      <c r="BQ85" s="61">
        <f t="shared" si="148"/>
        <v>0</v>
      </c>
      <c r="BR85" s="58">
        <f t="shared" si="137"/>
        <v>0</v>
      </c>
      <c r="BS85" s="49">
        <f t="shared" si="138"/>
        <v>0</v>
      </c>
      <c r="BT85" s="61">
        <f t="shared" si="149"/>
        <v>0</v>
      </c>
      <c r="BU85" s="58">
        <f t="shared" si="114"/>
        <v>1.7203746853710361E-4</v>
      </c>
      <c r="BV85" s="49">
        <f t="shared" si="115"/>
        <v>5.9629500000000002E-2</v>
      </c>
      <c r="BW85" s="61">
        <f t="shared" si="116"/>
        <v>5.4000000000000003E-3</v>
      </c>
      <c r="BX85" s="49">
        <f t="shared" si="139"/>
        <v>0.14738070089942137</v>
      </c>
      <c r="BY85" s="49">
        <f t="shared" si="140"/>
        <v>0.3617444276177903</v>
      </c>
      <c r="BZ85" s="49">
        <f t="shared" si="141"/>
        <v>68.316514723653398</v>
      </c>
    </row>
    <row r="86" spans="17:78" x14ac:dyDescent="0.25">
      <c r="Q86" s="49">
        <v>79</v>
      </c>
      <c r="R86" s="219">
        <f t="shared" si="94"/>
        <v>0.79</v>
      </c>
      <c r="S86" s="215">
        <f t="shared" si="95"/>
        <v>12</v>
      </c>
      <c r="T86" s="220">
        <f t="shared" si="96"/>
        <v>6.5833333333333341E-2</v>
      </c>
      <c r="U86" s="219">
        <f t="shared" si="97"/>
        <v>2</v>
      </c>
      <c r="V86" s="215">
        <f t="shared" si="98"/>
        <v>0.55555555555555558</v>
      </c>
      <c r="W86" s="215">
        <f t="shared" si="99"/>
        <v>0.44444444444444442</v>
      </c>
      <c r="X86" s="215">
        <f t="shared" si="117"/>
        <v>0</v>
      </c>
      <c r="Y86" s="219">
        <f t="shared" si="118"/>
        <v>0.11849999999999999</v>
      </c>
      <c r="Z86" s="215">
        <f t="shared" si="100"/>
        <v>0.14673944943358574</v>
      </c>
      <c r="AA86" s="215">
        <f t="shared" si="119"/>
        <v>0.19186972471679287</v>
      </c>
      <c r="AB86" s="220">
        <f t="shared" si="101"/>
        <v>9.3798312494709504E-2</v>
      </c>
      <c r="AC86" s="219">
        <v>0</v>
      </c>
      <c r="AD86" s="215">
        <f t="shared" si="102"/>
        <v>0.13478725089942131</v>
      </c>
      <c r="AE86" s="220">
        <f t="shared" si="120"/>
        <v>0.13478725089942131</v>
      </c>
      <c r="AF86" s="58">
        <f t="shared" si="103"/>
        <v>1.5800000000000002E-2</v>
      </c>
      <c r="AG86" s="61">
        <f t="shared" si="104"/>
        <v>1.5800000000000002E-2</v>
      </c>
      <c r="AH86" s="58">
        <f t="shared" si="105"/>
        <v>7.6543673813640045E-5</v>
      </c>
      <c r="AI86" s="49">
        <f t="shared" si="106"/>
        <v>8.4206636298774003E-3</v>
      </c>
      <c r="AJ86" s="61">
        <f t="shared" si="121"/>
        <v>8.4972073036910407E-3</v>
      </c>
      <c r="AK86" s="219">
        <f t="shared" si="107"/>
        <v>0.79</v>
      </c>
      <c r="AL86" s="215">
        <f t="shared" si="108"/>
        <v>15</v>
      </c>
      <c r="AM86" s="220">
        <f t="shared" si="122"/>
        <v>5.2666666666666667E-2</v>
      </c>
      <c r="AN86" s="219">
        <f t="shared" si="123"/>
        <v>2</v>
      </c>
      <c r="AO86" s="215">
        <f t="shared" si="124"/>
        <v>0.44444444444444448</v>
      </c>
      <c r="AP86" s="215">
        <f t="shared" si="125"/>
        <v>0.11849999999999999</v>
      </c>
      <c r="AQ86" s="215">
        <f t="shared" si="126"/>
        <v>0.14673944943358574</v>
      </c>
      <c r="AR86" s="215">
        <f t="shared" si="142"/>
        <v>0.19186972471679287</v>
      </c>
      <c r="AS86" s="220">
        <f t="shared" si="143"/>
        <v>8.3895761165175345E-2</v>
      </c>
      <c r="AT86" s="219"/>
      <c r="AU86" s="215">
        <f t="shared" si="127"/>
        <v>4.2494275555555558E-2</v>
      </c>
      <c r="AV86" s="220">
        <f t="shared" si="144"/>
        <v>4.2494275555555558E-2</v>
      </c>
      <c r="AW86" s="219">
        <f t="shared" si="128"/>
        <v>6.8148E-2</v>
      </c>
      <c r="AX86" s="215">
        <f t="shared" si="129"/>
        <v>1.5799999999999998E-2</v>
      </c>
      <c r="AY86" s="220">
        <f t="shared" si="145"/>
        <v>8.3947999999999995E-2</v>
      </c>
      <c r="AZ86" s="219">
        <f t="shared" si="109"/>
        <v>0</v>
      </c>
      <c r="BA86" s="215">
        <f t="shared" si="110"/>
        <v>0</v>
      </c>
      <c r="BB86" s="215">
        <f t="shared" si="146"/>
        <v>0</v>
      </c>
      <c r="BC86" s="61">
        <f t="shared" si="130"/>
        <v>0</v>
      </c>
      <c r="BD86" s="58">
        <v>0</v>
      </c>
      <c r="BE86" s="49">
        <f t="shared" si="131"/>
        <v>0</v>
      </c>
      <c r="BF86" s="61">
        <f t="shared" si="147"/>
        <v>0</v>
      </c>
      <c r="BG86" s="58">
        <f t="shared" si="132"/>
        <v>0</v>
      </c>
      <c r="BH86" s="49">
        <f t="shared" si="133"/>
        <v>0</v>
      </c>
      <c r="BI86" s="61">
        <f t="shared" si="134"/>
        <v>0</v>
      </c>
      <c r="BK86" s="219">
        <f t="shared" si="111"/>
        <v>0</v>
      </c>
      <c r="BL86" s="215">
        <f t="shared" si="112"/>
        <v>0</v>
      </c>
      <c r="BM86" s="215">
        <f t="shared" si="113"/>
        <v>0</v>
      </c>
      <c r="BN86" s="61">
        <f t="shared" si="150"/>
        <v>0</v>
      </c>
      <c r="BO86" s="58">
        <v>0</v>
      </c>
      <c r="BP86" s="49">
        <f t="shared" si="136"/>
        <v>0</v>
      </c>
      <c r="BQ86" s="61">
        <f t="shared" si="148"/>
        <v>0</v>
      </c>
      <c r="BR86" s="58">
        <f t="shared" si="137"/>
        <v>0</v>
      </c>
      <c r="BS86" s="49">
        <f t="shared" si="138"/>
        <v>0</v>
      </c>
      <c r="BT86" s="61">
        <f t="shared" si="149"/>
        <v>0</v>
      </c>
      <c r="BU86" s="58">
        <f t="shared" si="114"/>
        <v>1.7596246853710356E-4</v>
      </c>
      <c r="BV86" s="49">
        <f t="shared" si="115"/>
        <v>5.9629500000000002E-2</v>
      </c>
      <c r="BW86" s="61">
        <f t="shared" si="116"/>
        <v>5.4000000000000003E-3</v>
      </c>
      <c r="BX86" s="49">
        <f t="shared" si="139"/>
        <v>0.15058725089942132</v>
      </c>
      <c r="BY86" s="49">
        <f t="shared" si="140"/>
        <v>0.36653219622720506</v>
      </c>
      <c r="BZ86" s="49">
        <f t="shared" si="141"/>
        <v>68.307653049098647</v>
      </c>
    </row>
    <row r="87" spans="17:78" x14ac:dyDescent="0.25">
      <c r="Q87" s="49">
        <v>80</v>
      </c>
      <c r="R87" s="219">
        <f t="shared" si="94"/>
        <v>0.8</v>
      </c>
      <c r="S87" s="215">
        <f t="shared" si="95"/>
        <v>12</v>
      </c>
      <c r="T87" s="220">
        <f t="shared" si="96"/>
        <v>6.6666666666666666E-2</v>
      </c>
      <c r="U87" s="219">
        <f t="shared" si="97"/>
        <v>2</v>
      </c>
      <c r="V87" s="215">
        <f t="shared" si="98"/>
        <v>0.55555555555555558</v>
      </c>
      <c r="W87" s="215">
        <f t="shared" si="99"/>
        <v>0.44444444444444442</v>
      </c>
      <c r="X87" s="215">
        <f t="shared" si="117"/>
        <v>0</v>
      </c>
      <c r="Y87" s="219">
        <f t="shared" si="118"/>
        <v>0.12</v>
      </c>
      <c r="Z87" s="215">
        <f t="shared" si="100"/>
        <v>0.14673944943358574</v>
      </c>
      <c r="AA87" s="215">
        <f t="shared" si="119"/>
        <v>0.19336972471679287</v>
      </c>
      <c r="AB87" s="220">
        <f t="shared" si="101"/>
        <v>9.4851849886310499E-2</v>
      </c>
      <c r="AC87" s="219">
        <v>0</v>
      </c>
      <c r="AD87" s="215">
        <f t="shared" si="102"/>
        <v>0.13783210089942136</v>
      </c>
      <c r="AE87" s="220">
        <f t="shared" si="120"/>
        <v>0.13783210089942136</v>
      </c>
      <c r="AF87" s="58">
        <f t="shared" si="103"/>
        <v>1.6E-2</v>
      </c>
      <c r="AG87" s="61">
        <f t="shared" si="104"/>
        <v>1.6E-2</v>
      </c>
      <c r="AH87" s="58">
        <f t="shared" si="105"/>
        <v>7.8272798813640057E-5</v>
      </c>
      <c r="AI87" s="49">
        <f t="shared" si="106"/>
        <v>8.5272543087366055E-3</v>
      </c>
      <c r="AJ87" s="61">
        <f t="shared" si="121"/>
        <v>8.6055271075502447E-3</v>
      </c>
      <c r="AK87" s="219">
        <f t="shared" si="107"/>
        <v>0.8</v>
      </c>
      <c r="AL87" s="215">
        <f t="shared" si="108"/>
        <v>15</v>
      </c>
      <c r="AM87" s="220">
        <f t="shared" si="122"/>
        <v>5.3333333333333337E-2</v>
      </c>
      <c r="AN87" s="219">
        <f t="shared" si="123"/>
        <v>2</v>
      </c>
      <c r="AO87" s="215">
        <f t="shared" si="124"/>
        <v>0.44444444444444448</v>
      </c>
      <c r="AP87" s="215">
        <f t="shared" si="125"/>
        <v>0.12</v>
      </c>
      <c r="AQ87" s="215">
        <f t="shared" si="126"/>
        <v>0.14673944943358574</v>
      </c>
      <c r="AR87" s="215">
        <f t="shared" si="142"/>
        <v>0.19336972471679287</v>
      </c>
      <c r="AS87" s="220">
        <f t="shared" si="143"/>
        <v>8.4838073654958379E-2</v>
      </c>
      <c r="AT87" s="219"/>
      <c r="AU87" s="215">
        <f t="shared" si="127"/>
        <v>4.3576888888888901E-2</v>
      </c>
      <c r="AV87" s="220">
        <f t="shared" si="144"/>
        <v>4.3576888888888901E-2</v>
      </c>
      <c r="AW87" s="219">
        <f t="shared" si="128"/>
        <v>6.8148E-2</v>
      </c>
      <c r="AX87" s="215">
        <f t="shared" si="129"/>
        <v>1.6E-2</v>
      </c>
      <c r="AY87" s="220">
        <f t="shared" si="145"/>
        <v>8.4148000000000001E-2</v>
      </c>
      <c r="AZ87" s="219">
        <f t="shared" si="109"/>
        <v>0</v>
      </c>
      <c r="BA87" s="215">
        <f t="shared" si="110"/>
        <v>0</v>
      </c>
      <c r="BB87" s="215">
        <f t="shared" si="146"/>
        <v>0</v>
      </c>
      <c r="BC87" s="61">
        <f t="shared" si="130"/>
        <v>0</v>
      </c>
      <c r="BD87" s="58">
        <v>0</v>
      </c>
      <c r="BE87" s="49">
        <f t="shared" si="131"/>
        <v>0</v>
      </c>
      <c r="BF87" s="61">
        <f t="shared" si="147"/>
        <v>0</v>
      </c>
      <c r="BG87" s="58">
        <f t="shared" si="132"/>
        <v>0</v>
      </c>
      <c r="BH87" s="49">
        <f t="shared" si="133"/>
        <v>0</v>
      </c>
      <c r="BI87" s="61">
        <f t="shared" si="134"/>
        <v>0</v>
      </c>
      <c r="BK87" s="219">
        <f t="shared" si="111"/>
        <v>0</v>
      </c>
      <c r="BL87" s="215">
        <f t="shared" si="112"/>
        <v>0</v>
      </c>
      <c r="BM87" s="215">
        <f t="shared" si="113"/>
        <v>0</v>
      </c>
      <c r="BN87" s="61">
        <f t="shared" si="150"/>
        <v>0</v>
      </c>
      <c r="BO87" s="58">
        <v>0</v>
      </c>
      <c r="BP87" s="49">
        <f t="shared" si="136"/>
        <v>0</v>
      </c>
      <c r="BQ87" s="61">
        <f t="shared" si="148"/>
        <v>0</v>
      </c>
      <c r="BR87" s="58">
        <f t="shared" si="137"/>
        <v>0</v>
      </c>
      <c r="BS87" s="49">
        <f t="shared" si="138"/>
        <v>0</v>
      </c>
      <c r="BT87" s="61">
        <f t="shared" si="149"/>
        <v>0</v>
      </c>
      <c r="BU87" s="58">
        <f t="shared" si="114"/>
        <v>1.7993746853710361E-4</v>
      </c>
      <c r="BV87" s="49">
        <f t="shared" si="115"/>
        <v>5.9629500000000002E-2</v>
      </c>
      <c r="BW87" s="61">
        <f t="shared" si="116"/>
        <v>5.4000000000000003E-3</v>
      </c>
      <c r="BX87" s="49">
        <f t="shared" si="139"/>
        <v>0.15383210089942134</v>
      </c>
      <c r="BY87" s="49">
        <f t="shared" si="140"/>
        <v>0.37137195436439763</v>
      </c>
      <c r="BZ87" s="49">
        <f t="shared" si="141"/>
        <v>68.295983783741093</v>
      </c>
    </row>
    <row r="88" spans="17:78" x14ac:dyDescent="0.25">
      <c r="Q88" s="49">
        <v>81</v>
      </c>
      <c r="R88" s="219">
        <f t="shared" si="94"/>
        <v>0.81</v>
      </c>
      <c r="S88" s="215">
        <f t="shared" si="95"/>
        <v>12</v>
      </c>
      <c r="T88" s="220">
        <f t="shared" si="96"/>
        <v>6.7500000000000004E-2</v>
      </c>
      <c r="U88" s="219">
        <f t="shared" si="97"/>
        <v>2</v>
      </c>
      <c r="V88" s="215">
        <f t="shared" si="98"/>
        <v>0.55555555555555558</v>
      </c>
      <c r="W88" s="215">
        <f t="shared" si="99"/>
        <v>0.44444444444444442</v>
      </c>
      <c r="X88" s="215">
        <f t="shared" si="117"/>
        <v>0</v>
      </c>
      <c r="Y88" s="219">
        <f t="shared" si="118"/>
        <v>0.1215</v>
      </c>
      <c r="Z88" s="215">
        <f t="shared" si="100"/>
        <v>0.14673944943358574</v>
      </c>
      <c r="AA88" s="215">
        <f t="shared" si="119"/>
        <v>0.19486972471679287</v>
      </c>
      <c r="AB88" s="220">
        <f t="shared" si="101"/>
        <v>9.5906847653622618E-2</v>
      </c>
      <c r="AC88" s="219">
        <v>0</v>
      </c>
      <c r="AD88" s="215">
        <f t="shared" si="102"/>
        <v>0.14091525089942133</v>
      </c>
      <c r="AE88" s="220">
        <f t="shared" si="120"/>
        <v>0.14091525089942133</v>
      </c>
      <c r="AF88" s="58">
        <f t="shared" si="103"/>
        <v>1.6200000000000003E-2</v>
      </c>
      <c r="AG88" s="61">
        <f t="shared" si="104"/>
        <v>1.6200000000000003E-2</v>
      </c>
      <c r="AH88" s="58">
        <f t="shared" si="105"/>
        <v>8.0023673813640046E-5</v>
      </c>
      <c r="AI88" s="49">
        <f t="shared" si="106"/>
        <v>8.633844987595814E-3</v>
      </c>
      <c r="AJ88" s="61">
        <f t="shared" si="121"/>
        <v>8.7138686614094546E-3</v>
      </c>
      <c r="AK88" s="219">
        <f t="shared" si="107"/>
        <v>0.81</v>
      </c>
      <c r="AL88" s="215">
        <f t="shared" si="108"/>
        <v>15</v>
      </c>
      <c r="AM88" s="220">
        <f t="shared" si="122"/>
        <v>5.4000000000000006E-2</v>
      </c>
      <c r="AN88" s="219">
        <f t="shared" si="123"/>
        <v>2</v>
      </c>
      <c r="AO88" s="215">
        <f t="shared" si="124"/>
        <v>0.44444444444444453</v>
      </c>
      <c r="AP88" s="215">
        <f t="shared" si="125"/>
        <v>0.1215</v>
      </c>
      <c r="AQ88" s="215">
        <f t="shared" si="126"/>
        <v>0.14673944943358577</v>
      </c>
      <c r="AR88" s="215">
        <f t="shared" si="142"/>
        <v>0.19486972471679287</v>
      </c>
      <c r="AS88" s="220">
        <f t="shared" si="143"/>
        <v>8.5781692344486557E-2</v>
      </c>
      <c r="AT88" s="219"/>
      <c r="AU88" s="215">
        <f t="shared" si="127"/>
        <v>4.4673120000000011E-2</v>
      </c>
      <c r="AV88" s="220">
        <f t="shared" si="144"/>
        <v>4.4673120000000011E-2</v>
      </c>
      <c r="AW88" s="219">
        <f t="shared" si="128"/>
        <v>6.8148E-2</v>
      </c>
      <c r="AX88" s="215">
        <f t="shared" si="129"/>
        <v>1.6200000000000003E-2</v>
      </c>
      <c r="AY88" s="220">
        <f t="shared" si="145"/>
        <v>8.4348000000000006E-2</v>
      </c>
      <c r="AZ88" s="219">
        <f t="shared" si="109"/>
        <v>0</v>
      </c>
      <c r="BA88" s="215">
        <f t="shared" si="110"/>
        <v>0</v>
      </c>
      <c r="BB88" s="215">
        <f t="shared" si="146"/>
        <v>0</v>
      </c>
      <c r="BC88" s="61">
        <f t="shared" si="130"/>
        <v>0</v>
      </c>
      <c r="BD88" s="58">
        <v>0</v>
      </c>
      <c r="BE88" s="49">
        <f t="shared" si="131"/>
        <v>0</v>
      </c>
      <c r="BF88" s="61">
        <f t="shared" si="147"/>
        <v>0</v>
      </c>
      <c r="BG88" s="58">
        <f t="shared" si="132"/>
        <v>0</v>
      </c>
      <c r="BH88" s="49">
        <f t="shared" si="133"/>
        <v>0</v>
      </c>
      <c r="BI88" s="61">
        <f t="shared" si="134"/>
        <v>0</v>
      </c>
      <c r="BK88" s="219">
        <f t="shared" si="111"/>
        <v>0</v>
      </c>
      <c r="BL88" s="215">
        <f t="shared" si="112"/>
        <v>0</v>
      </c>
      <c r="BM88" s="215">
        <f t="shared" si="113"/>
        <v>0</v>
      </c>
      <c r="BN88" s="61">
        <f t="shared" si="150"/>
        <v>0</v>
      </c>
      <c r="BO88" s="58">
        <v>0</v>
      </c>
      <c r="BP88" s="49">
        <f t="shared" si="136"/>
        <v>0</v>
      </c>
      <c r="BQ88" s="61">
        <f t="shared" si="148"/>
        <v>0</v>
      </c>
      <c r="BR88" s="58">
        <f t="shared" si="137"/>
        <v>0</v>
      </c>
      <c r="BS88" s="49">
        <f t="shared" si="138"/>
        <v>0</v>
      </c>
      <c r="BT88" s="61">
        <f t="shared" si="149"/>
        <v>0</v>
      </c>
      <c r="BU88" s="58">
        <f t="shared" si="114"/>
        <v>1.8396246853710359E-4</v>
      </c>
      <c r="BV88" s="49">
        <f t="shared" si="115"/>
        <v>5.9629500000000002E-2</v>
      </c>
      <c r="BW88" s="61">
        <f t="shared" si="116"/>
        <v>5.4000000000000003E-3</v>
      </c>
      <c r="BX88" s="49">
        <f t="shared" si="139"/>
        <v>0.15711525089942133</v>
      </c>
      <c r="BY88" s="49">
        <f t="shared" si="140"/>
        <v>0.37626370202936787</v>
      </c>
      <c r="BZ88" s="49">
        <f t="shared" si="141"/>
        <v>68.281613827879497</v>
      </c>
    </row>
    <row r="89" spans="17:78" x14ac:dyDescent="0.25">
      <c r="Q89" s="49">
        <v>82</v>
      </c>
      <c r="R89" s="219">
        <f t="shared" si="94"/>
        <v>0.82000000000000006</v>
      </c>
      <c r="S89" s="215">
        <f t="shared" si="95"/>
        <v>12</v>
      </c>
      <c r="T89" s="220">
        <f t="shared" si="96"/>
        <v>6.8333333333333343E-2</v>
      </c>
      <c r="U89" s="219">
        <f t="shared" si="97"/>
        <v>2</v>
      </c>
      <c r="V89" s="215">
        <f t="shared" si="98"/>
        <v>0.55555555555555558</v>
      </c>
      <c r="W89" s="215">
        <f t="shared" si="99"/>
        <v>0.44444444444444442</v>
      </c>
      <c r="X89" s="215">
        <f t="shared" si="117"/>
        <v>0</v>
      </c>
      <c r="Y89" s="219">
        <f t="shared" si="118"/>
        <v>0.123</v>
      </c>
      <c r="Z89" s="215">
        <f t="shared" si="100"/>
        <v>0.14673944943358574</v>
      </c>
      <c r="AA89" s="215">
        <f t="shared" si="119"/>
        <v>0.19636972471679287</v>
      </c>
      <c r="AB89" s="220">
        <f t="shared" si="101"/>
        <v>9.6963258128299187E-2</v>
      </c>
      <c r="AC89" s="219">
        <v>0</v>
      </c>
      <c r="AD89" s="215">
        <f t="shared" si="102"/>
        <v>0.14403670089942133</v>
      </c>
      <c r="AE89" s="220">
        <f t="shared" si="120"/>
        <v>0.14403670089942133</v>
      </c>
      <c r="AF89" s="58">
        <f t="shared" si="103"/>
        <v>1.6400000000000001E-2</v>
      </c>
      <c r="AG89" s="61">
        <f t="shared" si="104"/>
        <v>1.6400000000000001E-2</v>
      </c>
      <c r="AH89" s="58">
        <f t="shared" si="105"/>
        <v>8.1796298813640038E-5</v>
      </c>
      <c r="AI89" s="49">
        <f t="shared" si="106"/>
        <v>8.7404356664550209E-3</v>
      </c>
      <c r="AJ89" s="61">
        <f t="shared" si="121"/>
        <v>8.8222319652686617E-3</v>
      </c>
      <c r="AK89" s="219">
        <f t="shared" si="107"/>
        <v>0.82000000000000006</v>
      </c>
      <c r="AL89" s="215">
        <f t="shared" si="108"/>
        <v>15</v>
      </c>
      <c r="AM89" s="220">
        <f t="shared" si="122"/>
        <v>5.4666666666666669E-2</v>
      </c>
      <c r="AN89" s="219">
        <f t="shared" si="123"/>
        <v>2</v>
      </c>
      <c r="AO89" s="215">
        <f t="shared" si="124"/>
        <v>0.44444444444444448</v>
      </c>
      <c r="AP89" s="215">
        <f t="shared" si="125"/>
        <v>0.123</v>
      </c>
      <c r="AQ89" s="215">
        <f t="shared" si="126"/>
        <v>0.14673944943358574</v>
      </c>
      <c r="AR89" s="215">
        <f t="shared" si="142"/>
        <v>0.19636972471679287</v>
      </c>
      <c r="AS89" s="220">
        <f t="shared" si="143"/>
        <v>8.6726574597894401E-2</v>
      </c>
      <c r="AT89" s="219"/>
      <c r="AU89" s="215">
        <f t="shared" si="127"/>
        <v>4.5782968888888893E-2</v>
      </c>
      <c r="AV89" s="220">
        <f t="shared" si="144"/>
        <v>4.5782968888888893E-2</v>
      </c>
      <c r="AW89" s="219">
        <f t="shared" si="128"/>
        <v>6.8148E-2</v>
      </c>
      <c r="AX89" s="215">
        <f t="shared" si="129"/>
        <v>1.6400000000000001E-2</v>
      </c>
      <c r="AY89" s="220">
        <f t="shared" si="145"/>
        <v>8.4547999999999998E-2</v>
      </c>
      <c r="AZ89" s="219">
        <f t="shared" si="109"/>
        <v>0</v>
      </c>
      <c r="BA89" s="215">
        <f t="shared" si="110"/>
        <v>0</v>
      </c>
      <c r="BB89" s="215">
        <f t="shared" si="146"/>
        <v>0</v>
      </c>
      <c r="BC89" s="61">
        <f t="shared" si="130"/>
        <v>0</v>
      </c>
      <c r="BD89" s="58">
        <v>0</v>
      </c>
      <c r="BE89" s="49">
        <f t="shared" si="131"/>
        <v>0</v>
      </c>
      <c r="BF89" s="61">
        <f t="shared" si="147"/>
        <v>0</v>
      </c>
      <c r="BG89" s="58">
        <f t="shared" si="132"/>
        <v>0</v>
      </c>
      <c r="BH89" s="49">
        <f t="shared" si="133"/>
        <v>0</v>
      </c>
      <c r="BI89" s="61">
        <f t="shared" si="134"/>
        <v>0</v>
      </c>
      <c r="BK89" s="219">
        <f t="shared" si="111"/>
        <v>0</v>
      </c>
      <c r="BL89" s="215">
        <f t="shared" si="112"/>
        <v>0</v>
      </c>
      <c r="BM89" s="215">
        <f t="shared" si="113"/>
        <v>0</v>
      </c>
      <c r="BN89" s="61">
        <f t="shared" si="150"/>
        <v>0</v>
      </c>
      <c r="BO89" s="58">
        <v>0</v>
      </c>
      <c r="BP89" s="49">
        <f t="shared" si="136"/>
        <v>0</v>
      </c>
      <c r="BQ89" s="61">
        <f t="shared" si="148"/>
        <v>0</v>
      </c>
      <c r="BR89" s="58">
        <f t="shared" si="137"/>
        <v>0</v>
      </c>
      <c r="BS89" s="49">
        <f t="shared" si="138"/>
        <v>0</v>
      </c>
      <c r="BT89" s="61">
        <f t="shared" si="149"/>
        <v>0</v>
      </c>
      <c r="BU89" s="58">
        <f t="shared" si="114"/>
        <v>1.8803746853710357E-4</v>
      </c>
      <c r="BV89" s="49">
        <f t="shared" si="115"/>
        <v>5.9629500000000002E-2</v>
      </c>
      <c r="BW89" s="61">
        <f t="shared" si="116"/>
        <v>5.4000000000000003E-3</v>
      </c>
      <c r="BX89" s="49">
        <f t="shared" si="139"/>
        <v>0.16043670089942133</v>
      </c>
      <c r="BY89" s="49">
        <f t="shared" si="140"/>
        <v>0.38120743922211603</v>
      </c>
      <c r="BZ89" s="49">
        <f t="shared" si="141"/>
        <v>68.264645491291645</v>
      </c>
    </row>
    <row r="90" spans="17:78" x14ac:dyDescent="0.25">
      <c r="Q90" s="49">
        <v>83</v>
      </c>
      <c r="R90" s="219">
        <f t="shared" si="94"/>
        <v>0.83000000000000007</v>
      </c>
      <c r="S90" s="215">
        <f t="shared" si="95"/>
        <v>12</v>
      </c>
      <c r="T90" s="220">
        <f t="shared" si="96"/>
        <v>6.9166666666666668E-2</v>
      </c>
      <c r="U90" s="219">
        <f t="shared" si="97"/>
        <v>2</v>
      </c>
      <c r="V90" s="215">
        <f t="shared" si="98"/>
        <v>0.55555555555555558</v>
      </c>
      <c r="W90" s="215">
        <f t="shared" si="99"/>
        <v>0.44444444444444442</v>
      </c>
      <c r="X90" s="215">
        <f t="shared" si="117"/>
        <v>0</v>
      </c>
      <c r="Y90" s="219">
        <f t="shared" si="118"/>
        <v>0.1245</v>
      </c>
      <c r="Z90" s="215">
        <f t="shared" si="100"/>
        <v>0.14673944943358574</v>
      </c>
      <c r="AA90" s="215">
        <f t="shared" si="119"/>
        <v>0.19786972471679287</v>
      </c>
      <c r="AB90" s="220">
        <f t="shared" si="101"/>
        <v>9.8021035634475839E-2</v>
      </c>
      <c r="AC90" s="219">
        <v>0</v>
      </c>
      <c r="AD90" s="215">
        <f t="shared" si="102"/>
        <v>0.1471964508994214</v>
      </c>
      <c r="AE90" s="220">
        <f t="shared" si="120"/>
        <v>0.1471964508994214</v>
      </c>
      <c r="AF90" s="58">
        <f t="shared" si="103"/>
        <v>1.66E-2</v>
      </c>
      <c r="AG90" s="61">
        <f t="shared" si="104"/>
        <v>1.66E-2</v>
      </c>
      <c r="AH90" s="58">
        <f t="shared" si="105"/>
        <v>8.3590673813640088E-5</v>
      </c>
      <c r="AI90" s="49">
        <f t="shared" si="106"/>
        <v>8.8470263453142295E-3</v>
      </c>
      <c r="AJ90" s="61">
        <f t="shared" si="121"/>
        <v>8.9306170191278695E-3</v>
      </c>
      <c r="AK90" s="219">
        <f t="shared" si="107"/>
        <v>0.83000000000000007</v>
      </c>
      <c r="AL90" s="215">
        <f t="shared" si="108"/>
        <v>15</v>
      </c>
      <c r="AM90" s="220">
        <f t="shared" si="122"/>
        <v>5.5333333333333339E-2</v>
      </c>
      <c r="AN90" s="219">
        <f t="shared" si="123"/>
        <v>2</v>
      </c>
      <c r="AO90" s="215">
        <f t="shared" si="124"/>
        <v>0.44444444444444448</v>
      </c>
      <c r="AP90" s="215">
        <f t="shared" si="125"/>
        <v>0.1245</v>
      </c>
      <c r="AQ90" s="215">
        <f t="shared" si="126"/>
        <v>0.14673944943358574</v>
      </c>
      <c r="AR90" s="215">
        <f t="shared" si="142"/>
        <v>0.19786972471679287</v>
      </c>
      <c r="AS90" s="220">
        <f t="shared" si="143"/>
        <v>8.7672679561446878E-2</v>
      </c>
      <c r="AT90" s="219"/>
      <c r="AU90" s="215">
        <f t="shared" si="127"/>
        <v>4.6906435555555563E-2</v>
      </c>
      <c r="AV90" s="220">
        <f t="shared" si="144"/>
        <v>4.6906435555555563E-2</v>
      </c>
      <c r="AW90" s="219">
        <f t="shared" si="128"/>
        <v>6.8148E-2</v>
      </c>
      <c r="AX90" s="215">
        <f t="shared" si="129"/>
        <v>1.66E-2</v>
      </c>
      <c r="AY90" s="220">
        <f t="shared" si="145"/>
        <v>8.4748000000000004E-2</v>
      </c>
      <c r="AZ90" s="219">
        <f t="shared" si="109"/>
        <v>0</v>
      </c>
      <c r="BA90" s="215">
        <f t="shared" si="110"/>
        <v>0</v>
      </c>
      <c r="BB90" s="215">
        <f t="shared" si="146"/>
        <v>0</v>
      </c>
      <c r="BC90" s="61">
        <f t="shared" si="130"/>
        <v>0</v>
      </c>
      <c r="BD90" s="58">
        <v>0</v>
      </c>
      <c r="BE90" s="49">
        <f t="shared" si="131"/>
        <v>0</v>
      </c>
      <c r="BF90" s="61">
        <f t="shared" si="147"/>
        <v>0</v>
      </c>
      <c r="BG90" s="58">
        <f t="shared" si="132"/>
        <v>0</v>
      </c>
      <c r="BH90" s="49">
        <f t="shared" si="133"/>
        <v>0</v>
      </c>
      <c r="BI90" s="61">
        <f t="shared" si="134"/>
        <v>0</v>
      </c>
      <c r="BK90" s="219">
        <f t="shared" si="111"/>
        <v>0</v>
      </c>
      <c r="BL90" s="215">
        <f t="shared" si="112"/>
        <v>0</v>
      </c>
      <c r="BM90" s="215">
        <f t="shared" si="113"/>
        <v>0</v>
      </c>
      <c r="BN90" s="61">
        <f t="shared" si="150"/>
        <v>0</v>
      </c>
      <c r="BO90" s="58">
        <v>0</v>
      </c>
      <c r="BP90" s="49">
        <f t="shared" si="136"/>
        <v>0</v>
      </c>
      <c r="BQ90" s="61">
        <f t="shared" si="148"/>
        <v>0</v>
      </c>
      <c r="BR90" s="58">
        <f t="shared" si="137"/>
        <v>0</v>
      </c>
      <c r="BS90" s="49">
        <f t="shared" si="138"/>
        <v>0</v>
      </c>
      <c r="BT90" s="61">
        <f t="shared" si="149"/>
        <v>0</v>
      </c>
      <c r="BU90" s="58">
        <f t="shared" si="114"/>
        <v>1.9216246853710365E-4</v>
      </c>
      <c r="BV90" s="49">
        <f t="shared" si="115"/>
        <v>5.9629500000000002E-2</v>
      </c>
      <c r="BW90" s="61">
        <f t="shared" si="116"/>
        <v>5.4000000000000003E-3</v>
      </c>
      <c r="BX90" s="49">
        <f t="shared" si="139"/>
        <v>0.16379645089942141</v>
      </c>
      <c r="BY90" s="49">
        <f t="shared" si="140"/>
        <v>0.38620316594264198</v>
      </c>
      <c r="BZ90" s="49">
        <f t="shared" si="141"/>
        <v>68.245176730541758</v>
      </c>
    </row>
    <row r="91" spans="17:78" x14ac:dyDescent="0.25">
      <c r="Q91" s="49">
        <v>84</v>
      </c>
      <c r="R91" s="219">
        <f t="shared" si="94"/>
        <v>0.84</v>
      </c>
      <c r="S91" s="215">
        <f t="shared" si="95"/>
        <v>12</v>
      </c>
      <c r="T91" s="220">
        <f t="shared" si="96"/>
        <v>6.9999999999999993E-2</v>
      </c>
      <c r="U91" s="219">
        <f t="shared" si="97"/>
        <v>2</v>
      </c>
      <c r="V91" s="215">
        <f t="shared" si="98"/>
        <v>0.55555555555555558</v>
      </c>
      <c r="W91" s="215">
        <f t="shared" si="99"/>
        <v>0.44444444444444442</v>
      </c>
      <c r="X91" s="215">
        <f t="shared" si="117"/>
        <v>0</v>
      </c>
      <c r="Y91" s="219">
        <f t="shared" si="118"/>
        <v>0.126</v>
      </c>
      <c r="Z91" s="215">
        <f t="shared" si="100"/>
        <v>0.14673944943358574</v>
      </c>
      <c r="AA91" s="215">
        <f t="shared" si="119"/>
        <v>0.19936972471679287</v>
      </c>
      <c r="AB91" s="220">
        <f t="shared" si="101"/>
        <v>9.9080136388961335E-2</v>
      </c>
      <c r="AC91" s="219">
        <v>0</v>
      </c>
      <c r="AD91" s="215">
        <f t="shared" si="102"/>
        <v>0.15039450089942136</v>
      </c>
      <c r="AE91" s="220">
        <f t="shared" si="120"/>
        <v>0.15039450089942136</v>
      </c>
      <c r="AF91" s="58">
        <f t="shared" si="103"/>
        <v>1.6799999999999999E-2</v>
      </c>
      <c r="AG91" s="61">
        <f t="shared" si="104"/>
        <v>1.6799999999999999E-2</v>
      </c>
      <c r="AH91" s="58">
        <f t="shared" si="105"/>
        <v>8.5406798813640061E-5</v>
      </c>
      <c r="AI91" s="49">
        <f t="shared" si="106"/>
        <v>8.9536170241734381E-3</v>
      </c>
      <c r="AJ91" s="61">
        <f t="shared" si="121"/>
        <v>9.039023822987078E-3</v>
      </c>
      <c r="AK91" s="219">
        <f t="shared" si="107"/>
        <v>0.84</v>
      </c>
      <c r="AL91" s="215">
        <f t="shared" si="108"/>
        <v>15</v>
      </c>
      <c r="AM91" s="220">
        <f t="shared" si="122"/>
        <v>5.6000000000000001E-2</v>
      </c>
      <c r="AN91" s="219">
        <f t="shared" si="123"/>
        <v>2</v>
      </c>
      <c r="AO91" s="215">
        <f t="shared" si="124"/>
        <v>0.44444444444444448</v>
      </c>
      <c r="AP91" s="215">
        <f t="shared" si="125"/>
        <v>0.126</v>
      </c>
      <c r="AQ91" s="215">
        <f t="shared" si="126"/>
        <v>0.14673944943358574</v>
      </c>
      <c r="AR91" s="215">
        <f t="shared" si="142"/>
        <v>0.19936972471679287</v>
      </c>
      <c r="AS91" s="220">
        <f t="shared" si="143"/>
        <v>8.8619968074267239E-2</v>
      </c>
      <c r="AT91" s="219"/>
      <c r="AU91" s="215">
        <f t="shared" si="127"/>
        <v>4.8043520000000006E-2</v>
      </c>
      <c r="AV91" s="220">
        <f t="shared" si="144"/>
        <v>4.8043520000000006E-2</v>
      </c>
      <c r="AW91" s="219">
        <f t="shared" si="128"/>
        <v>6.8148E-2</v>
      </c>
      <c r="AX91" s="215">
        <f t="shared" si="129"/>
        <v>1.6799999999999999E-2</v>
      </c>
      <c r="AY91" s="220">
        <f t="shared" si="145"/>
        <v>8.4947999999999996E-2</v>
      </c>
      <c r="AZ91" s="219">
        <f t="shared" si="109"/>
        <v>0</v>
      </c>
      <c r="BA91" s="215">
        <f t="shared" si="110"/>
        <v>0</v>
      </c>
      <c r="BB91" s="215">
        <f t="shared" si="146"/>
        <v>0</v>
      </c>
      <c r="BC91" s="61">
        <f t="shared" si="130"/>
        <v>0</v>
      </c>
      <c r="BD91" s="58">
        <v>0</v>
      </c>
      <c r="BE91" s="49">
        <f t="shared" si="131"/>
        <v>0</v>
      </c>
      <c r="BF91" s="61">
        <f t="shared" si="147"/>
        <v>0</v>
      </c>
      <c r="BG91" s="58">
        <f t="shared" si="132"/>
        <v>0</v>
      </c>
      <c r="BH91" s="49">
        <f t="shared" si="133"/>
        <v>0</v>
      </c>
      <c r="BI91" s="61">
        <f t="shared" si="134"/>
        <v>0</v>
      </c>
      <c r="BK91" s="219">
        <f t="shared" si="111"/>
        <v>0</v>
      </c>
      <c r="BL91" s="215">
        <f t="shared" si="112"/>
        <v>0</v>
      </c>
      <c r="BM91" s="215">
        <f t="shared" si="113"/>
        <v>0</v>
      </c>
      <c r="BN91" s="61">
        <f t="shared" si="150"/>
        <v>0</v>
      </c>
      <c r="BO91" s="58">
        <v>0</v>
      </c>
      <c r="BP91" s="49">
        <f t="shared" si="136"/>
        <v>0</v>
      </c>
      <c r="BQ91" s="61">
        <f t="shared" si="148"/>
        <v>0</v>
      </c>
      <c r="BR91" s="58">
        <f t="shared" si="137"/>
        <v>0</v>
      </c>
      <c r="BS91" s="49">
        <f t="shared" si="138"/>
        <v>0</v>
      </c>
      <c r="BT91" s="61">
        <f t="shared" si="149"/>
        <v>0</v>
      </c>
      <c r="BU91" s="58">
        <f t="shared" si="114"/>
        <v>1.9633746853710361E-4</v>
      </c>
      <c r="BV91" s="49">
        <f t="shared" si="115"/>
        <v>5.9629500000000002E-2</v>
      </c>
      <c r="BW91" s="61">
        <f t="shared" si="116"/>
        <v>5.4000000000000003E-3</v>
      </c>
      <c r="BX91" s="49">
        <f t="shared" si="139"/>
        <v>0.16719450089942137</v>
      </c>
      <c r="BY91" s="49">
        <f t="shared" si="140"/>
        <v>0.39125088219094556</v>
      </c>
      <c r="BZ91" s="49">
        <f t="shared" si="141"/>
        <v>68.223301371793909</v>
      </c>
    </row>
    <row r="92" spans="17:78" x14ac:dyDescent="0.25">
      <c r="Q92" s="49">
        <v>85</v>
      </c>
      <c r="R92" s="219">
        <f t="shared" si="94"/>
        <v>0.85</v>
      </c>
      <c r="S92" s="215">
        <f t="shared" si="95"/>
        <v>12</v>
      </c>
      <c r="T92" s="220">
        <f t="shared" si="96"/>
        <v>7.0833333333333331E-2</v>
      </c>
      <c r="U92" s="219">
        <f t="shared" si="97"/>
        <v>2</v>
      </c>
      <c r="V92" s="215">
        <f t="shared" si="98"/>
        <v>0.55555555555555558</v>
      </c>
      <c r="W92" s="215">
        <f t="shared" si="99"/>
        <v>0.44444444444444442</v>
      </c>
      <c r="X92" s="215">
        <f t="shared" si="117"/>
        <v>0</v>
      </c>
      <c r="Y92" s="219">
        <f t="shared" si="118"/>
        <v>0.1275</v>
      </c>
      <c r="Z92" s="215">
        <f t="shared" si="100"/>
        <v>0.14673944943358574</v>
      </c>
      <c r="AA92" s="215">
        <f t="shared" si="119"/>
        <v>0.20086972471679287</v>
      </c>
      <c r="AB92" s="220">
        <f t="shared" si="101"/>
        <v>0.10014051840716214</v>
      </c>
      <c r="AC92" s="219">
        <v>0</v>
      </c>
      <c r="AD92" s="215">
        <f t="shared" si="102"/>
        <v>0.15363085089942133</v>
      </c>
      <c r="AE92" s="220">
        <f t="shared" si="120"/>
        <v>0.15363085089942133</v>
      </c>
      <c r="AF92" s="58">
        <f t="shared" si="103"/>
        <v>1.7000000000000001E-2</v>
      </c>
      <c r="AG92" s="61">
        <f t="shared" si="104"/>
        <v>1.7000000000000001E-2</v>
      </c>
      <c r="AH92" s="58">
        <f t="shared" si="105"/>
        <v>8.7244673813640037E-5</v>
      </c>
      <c r="AI92" s="49">
        <f t="shared" si="106"/>
        <v>9.0602077030326449E-3</v>
      </c>
      <c r="AJ92" s="61">
        <f t="shared" si="121"/>
        <v>9.1474523768462854E-3</v>
      </c>
      <c r="AK92" s="219">
        <f t="shared" si="107"/>
        <v>0.85</v>
      </c>
      <c r="AL92" s="215">
        <f t="shared" si="108"/>
        <v>15</v>
      </c>
      <c r="AM92" s="220">
        <f t="shared" si="122"/>
        <v>5.6666666666666664E-2</v>
      </c>
      <c r="AN92" s="219">
        <f t="shared" si="123"/>
        <v>2</v>
      </c>
      <c r="AO92" s="215">
        <f t="shared" si="124"/>
        <v>0.44444444444444442</v>
      </c>
      <c r="AP92" s="215">
        <f t="shared" si="125"/>
        <v>0.1275</v>
      </c>
      <c r="AQ92" s="215">
        <f t="shared" si="126"/>
        <v>0.14673944943358572</v>
      </c>
      <c r="AR92" s="215">
        <f t="shared" si="142"/>
        <v>0.20086972471679287</v>
      </c>
      <c r="AS92" s="220">
        <f t="shared" si="143"/>
        <v>8.9568402584193407E-2</v>
      </c>
      <c r="AT92" s="219"/>
      <c r="AU92" s="215">
        <f t="shared" si="127"/>
        <v>4.9194222222222216E-2</v>
      </c>
      <c r="AV92" s="220">
        <f t="shared" si="144"/>
        <v>4.9194222222222216E-2</v>
      </c>
      <c r="AW92" s="219">
        <f t="shared" si="128"/>
        <v>6.8148E-2</v>
      </c>
      <c r="AX92" s="215">
        <f t="shared" si="129"/>
        <v>1.6999999999999998E-2</v>
      </c>
      <c r="AY92" s="220">
        <f t="shared" si="145"/>
        <v>8.5148000000000001E-2</v>
      </c>
      <c r="AZ92" s="219">
        <f t="shared" si="109"/>
        <v>0</v>
      </c>
      <c r="BA92" s="215">
        <f t="shared" si="110"/>
        <v>0</v>
      </c>
      <c r="BB92" s="215">
        <f t="shared" si="146"/>
        <v>0</v>
      </c>
      <c r="BC92" s="61">
        <f t="shared" si="130"/>
        <v>0</v>
      </c>
      <c r="BD92" s="58">
        <v>0</v>
      </c>
      <c r="BE92" s="49">
        <f t="shared" si="131"/>
        <v>0</v>
      </c>
      <c r="BF92" s="61">
        <f t="shared" si="147"/>
        <v>0</v>
      </c>
      <c r="BG92" s="58">
        <f t="shared" si="132"/>
        <v>0</v>
      </c>
      <c r="BH92" s="49">
        <f t="shared" si="133"/>
        <v>0</v>
      </c>
      <c r="BI92" s="61">
        <f t="shared" si="134"/>
        <v>0</v>
      </c>
      <c r="BK92" s="219">
        <f t="shared" si="111"/>
        <v>0</v>
      </c>
      <c r="BL92" s="215">
        <f t="shared" si="112"/>
        <v>0</v>
      </c>
      <c r="BM92" s="215">
        <f t="shared" si="113"/>
        <v>0</v>
      </c>
      <c r="BN92" s="61">
        <f t="shared" si="150"/>
        <v>0</v>
      </c>
      <c r="BO92" s="58">
        <v>0</v>
      </c>
      <c r="BP92" s="49">
        <f t="shared" si="136"/>
        <v>0</v>
      </c>
      <c r="BQ92" s="61">
        <f t="shared" si="148"/>
        <v>0</v>
      </c>
      <c r="BR92" s="58">
        <f t="shared" si="137"/>
        <v>0</v>
      </c>
      <c r="BS92" s="49">
        <f t="shared" si="138"/>
        <v>0</v>
      </c>
      <c r="BT92" s="61">
        <f t="shared" si="149"/>
        <v>0</v>
      </c>
      <c r="BU92" s="58">
        <f t="shared" si="114"/>
        <v>2.0056246853710356E-4</v>
      </c>
      <c r="BV92" s="49">
        <f t="shared" si="115"/>
        <v>5.9629500000000002E-2</v>
      </c>
      <c r="BW92" s="61">
        <f t="shared" si="116"/>
        <v>5.4000000000000003E-3</v>
      </c>
      <c r="BX92" s="49">
        <f t="shared" si="139"/>
        <v>0.17063085089942132</v>
      </c>
      <c r="BY92" s="49">
        <f t="shared" si="140"/>
        <v>0.39635058796702693</v>
      </c>
      <c r="BZ92" s="49">
        <f t="shared" si="141"/>
        <v>68.1991093201528</v>
      </c>
    </row>
    <row r="93" spans="17:78" x14ac:dyDescent="0.25">
      <c r="Q93" s="49">
        <v>86</v>
      </c>
      <c r="R93" s="219">
        <f t="shared" si="94"/>
        <v>0.86</v>
      </c>
      <c r="S93" s="215">
        <f t="shared" si="95"/>
        <v>12</v>
      </c>
      <c r="T93" s="220">
        <f t="shared" si="96"/>
        <v>7.166666666666667E-2</v>
      </c>
      <c r="U93" s="219">
        <f t="shared" si="97"/>
        <v>2</v>
      </c>
      <c r="V93" s="215">
        <f t="shared" si="98"/>
        <v>0.55555555555555558</v>
      </c>
      <c r="W93" s="215">
        <f t="shared" si="99"/>
        <v>0.44444444444444442</v>
      </c>
      <c r="X93" s="215">
        <f t="shared" si="117"/>
        <v>0</v>
      </c>
      <c r="Y93" s="219">
        <f t="shared" si="118"/>
        <v>0.129</v>
      </c>
      <c r="Z93" s="215">
        <f t="shared" si="100"/>
        <v>0.14673944943358574</v>
      </c>
      <c r="AA93" s="215">
        <f t="shared" si="119"/>
        <v>0.20236972471679288</v>
      </c>
      <c r="AB93" s="220">
        <f t="shared" si="101"/>
        <v>0.10120214141437513</v>
      </c>
      <c r="AC93" s="219">
        <v>0</v>
      </c>
      <c r="AD93" s="215">
        <f t="shared" si="102"/>
        <v>0.15690550089942137</v>
      </c>
      <c r="AE93" s="220">
        <f t="shared" si="120"/>
        <v>0.15690550089942137</v>
      </c>
      <c r="AF93" s="58">
        <f t="shared" si="103"/>
        <v>1.72E-2</v>
      </c>
      <c r="AG93" s="61">
        <f t="shared" si="104"/>
        <v>1.72E-2</v>
      </c>
      <c r="AH93" s="58">
        <f t="shared" si="105"/>
        <v>8.910429881364007E-5</v>
      </c>
      <c r="AI93" s="49">
        <f t="shared" si="106"/>
        <v>9.1667983818918535E-3</v>
      </c>
      <c r="AJ93" s="61">
        <f t="shared" si="121"/>
        <v>9.2559026807054936E-3</v>
      </c>
      <c r="AK93" s="219">
        <f t="shared" si="107"/>
        <v>0.86</v>
      </c>
      <c r="AL93" s="215">
        <f t="shared" si="108"/>
        <v>15</v>
      </c>
      <c r="AM93" s="220">
        <f t="shared" si="122"/>
        <v>5.7333333333333333E-2</v>
      </c>
      <c r="AN93" s="219">
        <f t="shared" si="123"/>
        <v>2</v>
      </c>
      <c r="AO93" s="215">
        <f t="shared" si="124"/>
        <v>0.44444444444444442</v>
      </c>
      <c r="AP93" s="215">
        <f t="shared" si="125"/>
        <v>0.129</v>
      </c>
      <c r="AQ93" s="215">
        <f t="shared" si="126"/>
        <v>0.14673944943358572</v>
      </c>
      <c r="AR93" s="215">
        <f t="shared" si="142"/>
        <v>0.20236972471679288</v>
      </c>
      <c r="AS93" s="220">
        <f t="shared" si="143"/>
        <v>9.05179470684358E-2</v>
      </c>
      <c r="AT93" s="219"/>
      <c r="AU93" s="215">
        <f t="shared" si="127"/>
        <v>5.0358542222222226E-2</v>
      </c>
      <c r="AV93" s="220">
        <f t="shared" si="144"/>
        <v>5.0358542222222226E-2</v>
      </c>
      <c r="AW93" s="219">
        <f t="shared" si="128"/>
        <v>6.8148E-2</v>
      </c>
      <c r="AX93" s="215">
        <f t="shared" si="129"/>
        <v>1.72E-2</v>
      </c>
      <c r="AY93" s="220">
        <f t="shared" si="145"/>
        <v>8.5348000000000007E-2</v>
      </c>
      <c r="AZ93" s="219">
        <f t="shared" si="109"/>
        <v>0</v>
      </c>
      <c r="BA93" s="215">
        <f t="shared" si="110"/>
        <v>0</v>
      </c>
      <c r="BB93" s="215">
        <f t="shared" si="146"/>
        <v>0</v>
      </c>
      <c r="BC93" s="61">
        <f t="shared" si="130"/>
        <v>0</v>
      </c>
      <c r="BD93" s="58">
        <v>0</v>
      </c>
      <c r="BE93" s="49">
        <f t="shared" si="131"/>
        <v>0</v>
      </c>
      <c r="BF93" s="61">
        <f t="shared" si="147"/>
        <v>0</v>
      </c>
      <c r="BG93" s="58">
        <f t="shared" si="132"/>
        <v>0</v>
      </c>
      <c r="BH93" s="49">
        <f t="shared" si="133"/>
        <v>0</v>
      </c>
      <c r="BI93" s="61">
        <f t="shared" si="134"/>
        <v>0</v>
      </c>
      <c r="BK93" s="219">
        <f t="shared" si="111"/>
        <v>0</v>
      </c>
      <c r="BL93" s="215">
        <f t="shared" si="112"/>
        <v>0</v>
      </c>
      <c r="BM93" s="215">
        <f t="shared" si="113"/>
        <v>0</v>
      </c>
      <c r="BN93" s="61">
        <f t="shared" si="150"/>
        <v>0</v>
      </c>
      <c r="BO93" s="58">
        <v>0</v>
      </c>
      <c r="BP93" s="49">
        <f t="shared" si="136"/>
        <v>0</v>
      </c>
      <c r="BQ93" s="61">
        <f t="shared" si="148"/>
        <v>0</v>
      </c>
      <c r="BR93" s="58">
        <f t="shared" si="137"/>
        <v>0</v>
      </c>
      <c r="BS93" s="49">
        <f t="shared" si="138"/>
        <v>0</v>
      </c>
      <c r="BT93" s="61">
        <f t="shared" si="149"/>
        <v>0</v>
      </c>
      <c r="BU93" s="58">
        <f t="shared" si="114"/>
        <v>2.0483746853710365E-4</v>
      </c>
      <c r="BV93" s="49">
        <f t="shared" si="115"/>
        <v>5.9629500000000002E-2</v>
      </c>
      <c r="BW93" s="61">
        <f t="shared" si="116"/>
        <v>5.4000000000000003E-3</v>
      </c>
      <c r="BX93" s="49">
        <f t="shared" si="139"/>
        <v>0.17410550089942137</v>
      </c>
      <c r="BY93" s="49">
        <f t="shared" si="140"/>
        <v>0.40150228327088622</v>
      </c>
      <c r="BZ93" s="49">
        <f t="shared" si="141"/>
        <v>68.172686756471734</v>
      </c>
    </row>
    <row r="94" spans="17:78" x14ac:dyDescent="0.25">
      <c r="Q94" s="49">
        <v>87</v>
      </c>
      <c r="R94" s="219">
        <f t="shared" si="94"/>
        <v>0.87</v>
      </c>
      <c r="S94" s="215">
        <f t="shared" si="95"/>
        <v>12</v>
      </c>
      <c r="T94" s="220">
        <f t="shared" si="96"/>
        <v>7.2499999999999995E-2</v>
      </c>
      <c r="U94" s="219">
        <f t="shared" si="97"/>
        <v>2</v>
      </c>
      <c r="V94" s="215">
        <f t="shared" si="98"/>
        <v>0.55555555555555558</v>
      </c>
      <c r="W94" s="215">
        <f t="shared" si="99"/>
        <v>0.44444444444444442</v>
      </c>
      <c r="X94" s="215">
        <f t="shared" si="117"/>
        <v>0</v>
      </c>
      <c r="Y94" s="219">
        <f t="shared" si="118"/>
        <v>0.1305</v>
      </c>
      <c r="Z94" s="215">
        <f t="shared" si="100"/>
        <v>0.14673944943358574</v>
      </c>
      <c r="AA94" s="215">
        <f t="shared" si="119"/>
        <v>0.20386972471679288</v>
      </c>
      <c r="AB94" s="220">
        <f t="shared" si="101"/>
        <v>0.10226496676210863</v>
      </c>
      <c r="AC94" s="219">
        <v>0</v>
      </c>
      <c r="AD94" s="215">
        <f t="shared" si="102"/>
        <v>0.16021845089942138</v>
      </c>
      <c r="AE94" s="220">
        <f t="shared" si="120"/>
        <v>0.16021845089942138</v>
      </c>
      <c r="AF94" s="58">
        <f t="shared" si="103"/>
        <v>1.7399999999999999E-2</v>
      </c>
      <c r="AG94" s="61">
        <f t="shared" si="104"/>
        <v>1.7399999999999999E-2</v>
      </c>
      <c r="AH94" s="58">
        <f t="shared" si="105"/>
        <v>9.0985673813640067E-5</v>
      </c>
      <c r="AI94" s="49">
        <f t="shared" si="106"/>
        <v>9.2733890607510604E-3</v>
      </c>
      <c r="AJ94" s="61">
        <f t="shared" si="121"/>
        <v>9.3643747345647007E-3</v>
      </c>
      <c r="AK94" s="219">
        <f t="shared" si="107"/>
        <v>0.87</v>
      </c>
      <c r="AL94" s="215">
        <f t="shared" si="108"/>
        <v>15</v>
      </c>
      <c r="AM94" s="220">
        <f t="shared" si="122"/>
        <v>5.8000000000000003E-2</v>
      </c>
      <c r="AN94" s="219">
        <f t="shared" si="123"/>
        <v>2</v>
      </c>
      <c r="AO94" s="215">
        <f t="shared" si="124"/>
        <v>0.44444444444444448</v>
      </c>
      <c r="AP94" s="215">
        <f t="shared" si="125"/>
        <v>0.1305</v>
      </c>
      <c r="AQ94" s="215">
        <f t="shared" si="126"/>
        <v>0.14673944943358574</v>
      </c>
      <c r="AR94" s="215">
        <f t="shared" si="142"/>
        <v>0.20386972471679288</v>
      </c>
      <c r="AS94" s="220">
        <f t="shared" si="143"/>
        <v>9.1468566958732581E-2</v>
      </c>
      <c r="AT94" s="219"/>
      <c r="AU94" s="215">
        <f t="shared" si="127"/>
        <v>5.1536480000000003E-2</v>
      </c>
      <c r="AV94" s="220">
        <f t="shared" si="144"/>
        <v>5.1536480000000003E-2</v>
      </c>
      <c r="AW94" s="219">
        <f t="shared" si="128"/>
        <v>6.8148E-2</v>
      </c>
      <c r="AX94" s="215">
        <f t="shared" si="129"/>
        <v>1.7399999999999999E-2</v>
      </c>
      <c r="AY94" s="220">
        <f t="shared" si="145"/>
        <v>8.5547999999999999E-2</v>
      </c>
      <c r="AZ94" s="219">
        <f t="shared" si="109"/>
        <v>0</v>
      </c>
      <c r="BA94" s="215">
        <f t="shared" si="110"/>
        <v>0</v>
      </c>
      <c r="BB94" s="215">
        <f t="shared" si="146"/>
        <v>0</v>
      </c>
      <c r="BC94" s="61">
        <f t="shared" si="130"/>
        <v>0</v>
      </c>
      <c r="BD94" s="58">
        <v>0</v>
      </c>
      <c r="BE94" s="49">
        <f t="shared" si="131"/>
        <v>0</v>
      </c>
      <c r="BF94" s="61">
        <f t="shared" si="147"/>
        <v>0</v>
      </c>
      <c r="BG94" s="58">
        <f t="shared" si="132"/>
        <v>0</v>
      </c>
      <c r="BH94" s="49">
        <f t="shared" si="133"/>
        <v>0</v>
      </c>
      <c r="BI94" s="61">
        <f t="shared" si="134"/>
        <v>0</v>
      </c>
      <c r="BK94" s="219">
        <f t="shared" si="111"/>
        <v>0</v>
      </c>
      <c r="BL94" s="215">
        <f t="shared" si="112"/>
        <v>0</v>
      </c>
      <c r="BM94" s="215">
        <f t="shared" si="113"/>
        <v>0</v>
      </c>
      <c r="BN94" s="61">
        <f t="shared" si="150"/>
        <v>0</v>
      </c>
      <c r="BO94" s="58">
        <v>0</v>
      </c>
      <c r="BP94" s="49">
        <f t="shared" si="136"/>
        <v>0</v>
      </c>
      <c r="BQ94" s="61">
        <f t="shared" si="148"/>
        <v>0</v>
      </c>
      <c r="BR94" s="58">
        <f t="shared" si="137"/>
        <v>0</v>
      </c>
      <c r="BS94" s="49">
        <f t="shared" si="138"/>
        <v>0</v>
      </c>
      <c r="BT94" s="61">
        <f t="shared" si="149"/>
        <v>0</v>
      </c>
      <c r="BU94" s="58">
        <f t="shared" si="114"/>
        <v>2.0916246853710363E-4</v>
      </c>
      <c r="BV94" s="49">
        <f t="shared" si="115"/>
        <v>5.9629500000000002E-2</v>
      </c>
      <c r="BW94" s="61">
        <f t="shared" si="116"/>
        <v>5.4000000000000003E-3</v>
      </c>
      <c r="BX94" s="49">
        <f t="shared" si="139"/>
        <v>0.17761845089942138</v>
      </c>
      <c r="BY94" s="49">
        <f t="shared" si="140"/>
        <v>0.40670596810252313</v>
      </c>
      <c r="BZ94" s="49">
        <f t="shared" si="141"/>
        <v>68.144116322493488</v>
      </c>
    </row>
    <row r="95" spans="17:78" x14ac:dyDescent="0.25">
      <c r="Q95" s="49">
        <v>88</v>
      </c>
      <c r="R95" s="219">
        <f t="shared" si="94"/>
        <v>0.88</v>
      </c>
      <c r="S95" s="215">
        <f t="shared" si="95"/>
        <v>12</v>
      </c>
      <c r="T95" s="220">
        <f t="shared" si="96"/>
        <v>7.3333333333333334E-2</v>
      </c>
      <c r="U95" s="219">
        <f t="shared" si="97"/>
        <v>2</v>
      </c>
      <c r="V95" s="215">
        <f t="shared" si="98"/>
        <v>0.55555555555555558</v>
      </c>
      <c r="W95" s="215">
        <f t="shared" si="99"/>
        <v>0.44444444444444442</v>
      </c>
      <c r="X95" s="215">
        <f t="shared" si="117"/>
        <v>0</v>
      </c>
      <c r="Y95" s="219">
        <f t="shared" si="118"/>
        <v>0.13200000000000001</v>
      </c>
      <c r="Z95" s="215">
        <f t="shared" si="100"/>
        <v>0.14673944943358574</v>
      </c>
      <c r="AA95" s="215">
        <f t="shared" si="119"/>
        <v>0.20536972471679288</v>
      </c>
      <c r="AB95" s="220">
        <f t="shared" si="101"/>
        <v>0.10332895734911478</v>
      </c>
      <c r="AC95" s="219">
        <v>0</v>
      </c>
      <c r="AD95" s="215">
        <f t="shared" si="102"/>
        <v>0.16356970089942138</v>
      </c>
      <c r="AE95" s="220">
        <f t="shared" si="120"/>
        <v>0.16356970089942138</v>
      </c>
      <c r="AF95" s="58">
        <f t="shared" si="103"/>
        <v>1.7600000000000001E-2</v>
      </c>
      <c r="AG95" s="61">
        <f t="shared" si="104"/>
        <v>1.7600000000000001E-2</v>
      </c>
      <c r="AH95" s="58">
        <f t="shared" si="105"/>
        <v>9.2888798813640068E-5</v>
      </c>
      <c r="AI95" s="49">
        <f t="shared" si="106"/>
        <v>9.3799797396102672E-3</v>
      </c>
      <c r="AJ95" s="61">
        <f t="shared" si="121"/>
        <v>9.4728685384239068E-3</v>
      </c>
      <c r="AK95" s="219">
        <f t="shared" si="107"/>
        <v>0.88</v>
      </c>
      <c r="AL95" s="215">
        <f t="shared" si="108"/>
        <v>15</v>
      </c>
      <c r="AM95" s="220">
        <f t="shared" si="122"/>
        <v>5.8666666666666666E-2</v>
      </c>
      <c r="AN95" s="219">
        <f t="shared" si="123"/>
        <v>2</v>
      </c>
      <c r="AO95" s="215">
        <f t="shared" si="124"/>
        <v>0.44444444444444442</v>
      </c>
      <c r="AP95" s="215">
        <f t="shared" si="125"/>
        <v>0.13200000000000001</v>
      </c>
      <c r="AQ95" s="215">
        <f t="shared" si="126"/>
        <v>0.14673944943358572</v>
      </c>
      <c r="AR95" s="215">
        <f t="shared" si="142"/>
        <v>0.20536972471679288</v>
      </c>
      <c r="AS95" s="220">
        <f t="shared" si="143"/>
        <v>9.2420229070718868E-2</v>
      </c>
      <c r="AT95" s="219"/>
      <c r="AU95" s="215">
        <f t="shared" si="127"/>
        <v>5.2728035555555552E-2</v>
      </c>
      <c r="AV95" s="220">
        <f t="shared" si="144"/>
        <v>5.2728035555555552E-2</v>
      </c>
      <c r="AW95" s="219">
        <f t="shared" si="128"/>
        <v>6.8148E-2</v>
      </c>
      <c r="AX95" s="215">
        <f t="shared" si="129"/>
        <v>1.7599999999999998E-2</v>
      </c>
      <c r="AY95" s="220">
        <f t="shared" si="145"/>
        <v>8.5747999999999991E-2</v>
      </c>
      <c r="AZ95" s="219">
        <f t="shared" si="109"/>
        <v>0</v>
      </c>
      <c r="BA95" s="215">
        <f t="shared" si="110"/>
        <v>0</v>
      </c>
      <c r="BB95" s="215">
        <f t="shared" si="146"/>
        <v>0</v>
      </c>
      <c r="BC95" s="61">
        <f t="shared" si="130"/>
        <v>0</v>
      </c>
      <c r="BD95" s="58">
        <v>0</v>
      </c>
      <c r="BE95" s="49">
        <f t="shared" si="131"/>
        <v>0</v>
      </c>
      <c r="BF95" s="61">
        <f t="shared" si="147"/>
        <v>0</v>
      </c>
      <c r="BG95" s="58">
        <f t="shared" si="132"/>
        <v>0</v>
      </c>
      <c r="BH95" s="49">
        <f t="shared" si="133"/>
        <v>0</v>
      </c>
      <c r="BI95" s="61">
        <f t="shared" si="134"/>
        <v>0</v>
      </c>
      <c r="BK95" s="219">
        <f t="shared" si="111"/>
        <v>0</v>
      </c>
      <c r="BL95" s="215">
        <f t="shared" si="112"/>
        <v>0</v>
      </c>
      <c r="BM95" s="215">
        <f t="shared" si="113"/>
        <v>0</v>
      </c>
      <c r="BN95" s="61">
        <f t="shared" si="150"/>
        <v>0</v>
      </c>
      <c r="BO95" s="58">
        <v>0</v>
      </c>
      <c r="BP95" s="49">
        <f t="shared" si="136"/>
        <v>0</v>
      </c>
      <c r="BQ95" s="61">
        <f t="shared" si="148"/>
        <v>0</v>
      </c>
      <c r="BR95" s="58">
        <f t="shared" si="137"/>
        <v>0</v>
      </c>
      <c r="BS95" s="49">
        <f t="shared" si="138"/>
        <v>0</v>
      </c>
      <c r="BT95" s="61">
        <f t="shared" si="149"/>
        <v>0</v>
      </c>
      <c r="BU95" s="58">
        <f t="shared" si="114"/>
        <v>2.1353746853710362E-4</v>
      </c>
      <c r="BV95" s="49">
        <f t="shared" si="115"/>
        <v>5.9629500000000002E-2</v>
      </c>
      <c r="BW95" s="61">
        <f t="shared" si="116"/>
        <v>5.4000000000000003E-3</v>
      </c>
      <c r="BX95" s="49">
        <f t="shared" si="139"/>
        <v>0.18116970089942139</v>
      </c>
      <c r="BY95" s="49">
        <f t="shared" si="140"/>
        <v>0.41196164246193795</v>
      </c>
      <c r="BZ95" s="49">
        <f t="shared" si="141"/>
        <v>68.113477295122209</v>
      </c>
    </row>
    <row r="96" spans="17:78" x14ac:dyDescent="0.25">
      <c r="Q96" s="49">
        <v>89</v>
      </c>
      <c r="R96" s="219">
        <f t="shared" si="94"/>
        <v>0.89</v>
      </c>
      <c r="S96" s="215">
        <f t="shared" si="95"/>
        <v>12</v>
      </c>
      <c r="T96" s="220">
        <f t="shared" si="96"/>
        <v>7.4166666666666672E-2</v>
      </c>
      <c r="U96" s="219">
        <f t="shared" si="97"/>
        <v>2</v>
      </c>
      <c r="V96" s="215">
        <f t="shared" si="98"/>
        <v>0.55555555555555558</v>
      </c>
      <c r="W96" s="215">
        <f t="shared" si="99"/>
        <v>0.44444444444444442</v>
      </c>
      <c r="X96" s="215">
        <f t="shared" si="117"/>
        <v>0</v>
      </c>
      <c r="Y96" s="219">
        <f t="shared" si="118"/>
        <v>0.13350000000000001</v>
      </c>
      <c r="Z96" s="215">
        <f t="shared" si="100"/>
        <v>0.14673944943358574</v>
      </c>
      <c r="AA96" s="215">
        <f t="shared" si="119"/>
        <v>0.20686972471679288</v>
      </c>
      <c r="AB96" s="220">
        <f t="shared" si="101"/>
        <v>0.10439407754683777</v>
      </c>
      <c r="AC96" s="219">
        <v>0</v>
      </c>
      <c r="AD96" s="215">
        <f t="shared" si="102"/>
        <v>0.16695925089942135</v>
      </c>
      <c r="AE96" s="220">
        <f t="shared" si="120"/>
        <v>0.16695925089942135</v>
      </c>
      <c r="AF96" s="58">
        <f t="shared" si="103"/>
        <v>1.78E-2</v>
      </c>
      <c r="AG96" s="61">
        <f t="shared" si="104"/>
        <v>1.78E-2</v>
      </c>
      <c r="AH96" s="58">
        <f t="shared" si="105"/>
        <v>9.4813673813640045E-5</v>
      </c>
      <c r="AI96" s="49">
        <f t="shared" si="106"/>
        <v>9.4865704184694758E-3</v>
      </c>
      <c r="AJ96" s="61">
        <f t="shared" si="121"/>
        <v>9.5813840922831153E-3</v>
      </c>
      <c r="AK96" s="219">
        <f t="shared" si="107"/>
        <v>0.89</v>
      </c>
      <c r="AL96" s="215">
        <f t="shared" si="108"/>
        <v>15</v>
      </c>
      <c r="AM96" s="220">
        <f t="shared" si="122"/>
        <v>5.9333333333333335E-2</v>
      </c>
      <c r="AN96" s="219">
        <f t="shared" si="123"/>
        <v>2</v>
      </c>
      <c r="AO96" s="215">
        <f t="shared" si="124"/>
        <v>0.44444444444444442</v>
      </c>
      <c r="AP96" s="215">
        <f t="shared" si="125"/>
        <v>0.13350000000000001</v>
      </c>
      <c r="AQ96" s="215">
        <f t="shared" si="126"/>
        <v>0.14673944943358572</v>
      </c>
      <c r="AR96" s="215">
        <f t="shared" si="142"/>
        <v>0.20686972471679288</v>
      </c>
      <c r="AS96" s="220">
        <f t="shared" si="143"/>
        <v>9.3372901537245506E-2</v>
      </c>
      <c r="AT96" s="219"/>
      <c r="AU96" s="215">
        <f t="shared" si="127"/>
        <v>5.3933208888888889E-2</v>
      </c>
      <c r="AV96" s="220">
        <f t="shared" si="144"/>
        <v>5.3933208888888889E-2</v>
      </c>
      <c r="AW96" s="219">
        <f t="shared" si="128"/>
        <v>6.8148E-2</v>
      </c>
      <c r="AX96" s="215">
        <f t="shared" si="129"/>
        <v>1.78E-2</v>
      </c>
      <c r="AY96" s="220">
        <f t="shared" si="145"/>
        <v>8.5947999999999997E-2</v>
      </c>
      <c r="AZ96" s="219">
        <f t="shared" si="109"/>
        <v>0</v>
      </c>
      <c r="BA96" s="215">
        <f t="shared" si="110"/>
        <v>0</v>
      </c>
      <c r="BB96" s="215">
        <f t="shared" si="146"/>
        <v>0</v>
      </c>
      <c r="BC96" s="61">
        <f t="shared" si="130"/>
        <v>0</v>
      </c>
      <c r="BD96" s="58">
        <v>0</v>
      </c>
      <c r="BE96" s="49">
        <f t="shared" si="131"/>
        <v>0</v>
      </c>
      <c r="BF96" s="61">
        <f t="shared" si="147"/>
        <v>0</v>
      </c>
      <c r="BG96" s="58">
        <f t="shared" si="132"/>
        <v>0</v>
      </c>
      <c r="BH96" s="49">
        <f t="shared" si="133"/>
        <v>0</v>
      </c>
      <c r="BI96" s="61">
        <f t="shared" si="134"/>
        <v>0</v>
      </c>
      <c r="BK96" s="219">
        <f t="shared" si="111"/>
        <v>0</v>
      </c>
      <c r="BL96" s="215">
        <f t="shared" si="112"/>
        <v>0</v>
      </c>
      <c r="BM96" s="215">
        <f t="shared" si="113"/>
        <v>0</v>
      </c>
      <c r="BN96" s="61">
        <f t="shared" si="150"/>
        <v>0</v>
      </c>
      <c r="BO96" s="58">
        <v>0</v>
      </c>
      <c r="BP96" s="49">
        <f t="shared" si="136"/>
        <v>0</v>
      </c>
      <c r="BQ96" s="61">
        <f t="shared" si="148"/>
        <v>0</v>
      </c>
      <c r="BR96" s="58">
        <f t="shared" si="137"/>
        <v>0</v>
      </c>
      <c r="BS96" s="49">
        <f t="shared" si="138"/>
        <v>0</v>
      </c>
      <c r="BT96" s="61">
        <f t="shared" si="149"/>
        <v>0</v>
      </c>
      <c r="BU96" s="58">
        <f t="shared" si="114"/>
        <v>2.1796246853710358E-4</v>
      </c>
      <c r="BV96" s="49">
        <f t="shared" si="115"/>
        <v>5.9629500000000002E-2</v>
      </c>
      <c r="BW96" s="61">
        <f t="shared" si="116"/>
        <v>5.4000000000000003E-3</v>
      </c>
      <c r="BX96" s="49">
        <f t="shared" si="139"/>
        <v>0.18475925089942136</v>
      </c>
      <c r="BY96" s="49">
        <f t="shared" si="140"/>
        <v>0.41726930634913045</v>
      </c>
      <c r="BZ96" s="49">
        <f t="shared" si="141"/>
        <v>68.080845750562517</v>
      </c>
    </row>
    <row r="97" spans="17:78" x14ac:dyDescent="0.25">
      <c r="Q97" s="49">
        <v>90</v>
      </c>
      <c r="R97" s="219">
        <f t="shared" si="94"/>
        <v>0.9</v>
      </c>
      <c r="S97" s="215">
        <f t="shared" si="95"/>
        <v>12</v>
      </c>
      <c r="T97" s="220">
        <f t="shared" si="96"/>
        <v>7.4999999999999997E-2</v>
      </c>
      <c r="U97" s="219">
        <f t="shared" si="97"/>
        <v>2</v>
      </c>
      <c r="V97" s="215">
        <f t="shared" si="98"/>
        <v>0.55555555555555558</v>
      </c>
      <c r="W97" s="215">
        <f t="shared" si="99"/>
        <v>0.44444444444444442</v>
      </c>
      <c r="X97" s="215">
        <f t="shared" si="117"/>
        <v>0</v>
      </c>
      <c r="Y97" s="219">
        <f t="shared" si="118"/>
        <v>0.13500000000000001</v>
      </c>
      <c r="Z97" s="215">
        <f t="shared" si="100"/>
        <v>0.14673944943358574</v>
      </c>
      <c r="AA97" s="215">
        <f t="shared" si="119"/>
        <v>0.20836972471679288</v>
      </c>
      <c r="AB97" s="220">
        <f t="shared" si="101"/>
        <v>0.10546029312900275</v>
      </c>
      <c r="AC97" s="219">
        <v>0</v>
      </c>
      <c r="AD97" s="215">
        <f t="shared" si="102"/>
        <v>0.17038710089942141</v>
      </c>
      <c r="AE97" s="220">
        <f t="shared" si="120"/>
        <v>0.17038710089942141</v>
      </c>
      <c r="AF97" s="58">
        <f t="shared" si="103"/>
        <v>1.8000000000000002E-2</v>
      </c>
      <c r="AG97" s="61">
        <f t="shared" si="104"/>
        <v>1.8000000000000002E-2</v>
      </c>
      <c r="AH97" s="58">
        <f t="shared" si="105"/>
        <v>9.6760298813640093E-5</v>
      </c>
      <c r="AI97" s="49">
        <f t="shared" si="106"/>
        <v>9.5931610973286844E-3</v>
      </c>
      <c r="AJ97" s="61">
        <f t="shared" si="121"/>
        <v>9.6899213961423245E-3</v>
      </c>
      <c r="AK97" s="219">
        <f t="shared" si="107"/>
        <v>0.9</v>
      </c>
      <c r="AL97" s="215">
        <f t="shared" si="108"/>
        <v>15</v>
      </c>
      <c r="AM97" s="220">
        <f t="shared" si="122"/>
        <v>6.0000000000000005E-2</v>
      </c>
      <c r="AN97" s="219">
        <f t="shared" si="123"/>
        <v>2</v>
      </c>
      <c r="AO97" s="215">
        <f t="shared" si="124"/>
        <v>0.44444444444444448</v>
      </c>
      <c r="AP97" s="215">
        <f t="shared" si="125"/>
        <v>0.13500000000000001</v>
      </c>
      <c r="AQ97" s="215">
        <f t="shared" si="126"/>
        <v>0.14673944943358574</v>
      </c>
      <c r="AR97" s="215">
        <f t="shared" si="142"/>
        <v>0.20836972471679288</v>
      </c>
      <c r="AS97" s="220">
        <f t="shared" si="143"/>
        <v>9.4326553745401651E-2</v>
      </c>
      <c r="AT97" s="219"/>
      <c r="AU97" s="215">
        <f t="shared" si="127"/>
        <v>5.5152000000000014E-2</v>
      </c>
      <c r="AV97" s="220">
        <f t="shared" si="144"/>
        <v>5.5152000000000014E-2</v>
      </c>
      <c r="AW97" s="219">
        <f t="shared" si="128"/>
        <v>6.8148E-2</v>
      </c>
      <c r="AX97" s="215">
        <f t="shared" si="129"/>
        <v>1.8000000000000002E-2</v>
      </c>
      <c r="AY97" s="220">
        <f t="shared" si="145"/>
        <v>8.6148000000000002E-2</v>
      </c>
      <c r="AZ97" s="219">
        <f t="shared" si="109"/>
        <v>0</v>
      </c>
      <c r="BA97" s="215">
        <f t="shared" si="110"/>
        <v>0</v>
      </c>
      <c r="BB97" s="215">
        <f t="shared" si="146"/>
        <v>0</v>
      </c>
      <c r="BC97" s="61">
        <f t="shared" si="130"/>
        <v>0</v>
      </c>
      <c r="BD97" s="58">
        <v>0</v>
      </c>
      <c r="BE97" s="49">
        <f t="shared" si="131"/>
        <v>0</v>
      </c>
      <c r="BF97" s="61">
        <f t="shared" si="147"/>
        <v>0</v>
      </c>
      <c r="BG97" s="58">
        <f t="shared" si="132"/>
        <v>0</v>
      </c>
      <c r="BH97" s="49">
        <f t="shared" si="133"/>
        <v>0</v>
      </c>
      <c r="BI97" s="61">
        <f t="shared" si="134"/>
        <v>0</v>
      </c>
      <c r="BK97" s="219">
        <f t="shared" si="111"/>
        <v>0</v>
      </c>
      <c r="BL97" s="215">
        <f t="shared" si="112"/>
        <v>0</v>
      </c>
      <c r="BM97" s="215">
        <f t="shared" si="113"/>
        <v>0</v>
      </c>
      <c r="BN97" s="61">
        <f t="shared" si="150"/>
        <v>0</v>
      </c>
      <c r="BO97" s="58">
        <v>0</v>
      </c>
      <c r="BP97" s="49">
        <f t="shared" si="136"/>
        <v>0</v>
      </c>
      <c r="BQ97" s="61">
        <f t="shared" si="148"/>
        <v>0</v>
      </c>
      <c r="BR97" s="58">
        <f t="shared" si="137"/>
        <v>0</v>
      </c>
      <c r="BS97" s="49">
        <f t="shared" si="138"/>
        <v>0</v>
      </c>
      <c r="BT97" s="61">
        <f t="shared" si="149"/>
        <v>0</v>
      </c>
      <c r="BU97" s="58">
        <f t="shared" si="114"/>
        <v>2.2243746853710367E-4</v>
      </c>
      <c r="BV97" s="49">
        <f t="shared" si="115"/>
        <v>5.9629500000000002E-2</v>
      </c>
      <c r="BW97" s="61">
        <f t="shared" si="116"/>
        <v>5.4000000000000003E-3</v>
      </c>
      <c r="BX97" s="49">
        <f t="shared" si="139"/>
        <v>0.1883871008994214</v>
      </c>
      <c r="BY97" s="49">
        <f t="shared" si="140"/>
        <v>0.42262895976410086</v>
      </c>
      <c r="BZ97" s="49">
        <f t="shared" si="141"/>
        <v>68.046294719005743</v>
      </c>
    </row>
    <row r="98" spans="17:78" x14ac:dyDescent="0.25">
      <c r="Q98" s="49">
        <v>91</v>
      </c>
      <c r="R98" s="219">
        <f t="shared" si="94"/>
        <v>0.91</v>
      </c>
      <c r="S98" s="215">
        <f t="shared" si="95"/>
        <v>12</v>
      </c>
      <c r="T98" s="220">
        <f t="shared" si="96"/>
        <v>7.5833333333333336E-2</v>
      </c>
      <c r="U98" s="219">
        <f t="shared" si="97"/>
        <v>2</v>
      </c>
      <c r="V98" s="215">
        <f t="shared" si="98"/>
        <v>0.55555555555555558</v>
      </c>
      <c r="W98" s="215">
        <f t="shared" si="99"/>
        <v>0.44444444444444442</v>
      </c>
      <c r="X98" s="215">
        <f t="shared" si="117"/>
        <v>0</v>
      </c>
      <c r="Y98" s="219">
        <f t="shared" si="118"/>
        <v>0.13650000000000001</v>
      </c>
      <c r="Z98" s="215">
        <f t="shared" si="100"/>
        <v>0.14673944943358574</v>
      </c>
      <c r="AA98" s="215">
        <f t="shared" si="119"/>
        <v>0.20986972471679288</v>
      </c>
      <c r="AB98" s="220">
        <f t="shared" si="101"/>
        <v>0.10652757120508841</v>
      </c>
      <c r="AC98" s="219">
        <v>0</v>
      </c>
      <c r="AD98" s="215">
        <f t="shared" si="102"/>
        <v>0.17385325089942139</v>
      </c>
      <c r="AE98" s="220">
        <f t="shared" si="120"/>
        <v>0.17385325089942139</v>
      </c>
      <c r="AF98" s="58">
        <f t="shared" si="103"/>
        <v>1.8200000000000001E-2</v>
      </c>
      <c r="AG98" s="61">
        <f t="shared" si="104"/>
        <v>1.8200000000000001E-2</v>
      </c>
      <c r="AH98" s="58">
        <f t="shared" si="105"/>
        <v>9.8728673813640064E-5</v>
      </c>
      <c r="AI98" s="49">
        <f t="shared" si="106"/>
        <v>9.6997517761878913E-3</v>
      </c>
      <c r="AJ98" s="61">
        <f t="shared" si="121"/>
        <v>9.7984804500015309E-3</v>
      </c>
      <c r="AK98" s="219">
        <f t="shared" si="107"/>
        <v>0.91</v>
      </c>
      <c r="AL98" s="215">
        <f t="shared" si="108"/>
        <v>15</v>
      </c>
      <c r="AM98" s="220">
        <f t="shared" si="122"/>
        <v>6.0666666666666667E-2</v>
      </c>
      <c r="AN98" s="219">
        <f t="shared" si="123"/>
        <v>2</v>
      </c>
      <c r="AO98" s="215">
        <f t="shared" si="124"/>
        <v>0.44444444444444442</v>
      </c>
      <c r="AP98" s="215">
        <f t="shared" si="125"/>
        <v>0.13650000000000001</v>
      </c>
      <c r="AQ98" s="215">
        <f t="shared" si="126"/>
        <v>0.14673944943358572</v>
      </c>
      <c r="AR98" s="215">
        <f t="shared" si="142"/>
        <v>0.20986972471679288</v>
      </c>
      <c r="AS98" s="220">
        <f t="shared" si="143"/>
        <v>9.5281156277010753E-2</v>
      </c>
      <c r="AT98" s="219"/>
      <c r="AU98" s="215">
        <f t="shared" si="127"/>
        <v>5.638440888888889E-2</v>
      </c>
      <c r="AV98" s="220">
        <f t="shared" si="144"/>
        <v>5.638440888888889E-2</v>
      </c>
      <c r="AW98" s="219">
        <f t="shared" si="128"/>
        <v>6.8148E-2</v>
      </c>
      <c r="AX98" s="215">
        <f t="shared" si="129"/>
        <v>1.8200000000000001E-2</v>
      </c>
      <c r="AY98" s="220">
        <f t="shared" si="145"/>
        <v>8.6348000000000008E-2</v>
      </c>
      <c r="AZ98" s="219">
        <f t="shared" si="109"/>
        <v>0</v>
      </c>
      <c r="BA98" s="215">
        <f t="shared" si="110"/>
        <v>0</v>
      </c>
      <c r="BB98" s="215">
        <f>IF(EN_OUT_2=1,AZ98/BA98,0)</f>
        <v>0</v>
      </c>
      <c r="BC98" s="61">
        <f t="shared" si="130"/>
        <v>0</v>
      </c>
      <c r="BD98" s="58">
        <v>0</v>
      </c>
      <c r="BE98" s="49">
        <f t="shared" si="131"/>
        <v>0</v>
      </c>
      <c r="BF98" s="61">
        <f t="shared" si="147"/>
        <v>0</v>
      </c>
      <c r="BG98" s="58">
        <f t="shared" si="132"/>
        <v>0</v>
      </c>
      <c r="BH98" s="49">
        <f t="shared" si="133"/>
        <v>0</v>
      </c>
      <c r="BI98" s="61">
        <f t="shared" si="134"/>
        <v>0</v>
      </c>
      <c r="BK98" s="219">
        <f t="shared" si="111"/>
        <v>0</v>
      </c>
      <c r="BL98" s="215">
        <f t="shared" si="112"/>
        <v>0</v>
      </c>
      <c r="BM98" s="215">
        <f t="shared" si="113"/>
        <v>0</v>
      </c>
      <c r="BN98" s="61">
        <f t="shared" si="150"/>
        <v>0</v>
      </c>
      <c r="BO98" s="58">
        <v>0</v>
      </c>
      <c r="BP98" s="49">
        <f t="shared" si="136"/>
        <v>0</v>
      </c>
      <c r="BQ98" s="61">
        <f t="shared" si="148"/>
        <v>0</v>
      </c>
      <c r="BR98" s="58">
        <f t="shared" si="137"/>
        <v>0</v>
      </c>
      <c r="BS98" s="49">
        <f t="shared" si="138"/>
        <v>0</v>
      </c>
      <c r="BT98" s="61">
        <f t="shared" si="149"/>
        <v>0</v>
      </c>
      <c r="BU98" s="58">
        <f t="shared" si="114"/>
        <v>2.2696246853710363E-4</v>
      </c>
      <c r="BV98" s="49">
        <f t="shared" si="115"/>
        <v>5.9629500000000002E-2</v>
      </c>
      <c r="BW98" s="61">
        <f t="shared" si="116"/>
        <v>5.4000000000000003E-3</v>
      </c>
      <c r="BX98" s="49">
        <f t="shared" si="139"/>
        <v>0.19205325089942138</v>
      </c>
      <c r="BY98" s="49">
        <f t="shared" si="140"/>
        <v>0.4280406027068489</v>
      </c>
      <c r="BZ98" s="49">
        <f t="shared" si="141"/>
        <v>68.009894330491534</v>
      </c>
    </row>
    <row r="99" spans="17:78" x14ac:dyDescent="0.25">
      <c r="Q99" s="49">
        <v>92</v>
      </c>
      <c r="R99" s="219">
        <f t="shared" si="94"/>
        <v>0.92</v>
      </c>
      <c r="S99" s="215">
        <f t="shared" si="95"/>
        <v>12</v>
      </c>
      <c r="T99" s="220">
        <f t="shared" si="96"/>
        <v>7.6666666666666675E-2</v>
      </c>
      <c r="U99" s="219">
        <f t="shared" si="97"/>
        <v>2</v>
      </c>
      <c r="V99" s="215">
        <f t="shared" si="98"/>
        <v>0.55555555555555558</v>
      </c>
      <c r="W99" s="215">
        <f t="shared" si="99"/>
        <v>0.44444444444444442</v>
      </c>
      <c r="X99" s="215">
        <f t="shared" si="117"/>
        <v>0</v>
      </c>
      <c r="Y99" s="219">
        <f t="shared" si="118"/>
        <v>0.13800000000000001</v>
      </c>
      <c r="Z99" s="215">
        <f t="shared" si="100"/>
        <v>0.14673944943358574</v>
      </c>
      <c r="AA99" s="215">
        <f t="shared" si="119"/>
        <v>0.21136972471679288</v>
      </c>
      <c r="AB99" s="220">
        <f t="shared" si="101"/>
        <v>0.1075958801574446</v>
      </c>
      <c r="AC99" s="219">
        <v>0</v>
      </c>
      <c r="AD99" s="215">
        <f t="shared" si="102"/>
        <v>0.17735770089942138</v>
      </c>
      <c r="AE99" s="220">
        <f t="shared" si="120"/>
        <v>0.17735770089942138</v>
      </c>
      <c r="AF99" s="58">
        <f t="shared" si="103"/>
        <v>1.84E-2</v>
      </c>
      <c r="AG99" s="61">
        <f t="shared" si="104"/>
        <v>1.84E-2</v>
      </c>
      <c r="AH99" s="58">
        <f t="shared" si="105"/>
        <v>1.0071879881364007E-4</v>
      </c>
      <c r="AI99" s="49">
        <f t="shared" si="106"/>
        <v>9.8063424550470998E-3</v>
      </c>
      <c r="AJ99" s="61">
        <f t="shared" si="121"/>
        <v>9.9070612538607397E-3</v>
      </c>
      <c r="AK99" s="219">
        <f t="shared" si="107"/>
        <v>0.92</v>
      </c>
      <c r="AL99" s="215">
        <f t="shared" si="108"/>
        <v>15</v>
      </c>
      <c r="AM99" s="220">
        <f t="shared" si="122"/>
        <v>6.1333333333333337E-2</v>
      </c>
      <c r="AN99" s="219">
        <f t="shared" si="123"/>
        <v>2</v>
      </c>
      <c r="AO99" s="215">
        <f t="shared" si="124"/>
        <v>0.44444444444444442</v>
      </c>
      <c r="AP99" s="215">
        <f t="shared" si="125"/>
        <v>0.13800000000000001</v>
      </c>
      <c r="AQ99" s="215">
        <f t="shared" si="126"/>
        <v>0.14673944943358572</v>
      </c>
      <c r="AR99" s="215">
        <f t="shared" si="142"/>
        <v>0.21136972471679288</v>
      </c>
      <c r="AS99" s="220">
        <f t="shared" si="143"/>
        <v>9.6236680852386777E-2</v>
      </c>
      <c r="AT99" s="219"/>
      <c r="AU99" s="215">
        <f t="shared" si="127"/>
        <v>5.7630435555555568E-2</v>
      </c>
      <c r="AV99" s="220">
        <f t="shared" si="144"/>
        <v>5.7630435555555568E-2</v>
      </c>
      <c r="AW99" s="219">
        <f t="shared" si="128"/>
        <v>6.8148E-2</v>
      </c>
      <c r="AX99" s="215">
        <f t="shared" si="129"/>
        <v>1.84E-2</v>
      </c>
      <c r="AY99" s="220">
        <f t="shared" si="145"/>
        <v>8.6548E-2</v>
      </c>
      <c r="AZ99" s="219">
        <f t="shared" si="109"/>
        <v>0</v>
      </c>
      <c r="BA99" s="215">
        <f t="shared" si="110"/>
        <v>0</v>
      </c>
      <c r="BB99" s="215">
        <f t="shared" si="146"/>
        <v>0</v>
      </c>
      <c r="BC99" s="61">
        <f t="shared" si="130"/>
        <v>0</v>
      </c>
      <c r="BD99" s="58">
        <v>0</v>
      </c>
      <c r="BE99" s="49">
        <f t="shared" si="131"/>
        <v>0</v>
      </c>
      <c r="BF99" s="61">
        <f t="shared" si="147"/>
        <v>0</v>
      </c>
      <c r="BG99" s="58">
        <f t="shared" si="132"/>
        <v>0</v>
      </c>
      <c r="BH99" s="49">
        <f t="shared" si="133"/>
        <v>0</v>
      </c>
      <c r="BI99" s="61">
        <f t="shared" si="134"/>
        <v>0</v>
      </c>
      <c r="BK99" s="219">
        <f t="shared" si="111"/>
        <v>0</v>
      </c>
      <c r="BL99" s="215">
        <f t="shared" si="112"/>
        <v>0</v>
      </c>
      <c r="BM99" s="215">
        <f t="shared" si="113"/>
        <v>0</v>
      </c>
      <c r="BN99" s="61">
        <f t="shared" si="150"/>
        <v>0</v>
      </c>
      <c r="BO99" s="58">
        <v>0</v>
      </c>
      <c r="BP99" s="49">
        <f t="shared" si="136"/>
        <v>0</v>
      </c>
      <c r="BQ99" s="61">
        <f t="shared" si="148"/>
        <v>0</v>
      </c>
      <c r="BR99" s="58">
        <f t="shared" si="137"/>
        <v>0</v>
      </c>
      <c r="BS99" s="49">
        <f t="shared" si="138"/>
        <v>0</v>
      </c>
      <c r="BT99" s="61">
        <f t="shared" si="149"/>
        <v>0</v>
      </c>
      <c r="BU99" s="58">
        <f t="shared" si="114"/>
        <v>2.3153746853710362E-4</v>
      </c>
      <c r="BV99" s="49">
        <f t="shared" si="115"/>
        <v>5.9629500000000002E-2</v>
      </c>
      <c r="BW99" s="61">
        <f t="shared" si="116"/>
        <v>5.4000000000000003E-3</v>
      </c>
      <c r="BX99" s="49">
        <f t="shared" si="139"/>
        <v>0.19575770089942138</v>
      </c>
      <c r="BY99" s="49">
        <f t="shared" si="140"/>
        <v>0.4335042351773748</v>
      </c>
      <c r="BZ99" s="49">
        <f t="shared" si="141"/>
        <v>67.971711952525609</v>
      </c>
    </row>
    <row r="100" spans="17:78" x14ac:dyDescent="0.25">
      <c r="Q100" s="49">
        <v>93</v>
      </c>
      <c r="R100" s="219">
        <f t="shared" si="94"/>
        <v>0.93</v>
      </c>
      <c r="S100" s="215">
        <f t="shared" si="95"/>
        <v>12</v>
      </c>
      <c r="T100" s="220">
        <f t="shared" si="96"/>
        <v>7.7499999999999999E-2</v>
      </c>
      <c r="U100" s="219">
        <f t="shared" si="97"/>
        <v>2</v>
      </c>
      <c r="V100" s="215">
        <f t="shared" si="98"/>
        <v>0.55555555555555558</v>
      </c>
      <c r="W100" s="215">
        <f t="shared" si="99"/>
        <v>0.44444444444444442</v>
      </c>
      <c r="X100" s="215">
        <f t="shared" si="117"/>
        <v>0</v>
      </c>
      <c r="Y100" s="219">
        <f t="shared" si="118"/>
        <v>0.13950000000000001</v>
      </c>
      <c r="Z100" s="215">
        <f t="shared" si="100"/>
        <v>0.14673944943358574</v>
      </c>
      <c r="AA100" s="215">
        <f t="shared" si="119"/>
        <v>0.21286972471679289</v>
      </c>
      <c r="AB100" s="220">
        <f t="shared" si="101"/>
        <v>0.10866518958183058</v>
      </c>
      <c r="AC100" s="219">
        <v>0</v>
      </c>
      <c r="AD100" s="215">
        <f t="shared" si="102"/>
        <v>0.18090045089942139</v>
      </c>
      <c r="AE100" s="220">
        <f t="shared" si="120"/>
        <v>0.18090045089942139</v>
      </c>
      <c r="AF100" s="58">
        <f t="shared" si="103"/>
        <v>1.8600000000000002E-2</v>
      </c>
      <c r="AG100" s="61">
        <f t="shared" si="104"/>
        <v>1.8600000000000002E-2</v>
      </c>
      <c r="AH100" s="58">
        <f t="shared" si="105"/>
        <v>1.0273067381364007E-4</v>
      </c>
      <c r="AI100" s="49">
        <f t="shared" si="106"/>
        <v>9.9129331339063067E-3</v>
      </c>
      <c r="AJ100" s="61">
        <f t="shared" si="121"/>
        <v>1.0015663807719948E-2</v>
      </c>
      <c r="AK100" s="219">
        <f t="shared" si="107"/>
        <v>0.93</v>
      </c>
      <c r="AL100" s="215">
        <f t="shared" si="108"/>
        <v>15</v>
      </c>
      <c r="AM100" s="220">
        <f t="shared" si="122"/>
        <v>6.2000000000000006E-2</v>
      </c>
      <c r="AN100" s="219">
        <f t="shared" si="123"/>
        <v>2</v>
      </c>
      <c r="AO100" s="215">
        <f t="shared" si="124"/>
        <v>0.44444444444444448</v>
      </c>
      <c r="AP100" s="215">
        <f t="shared" si="125"/>
        <v>0.13950000000000001</v>
      </c>
      <c r="AQ100" s="215">
        <f t="shared" si="126"/>
        <v>0.14673944943358574</v>
      </c>
      <c r="AR100" s="215">
        <f t="shared" si="142"/>
        <v>0.21286972471679289</v>
      </c>
      <c r="AS100" s="220">
        <f t="shared" si="143"/>
        <v>9.7193100277150057E-2</v>
      </c>
      <c r="AT100" s="219"/>
      <c r="AU100" s="215">
        <f t="shared" si="127"/>
        <v>5.8890080000000011E-2</v>
      </c>
      <c r="AV100" s="220">
        <f t="shared" si="144"/>
        <v>5.8890080000000011E-2</v>
      </c>
      <c r="AW100" s="219">
        <f t="shared" si="128"/>
        <v>6.8148E-2</v>
      </c>
      <c r="AX100" s="215">
        <f t="shared" si="129"/>
        <v>1.8600000000000002E-2</v>
      </c>
      <c r="AY100" s="220">
        <f t="shared" si="145"/>
        <v>8.6748000000000006E-2</v>
      </c>
      <c r="AZ100" s="219">
        <f t="shared" si="109"/>
        <v>0</v>
      </c>
      <c r="BA100" s="215">
        <f t="shared" si="110"/>
        <v>0</v>
      </c>
      <c r="BB100" s="215">
        <f t="shared" si="146"/>
        <v>0</v>
      </c>
      <c r="BC100" s="61">
        <f t="shared" si="130"/>
        <v>0</v>
      </c>
      <c r="BD100" s="58">
        <v>0</v>
      </c>
      <c r="BE100" s="49">
        <f t="shared" si="131"/>
        <v>0</v>
      </c>
      <c r="BF100" s="61">
        <f t="shared" si="147"/>
        <v>0</v>
      </c>
      <c r="BG100" s="58">
        <f t="shared" si="132"/>
        <v>0</v>
      </c>
      <c r="BH100" s="49">
        <f t="shared" si="133"/>
        <v>0</v>
      </c>
      <c r="BI100" s="61">
        <f t="shared" si="134"/>
        <v>0</v>
      </c>
      <c r="BK100" s="219">
        <f t="shared" si="111"/>
        <v>0</v>
      </c>
      <c r="BL100" s="215">
        <f t="shared" si="112"/>
        <v>0</v>
      </c>
      <c r="BM100" s="215">
        <f t="shared" si="113"/>
        <v>0</v>
      </c>
      <c r="BN100" s="61">
        <f t="shared" si="150"/>
        <v>0</v>
      </c>
      <c r="BO100" s="58">
        <v>0</v>
      </c>
      <c r="BP100" s="49">
        <f t="shared" si="136"/>
        <v>0</v>
      </c>
      <c r="BQ100" s="61">
        <f t="shared" si="148"/>
        <v>0</v>
      </c>
      <c r="BR100" s="58">
        <f t="shared" si="137"/>
        <v>0</v>
      </c>
      <c r="BS100" s="49">
        <f t="shared" si="138"/>
        <v>0</v>
      </c>
      <c r="BT100" s="61">
        <f t="shared" si="149"/>
        <v>0</v>
      </c>
      <c r="BU100" s="58">
        <f t="shared" si="114"/>
        <v>2.3616246853710364E-4</v>
      </c>
      <c r="BV100" s="49">
        <f t="shared" si="115"/>
        <v>5.9629500000000002E-2</v>
      </c>
      <c r="BW100" s="61">
        <f t="shared" si="116"/>
        <v>5.4000000000000003E-3</v>
      </c>
      <c r="BX100" s="49">
        <f t="shared" si="139"/>
        <v>0.19950045089942139</v>
      </c>
      <c r="BY100" s="49">
        <f t="shared" si="140"/>
        <v>0.43901985717567849</v>
      </c>
      <c r="BZ100" s="49">
        <f t="shared" si="141"/>
        <v>67.931812319991664</v>
      </c>
    </row>
    <row r="101" spans="17:78" x14ac:dyDescent="0.25">
      <c r="Q101" s="49">
        <v>94</v>
      </c>
      <c r="R101" s="219">
        <f t="shared" si="94"/>
        <v>0.94000000000000006</v>
      </c>
      <c r="S101" s="215">
        <f t="shared" si="95"/>
        <v>12</v>
      </c>
      <c r="T101" s="220">
        <f t="shared" si="96"/>
        <v>7.8333333333333338E-2</v>
      </c>
      <c r="U101" s="219">
        <f t="shared" si="97"/>
        <v>2</v>
      </c>
      <c r="V101" s="215">
        <f t="shared" si="98"/>
        <v>0.55555555555555558</v>
      </c>
      <c r="W101" s="215">
        <f t="shared" si="99"/>
        <v>0.44444444444444442</v>
      </c>
      <c r="X101" s="215">
        <f t="shared" si="117"/>
        <v>0</v>
      </c>
      <c r="Y101" s="219">
        <f t="shared" si="118"/>
        <v>0.14100000000000001</v>
      </c>
      <c r="Z101" s="215">
        <f t="shared" si="100"/>
        <v>0.14673944943358574</v>
      </c>
      <c r="AA101" s="215">
        <f t="shared" si="119"/>
        <v>0.21436972471679289</v>
      </c>
      <c r="AB101" s="220">
        <f t="shared" si="101"/>
        <v>0.1097354702311663</v>
      </c>
      <c r="AC101" s="219">
        <v>0</v>
      </c>
      <c r="AD101" s="215">
        <f t="shared" si="102"/>
        <v>0.18448150089942145</v>
      </c>
      <c r="AE101" s="220">
        <f t="shared" si="120"/>
        <v>0.18448150089942145</v>
      </c>
      <c r="AF101" s="58">
        <f t="shared" si="103"/>
        <v>1.8800000000000001E-2</v>
      </c>
      <c r="AG101" s="61">
        <f t="shared" si="104"/>
        <v>1.8800000000000001E-2</v>
      </c>
      <c r="AH101" s="58">
        <f t="shared" si="105"/>
        <v>1.0476429881364009E-4</v>
      </c>
      <c r="AI101" s="49">
        <f t="shared" si="106"/>
        <v>1.0019523812765514E-2</v>
      </c>
      <c r="AJ101" s="61">
        <f t="shared" si="121"/>
        <v>1.0124288111579154E-2</v>
      </c>
      <c r="AK101" s="219">
        <f t="shared" si="107"/>
        <v>0.94000000000000006</v>
      </c>
      <c r="AL101" s="215">
        <f t="shared" si="108"/>
        <v>15</v>
      </c>
      <c r="AM101" s="220">
        <f t="shared" si="122"/>
        <v>6.2666666666666676E-2</v>
      </c>
      <c r="AN101" s="219">
        <f t="shared" si="123"/>
        <v>2</v>
      </c>
      <c r="AO101" s="215">
        <f t="shared" si="124"/>
        <v>0.44444444444444448</v>
      </c>
      <c r="AP101" s="215">
        <f t="shared" si="125"/>
        <v>0.14100000000000001</v>
      </c>
      <c r="AQ101" s="215">
        <f t="shared" si="126"/>
        <v>0.14673944943358574</v>
      </c>
      <c r="AR101" s="215">
        <f t="shared" si="142"/>
        <v>0.21436972471679289</v>
      </c>
      <c r="AS101" s="220">
        <f t="shared" si="143"/>
        <v>9.8150388391916948E-2</v>
      </c>
      <c r="AT101" s="219"/>
      <c r="AU101" s="215">
        <f t="shared" si="127"/>
        <v>6.0163342222222242E-2</v>
      </c>
      <c r="AV101" s="220">
        <f t="shared" si="144"/>
        <v>6.0163342222222242E-2</v>
      </c>
      <c r="AW101" s="219">
        <f t="shared" si="128"/>
        <v>6.8148E-2</v>
      </c>
      <c r="AX101" s="215">
        <f t="shared" si="129"/>
        <v>1.8800000000000001E-2</v>
      </c>
      <c r="AY101" s="220">
        <f t="shared" si="145"/>
        <v>8.6947999999999998E-2</v>
      </c>
      <c r="AZ101" s="219">
        <f t="shared" si="109"/>
        <v>0</v>
      </c>
      <c r="BA101" s="215">
        <f t="shared" si="110"/>
        <v>0</v>
      </c>
      <c r="BB101" s="215">
        <f t="shared" si="146"/>
        <v>0</v>
      </c>
      <c r="BC101" s="61">
        <f t="shared" si="130"/>
        <v>0</v>
      </c>
      <c r="BD101" s="58">
        <v>0</v>
      </c>
      <c r="BE101" s="49">
        <f t="shared" si="131"/>
        <v>0</v>
      </c>
      <c r="BF101" s="61">
        <f t="shared" si="147"/>
        <v>0</v>
      </c>
      <c r="BG101" s="58">
        <f t="shared" si="132"/>
        <v>0</v>
      </c>
      <c r="BH101" s="49">
        <f t="shared" si="133"/>
        <v>0</v>
      </c>
      <c r="BI101" s="61">
        <f t="shared" si="134"/>
        <v>0</v>
      </c>
      <c r="BK101" s="219">
        <f t="shared" si="111"/>
        <v>0</v>
      </c>
      <c r="BL101" s="215">
        <f t="shared" si="112"/>
        <v>0</v>
      </c>
      <c r="BM101" s="215">
        <f t="shared" si="113"/>
        <v>0</v>
      </c>
      <c r="BN101" s="61">
        <f t="shared" si="150"/>
        <v>0</v>
      </c>
      <c r="BO101" s="58">
        <v>0</v>
      </c>
      <c r="BP101" s="49">
        <f t="shared" si="136"/>
        <v>0</v>
      </c>
      <c r="BQ101" s="61">
        <f t="shared" si="148"/>
        <v>0</v>
      </c>
      <c r="BR101" s="58">
        <f t="shared" si="137"/>
        <v>0</v>
      </c>
      <c r="BS101" s="49">
        <f t="shared" si="138"/>
        <v>0</v>
      </c>
      <c r="BT101" s="61">
        <f t="shared" si="149"/>
        <v>0</v>
      </c>
      <c r="BU101" s="58">
        <f t="shared" si="114"/>
        <v>2.4083746853710371E-4</v>
      </c>
      <c r="BV101" s="49">
        <f t="shared" si="115"/>
        <v>5.9629500000000002E-2</v>
      </c>
      <c r="BW101" s="61">
        <f t="shared" si="116"/>
        <v>5.4000000000000003E-3</v>
      </c>
      <c r="BX101" s="49">
        <f t="shared" si="139"/>
        <v>0.20328150089942146</v>
      </c>
      <c r="BY101" s="49">
        <f t="shared" si="140"/>
        <v>0.44458746870175997</v>
      </c>
      <c r="BZ101" s="49">
        <f t="shared" si="141"/>
        <v>67.890257657855187</v>
      </c>
    </row>
    <row r="102" spans="17:78" x14ac:dyDescent="0.25">
      <c r="Q102" s="49">
        <v>95</v>
      </c>
      <c r="R102" s="219">
        <f t="shared" si="94"/>
        <v>0.95000000000000007</v>
      </c>
      <c r="S102" s="215">
        <f t="shared" si="95"/>
        <v>12</v>
      </c>
      <c r="T102" s="220">
        <f t="shared" si="96"/>
        <v>7.9166666666666677E-2</v>
      </c>
      <c r="U102" s="219">
        <f t="shared" si="97"/>
        <v>2</v>
      </c>
      <c r="V102" s="215">
        <f t="shared" si="98"/>
        <v>0.55555555555555558</v>
      </c>
      <c r="W102" s="215">
        <f t="shared" si="99"/>
        <v>0.44444444444444442</v>
      </c>
      <c r="X102" s="215">
        <f t="shared" si="117"/>
        <v>0</v>
      </c>
      <c r="Y102" s="219">
        <f t="shared" si="118"/>
        <v>0.14250000000000002</v>
      </c>
      <c r="Z102" s="215">
        <f t="shared" si="100"/>
        <v>0.14673944943358574</v>
      </c>
      <c r="AA102" s="215">
        <f t="shared" si="119"/>
        <v>0.21586972471679289</v>
      </c>
      <c r="AB102" s="220">
        <f t="shared" si="101"/>
        <v>0.11080669396230168</v>
      </c>
      <c r="AC102" s="219">
        <v>0</v>
      </c>
      <c r="AD102" s="215">
        <f t="shared" si="102"/>
        <v>0.18810085089942141</v>
      </c>
      <c r="AE102" s="220">
        <f t="shared" si="120"/>
        <v>0.18810085089942141</v>
      </c>
      <c r="AF102" s="58">
        <f t="shared" si="103"/>
        <v>1.9000000000000003E-2</v>
      </c>
      <c r="AG102" s="61">
        <f t="shared" si="104"/>
        <v>1.9000000000000003E-2</v>
      </c>
      <c r="AH102" s="58">
        <f t="shared" si="105"/>
        <v>1.0681967381364009E-4</v>
      </c>
      <c r="AI102" s="49">
        <f t="shared" si="106"/>
        <v>1.0126114491624722E-2</v>
      </c>
      <c r="AJ102" s="61">
        <f t="shared" si="121"/>
        <v>1.0232934165438362E-2</v>
      </c>
      <c r="AK102" s="219">
        <f t="shared" si="107"/>
        <v>0.95000000000000007</v>
      </c>
      <c r="AL102" s="215">
        <f t="shared" si="108"/>
        <v>15</v>
      </c>
      <c r="AM102" s="220">
        <f t="shared" si="122"/>
        <v>6.3333333333333339E-2</v>
      </c>
      <c r="AN102" s="219">
        <f t="shared" si="123"/>
        <v>2</v>
      </c>
      <c r="AO102" s="215">
        <f t="shared" si="124"/>
        <v>0.44444444444444442</v>
      </c>
      <c r="AP102" s="215">
        <f t="shared" si="125"/>
        <v>0.14250000000000002</v>
      </c>
      <c r="AQ102" s="215">
        <f t="shared" si="126"/>
        <v>0.14673944943358572</v>
      </c>
      <c r="AR102" s="215">
        <f t="shared" si="142"/>
        <v>0.21586972471679289</v>
      </c>
      <c r="AS102" s="220">
        <f t="shared" si="143"/>
        <v>9.910852002468884E-2</v>
      </c>
      <c r="AT102" s="219"/>
      <c r="AU102" s="215">
        <f t="shared" si="127"/>
        <v>6.1450222222222239E-2</v>
      </c>
      <c r="AV102" s="220">
        <f t="shared" si="144"/>
        <v>6.1450222222222239E-2</v>
      </c>
      <c r="AW102" s="219">
        <f t="shared" si="128"/>
        <v>6.8148E-2</v>
      </c>
      <c r="AX102" s="215">
        <f t="shared" si="129"/>
        <v>1.9E-2</v>
      </c>
      <c r="AY102" s="220">
        <f t="shared" si="145"/>
        <v>8.7148000000000003E-2</v>
      </c>
      <c r="AZ102" s="219">
        <f t="shared" si="109"/>
        <v>0</v>
      </c>
      <c r="BA102" s="215">
        <f t="shared" si="110"/>
        <v>0</v>
      </c>
      <c r="BB102" s="215">
        <f t="shared" si="146"/>
        <v>0</v>
      </c>
      <c r="BC102" s="61">
        <f t="shared" si="130"/>
        <v>0</v>
      </c>
      <c r="BD102" s="58">
        <v>0</v>
      </c>
      <c r="BE102" s="49">
        <f t="shared" si="131"/>
        <v>0</v>
      </c>
      <c r="BF102" s="61">
        <f t="shared" si="147"/>
        <v>0</v>
      </c>
      <c r="BG102" s="58">
        <f t="shared" si="132"/>
        <v>0</v>
      </c>
      <c r="BH102" s="49">
        <f t="shared" si="133"/>
        <v>0</v>
      </c>
      <c r="BI102" s="61">
        <f t="shared" si="134"/>
        <v>0</v>
      </c>
      <c r="BK102" s="219">
        <f t="shared" si="111"/>
        <v>0</v>
      </c>
      <c r="BL102" s="215">
        <f t="shared" si="112"/>
        <v>0</v>
      </c>
      <c r="BM102" s="215">
        <f t="shared" si="113"/>
        <v>0</v>
      </c>
      <c r="BN102" s="61">
        <f t="shared" si="150"/>
        <v>0</v>
      </c>
      <c r="BO102" s="58">
        <v>0</v>
      </c>
      <c r="BP102" s="49">
        <f t="shared" si="136"/>
        <v>0</v>
      </c>
      <c r="BQ102" s="61">
        <f t="shared" si="148"/>
        <v>0</v>
      </c>
      <c r="BR102" s="58">
        <f t="shared" si="137"/>
        <v>0</v>
      </c>
      <c r="BS102" s="49">
        <f t="shared" si="138"/>
        <v>0</v>
      </c>
      <c r="BT102" s="61">
        <f t="shared" si="149"/>
        <v>0</v>
      </c>
      <c r="BU102" s="58">
        <f t="shared" si="114"/>
        <v>2.4556246853710365E-4</v>
      </c>
      <c r="BV102" s="49">
        <f t="shared" si="115"/>
        <v>5.9629500000000002E-2</v>
      </c>
      <c r="BW102" s="61">
        <f t="shared" si="116"/>
        <v>5.4000000000000003E-3</v>
      </c>
      <c r="BX102" s="49">
        <f t="shared" si="139"/>
        <v>0.20710085089942143</v>
      </c>
      <c r="BY102" s="49">
        <f t="shared" si="140"/>
        <v>0.45020706975561914</v>
      </c>
      <c r="BZ102" s="49">
        <f t="shared" si="141"/>
        <v>67.8471077971207</v>
      </c>
    </row>
    <row r="103" spans="17:78" x14ac:dyDescent="0.25">
      <c r="Q103" s="49">
        <v>96</v>
      </c>
      <c r="R103" s="219">
        <f t="shared" ref="R103:R134" si="151">AK103+AZ103+BK103</f>
        <v>0.96</v>
      </c>
      <c r="S103" s="215">
        <f t="shared" si="95"/>
        <v>12</v>
      </c>
      <c r="T103" s="220">
        <f t="shared" ref="T103:T134" si="152">(R103)/(S103*EFF_est)</f>
        <v>0.08</v>
      </c>
      <c r="U103" s="219">
        <f t="shared" ref="U103:U134" si="153">IF(R103&lt;((((Np/NS1_)*(AL103)/((S103+((Np/NS1_)*(AL103)))))^2)*(S103^2))/(2*Lm*Fsw),1,2)</f>
        <v>2</v>
      </c>
      <c r="V103" s="215">
        <f t="shared" ref="V103:V134" si="154">CHOOSE(U103,SQRT((2*Lm*R103*Fsw)/((S103^2)*EFF_est)),(((Np/NS1_)*(AL103))/(S103+((Np/NS1_)*(AL103)))))</f>
        <v>0.55555555555555558</v>
      </c>
      <c r="W103" s="215">
        <f t="shared" ref="W103:W134" si="155">CHOOSE(U103,(NS1_*S103*V103)/(Np*AL103),1-V103)</f>
        <v>0.44444444444444442</v>
      </c>
      <c r="X103" s="215">
        <f t="shared" si="117"/>
        <v>0</v>
      </c>
      <c r="Y103" s="219">
        <f t="shared" si="118"/>
        <v>0.14399999999999999</v>
      </c>
      <c r="Z103" s="215">
        <f t="shared" ref="Z103:Z134" si="156">(S103*V103)/(Lm*Fsw)</f>
        <v>0.14673944943358574</v>
      </c>
      <c r="AA103" s="215">
        <f t="shared" si="119"/>
        <v>0.21736972471679286</v>
      </c>
      <c r="AB103" s="220">
        <f t="shared" ref="AB103:AB134" si="157">CHOOSE(U103,AA103*SQRT(V103/3),SQRT(V103*((AA103^2)+((Z103^2)/(3))-(AA103*Z103))))</f>
        <v>0.11187883368562249</v>
      </c>
      <c r="AC103" s="219">
        <v>0</v>
      </c>
      <c r="AD103" s="215">
        <f t="shared" ref="AD103:AD134" si="158">(AB103^2)*Rdcr</f>
        <v>0.19175850089942131</v>
      </c>
      <c r="AE103" s="220">
        <f t="shared" si="120"/>
        <v>0.19175850089942131</v>
      </c>
      <c r="AF103" s="58">
        <f t="shared" ref="AF103:AF134" si="159">R103*0.02</f>
        <v>1.9199999999999998E-2</v>
      </c>
      <c r="AG103" s="61">
        <f t="shared" ref="AG103:AG134" si="160">R103*0.02</f>
        <v>1.9199999999999998E-2</v>
      </c>
      <c r="AH103" s="58">
        <f t="shared" ref="AH103:AH134" si="161">(AB103^2)*RDS_on</f>
        <v>1.0889679881364004E-4</v>
      </c>
      <c r="AI103" s="49">
        <f t="shared" ref="AI103:AI134" si="162">((Y103*(S103+((Np/NS1_)*VOUT1)))/2)*Fsw*(tr_sw+tf_sw)</f>
        <v>1.0232705170483927E-2</v>
      </c>
      <c r="AJ103" s="61">
        <f t="shared" si="121"/>
        <v>1.0341601969297566E-2</v>
      </c>
      <c r="AK103" s="219">
        <f t="shared" ref="AK103:AK134" si="163">Q103*$B$11</f>
        <v>0.96</v>
      </c>
      <c r="AL103" s="215">
        <f t="shared" si="108"/>
        <v>15</v>
      </c>
      <c r="AM103" s="220">
        <f t="shared" si="122"/>
        <v>6.4000000000000001E-2</v>
      </c>
      <c r="AN103" s="219">
        <f t="shared" si="123"/>
        <v>2</v>
      </c>
      <c r="AO103" s="215">
        <f t="shared" si="124"/>
        <v>0.44444444444444448</v>
      </c>
      <c r="AP103" s="215">
        <f t="shared" si="125"/>
        <v>0.14399999999999999</v>
      </c>
      <c r="AQ103" s="215">
        <f t="shared" si="126"/>
        <v>0.14673944943358574</v>
      </c>
      <c r="AR103" s="215">
        <f t="shared" si="142"/>
        <v>0.21736972471679286</v>
      </c>
      <c r="AS103" s="220">
        <f t="shared" si="143"/>
        <v>0.10006747094577809</v>
      </c>
      <c r="AT103" s="219"/>
      <c r="AU103" s="215">
        <f t="shared" si="127"/>
        <v>6.2750719999999996E-2</v>
      </c>
      <c r="AV103" s="220">
        <f t="shared" si="144"/>
        <v>6.2750719999999996E-2</v>
      </c>
      <c r="AW103" s="219">
        <f t="shared" si="128"/>
        <v>6.8148E-2</v>
      </c>
      <c r="AX103" s="215">
        <f t="shared" si="129"/>
        <v>1.9199999999999998E-2</v>
      </c>
      <c r="AY103" s="220">
        <f t="shared" si="145"/>
        <v>8.7347999999999995E-2</v>
      </c>
      <c r="AZ103" s="219">
        <f t="shared" ref="AZ103:AZ134" si="164">IF(EN_OUT_2=1,Q103*$B$15,0)</f>
        <v>0</v>
      </c>
      <c r="BA103" s="215">
        <f t="shared" ref="BA103:BA134" si="165">IF(EN_OUT_2=1,VOUT2,0)</f>
        <v>0</v>
      </c>
      <c r="BB103" s="215">
        <f t="shared" si="146"/>
        <v>0</v>
      </c>
      <c r="BC103" s="61">
        <f t="shared" si="130"/>
        <v>0</v>
      </c>
      <c r="BD103" s="58">
        <v>0</v>
      </c>
      <c r="BE103" s="49">
        <f t="shared" si="131"/>
        <v>0</v>
      </c>
      <c r="BF103" s="61">
        <f t="shared" si="147"/>
        <v>0</v>
      </c>
      <c r="BG103" s="58">
        <f t="shared" si="132"/>
        <v>0</v>
      </c>
      <c r="BH103" s="49">
        <f t="shared" si="133"/>
        <v>0</v>
      </c>
      <c r="BI103" s="61">
        <f t="shared" si="134"/>
        <v>0</v>
      </c>
      <c r="BK103" s="219">
        <f t="shared" ref="BK103:BK134" si="166">IF(EN_OUT_3=1,Q103*$B$19,0)</f>
        <v>0</v>
      </c>
      <c r="BL103" s="215">
        <f t="shared" si="112"/>
        <v>0</v>
      </c>
      <c r="BM103" s="215">
        <f t="shared" ref="BM103:BM134" si="167">IF(EN_OUT_3=1,BK103/BL103,0)</f>
        <v>0</v>
      </c>
      <c r="BN103" s="61">
        <f t="shared" si="150"/>
        <v>0</v>
      </c>
      <c r="BO103" s="58">
        <v>0</v>
      </c>
      <c r="BP103" s="49">
        <f t="shared" si="136"/>
        <v>0</v>
      </c>
      <c r="BQ103" s="61">
        <f t="shared" si="148"/>
        <v>0</v>
      </c>
      <c r="BR103" s="58">
        <f t="shared" si="137"/>
        <v>0</v>
      </c>
      <c r="BS103" s="49">
        <f t="shared" si="138"/>
        <v>0</v>
      </c>
      <c r="BT103" s="61">
        <f t="shared" si="149"/>
        <v>0</v>
      </c>
      <c r="BU103" s="58">
        <f t="shared" ref="BU103:BU134" si="168">(AB103^2)*R_cs</f>
        <v>2.5033746853710354E-4</v>
      </c>
      <c r="BV103" s="49">
        <f t="shared" si="115"/>
        <v>5.9629500000000002E-2</v>
      </c>
      <c r="BW103" s="61">
        <f t="shared" ref="BW103:BW134" si="169">IQ*S103</f>
        <v>5.4000000000000003E-3</v>
      </c>
      <c r="BX103" s="49">
        <f t="shared" si="139"/>
        <v>0.21095850089942131</v>
      </c>
      <c r="BY103" s="49">
        <f t="shared" si="140"/>
        <v>0.45587866033725594</v>
      </c>
      <c r="BZ103" s="49">
        <f t="shared" si="141"/>
        <v>67.802420284470728</v>
      </c>
    </row>
    <row r="104" spans="17:78" x14ac:dyDescent="0.25">
      <c r="Q104" s="49">
        <v>97</v>
      </c>
      <c r="R104" s="219">
        <f t="shared" si="151"/>
        <v>0.97</v>
      </c>
      <c r="S104" s="215">
        <f t="shared" si="95"/>
        <v>12</v>
      </c>
      <c r="T104" s="220">
        <f t="shared" si="152"/>
        <v>8.0833333333333326E-2</v>
      </c>
      <c r="U104" s="219">
        <f t="shared" si="153"/>
        <v>2</v>
      </c>
      <c r="V104" s="215">
        <f t="shared" si="154"/>
        <v>0.55555555555555558</v>
      </c>
      <c r="W104" s="215">
        <f t="shared" si="155"/>
        <v>0.44444444444444442</v>
      </c>
      <c r="X104" s="215">
        <f t="shared" si="117"/>
        <v>0</v>
      </c>
      <c r="Y104" s="219">
        <f t="shared" ref="Y104:Y135" si="170">R104/(S104*EFF_est*V104)</f>
        <v>0.14549999999999999</v>
      </c>
      <c r="Z104" s="215">
        <f t="shared" si="156"/>
        <v>0.14673944943358574</v>
      </c>
      <c r="AA104" s="215">
        <f t="shared" si="119"/>
        <v>0.21886972471679286</v>
      </c>
      <c r="AB104" s="220">
        <f t="shared" si="157"/>
        <v>0.11295186331732282</v>
      </c>
      <c r="AC104" s="219">
        <v>0</v>
      </c>
      <c r="AD104" s="215">
        <f t="shared" si="158"/>
        <v>0.19545445089942129</v>
      </c>
      <c r="AE104" s="220">
        <f t="shared" si="120"/>
        <v>0.19545445089942129</v>
      </c>
      <c r="AF104" s="58">
        <f t="shared" si="159"/>
        <v>1.9400000000000001E-2</v>
      </c>
      <c r="AG104" s="61">
        <f t="shared" si="160"/>
        <v>1.9400000000000001E-2</v>
      </c>
      <c r="AH104" s="58">
        <f t="shared" si="161"/>
        <v>1.1099567381364002E-4</v>
      </c>
      <c r="AI104" s="49">
        <f t="shared" si="162"/>
        <v>1.0339295849343136E-2</v>
      </c>
      <c r="AJ104" s="61">
        <f t="shared" si="121"/>
        <v>1.0450291523156775E-2</v>
      </c>
      <c r="AK104" s="219">
        <f t="shared" si="163"/>
        <v>0.97</v>
      </c>
      <c r="AL104" s="215">
        <f t="shared" si="108"/>
        <v>15</v>
      </c>
      <c r="AM104" s="220">
        <f t="shared" ref="AM104:AM135" si="171">AK104/AL104</f>
        <v>6.4666666666666664E-2</v>
      </c>
      <c r="AN104" s="219">
        <f t="shared" ref="AN104:AN135" si="172">IF(((AL104*AO104)/(Fsw*$AO$2))/2&gt;AP104,1,2)</f>
        <v>2</v>
      </c>
      <c r="AO104" s="215">
        <f t="shared" ref="AO104:AO135" si="173">AM104/AP104</f>
        <v>0.44444444444444448</v>
      </c>
      <c r="AP104" s="215">
        <f t="shared" ref="AP104:AP135" si="174">Np*$Y104*AK104/(R104*NS1_)</f>
        <v>0.14549999999999999</v>
      </c>
      <c r="AQ104" s="215">
        <f t="shared" ref="AQ104:AQ135" si="175">(AL104*AO104)/(Fsw*$AO$2)</f>
        <v>0.14673944943358574</v>
      </c>
      <c r="AR104" s="215">
        <f t="shared" si="142"/>
        <v>0.21886972471679286</v>
      </c>
      <c r="AS104" s="220">
        <f t="shared" si="143"/>
        <v>0.1010272178251195</v>
      </c>
      <c r="AT104" s="219"/>
      <c r="AU104" s="215">
        <f t="shared" ref="AU104:AU135" si="176">(AM104^2)*Rdcr1</f>
        <v>6.4064835555555547E-2</v>
      </c>
      <c r="AV104" s="220">
        <f t="shared" si="144"/>
        <v>6.4064835555555547E-2</v>
      </c>
      <c r="AW104" s="219">
        <f t="shared" ref="AW104:AW135" si="177">(VOUT1+((NS1_/Np)*S104))*QRR1_*Fsw</f>
        <v>6.8148E-2</v>
      </c>
      <c r="AX104" s="215">
        <f t="shared" ref="AX104:AX135" si="178">AM104*VD1_</f>
        <v>1.9399999999999997E-2</v>
      </c>
      <c r="AY104" s="220">
        <f t="shared" si="145"/>
        <v>8.7548000000000001E-2</v>
      </c>
      <c r="AZ104" s="219">
        <f t="shared" si="164"/>
        <v>0</v>
      </c>
      <c r="BA104" s="215">
        <f t="shared" si="165"/>
        <v>0</v>
      </c>
      <c r="BB104" s="215">
        <f t="shared" si="146"/>
        <v>0</v>
      </c>
      <c r="BC104" s="61">
        <f t="shared" ref="BC104:BC135" si="179">IF(EN_OUT_2=1,AZ104/BA104,0)</f>
        <v>0</v>
      </c>
      <c r="BD104" s="58">
        <v>0</v>
      </c>
      <c r="BE104" s="49">
        <f t="shared" ref="BE104:BE135" si="180">(BB104^2)*Rdcr2</f>
        <v>0</v>
      </c>
      <c r="BF104" s="61">
        <f t="shared" si="147"/>
        <v>0</v>
      </c>
      <c r="BG104" s="58">
        <f t="shared" ref="BG104:BG135" si="181">(VOUT2+((NS2_/Np)*S104))*QRR2_*Fsw</f>
        <v>0</v>
      </c>
      <c r="BH104" s="49">
        <f t="shared" ref="BH104:BH135" si="182">BB104*VD2_</f>
        <v>0</v>
      </c>
      <c r="BI104" s="61">
        <f t="shared" ref="BI104:BI135" si="183">BH104+BG104</f>
        <v>0</v>
      </c>
      <c r="BK104" s="219">
        <f t="shared" si="166"/>
        <v>0</v>
      </c>
      <c r="BL104" s="215">
        <f t="shared" si="112"/>
        <v>0</v>
      </c>
      <c r="BM104" s="215">
        <f t="shared" si="167"/>
        <v>0</v>
      </c>
      <c r="BN104" s="61">
        <f t="shared" si="150"/>
        <v>0</v>
      </c>
      <c r="BO104" s="58">
        <v>0</v>
      </c>
      <c r="BP104" s="49">
        <f t="shared" ref="BP104:BP135" si="184">(BM104^2)*Rdcr3</f>
        <v>0</v>
      </c>
      <c r="BQ104" s="61">
        <f t="shared" si="148"/>
        <v>0</v>
      </c>
      <c r="BR104" s="58">
        <f t="shared" ref="BR104:BR135" si="185">(VOUT3+((NS3_/Np)*S104))*QRR3_*Fsw</f>
        <v>0</v>
      </c>
      <c r="BS104" s="49">
        <f t="shared" ref="BS104:BS135" si="186">BM104*VD3_</f>
        <v>0</v>
      </c>
      <c r="BT104" s="61">
        <f t="shared" si="149"/>
        <v>0</v>
      </c>
      <c r="BU104" s="58">
        <f t="shared" si="168"/>
        <v>2.551624685371035E-4</v>
      </c>
      <c r="BV104" s="49">
        <f t="shared" si="115"/>
        <v>5.9629500000000002E-2</v>
      </c>
      <c r="BW104" s="61">
        <f t="shared" si="169"/>
        <v>5.4000000000000003E-3</v>
      </c>
      <c r="BX104" s="49">
        <f t="shared" si="139"/>
        <v>0.21485445089942129</v>
      </c>
      <c r="BY104" s="49">
        <f t="shared" si="140"/>
        <v>0.46160224044667064</v>
      </c>
      <c r="BZ104" s="49">
        <f t="shared" ref="BZ104:BZ135" si="187">(R104/(R104+BY104))*100</f>
        <v>67.756250485983642</v>
      </c>
    </row>
    <row r="105" spans="17:78" x14ac:dyDescent="0.25">
      <c r="Q105" s="49">
        <v>98</v>
      </c>
      <c r="R105" s="219">
        <f t="shared" si="151"/>
        <v>0.98</v>
      </c>
      <c r="S105" s="215">
        <f t="shared" si="95"/>
        <v>12</v>
      </c>
      <c r="T105" s="220">
        <f t="shared" si="152"/>
        <v>8.1666666666666665E-2</v>
      </c>
      <c r="U105" s="219">
        <f t="shared" si="153"/>
        <v>2</v>
      </c>
      <c r="V105" s="215">
        <f t="shared" si="154"/>
        <v>0.55555555555555558</v>
      </c>
      <c r="W105" s="215">
        <f t="shared" si="155"/>
        <v>0.44444444444444442</v>
      </c>
      <c r="X105" s="215">
        <f t="shared" si="117"/>
        <v>0</v>
      </c>
      <c r="Y105" s="219">
        <f t="shared" si="170"/>
        <v>0.14699999999999999</v>
      </c>
      <c r="Z105" s="215">
        <f t="shared" si="156"/>
        <v>0.14673944943358574</v>
      </c>
      <c r="AA105" s="215">
        <f t="shared" si="119"/>
        <v>0.22036972471679286</v>
      </c>
      <c r="AB105" s="220">
        <f t="shared" si="157"/>
        <v>0.11402575773418556</v>
      </c>
      <c r="AC105" s="219">
        <v>0</v>
      </c>
      <c r="AD105" s="215">
        <f t="shared" si="158"/>
        <v>0.19918870089942134</v>
      </c>
      <c r="AE105" s="220">
        <f t="shared" si="120"/>
        <v>0.19918870089942134</v>
      </c>
      <c r="AF105" s="58">
        <f t="shared" si="159"/>
        <v>1.9599999999999999E-2</v>
      </c>
      <c r="AG105" s="61">
        <f t="shared" si="160"/>
        <v>1.9599999999999999E-2</v>
      </c>
      <c r="AH105" s="58">
        <f t="shared" si="161"/>
        <v>1.1311629881364004E-4</v>
      </c>
      <c r="AI105" s="49">
        <f t="shared" si="162"/>
        <v>1.0445886528202343E-2</v>
      </c>
      <c r="AJ105" s="61">
        <f t="shared" si="121"/>
        <v>1.0559002827015983E-2</v>
      </c>
      <c r="AK105" s="219">
        <f t="shared" si="163"/>
        <v>0.98</v>
      </c>
      <c r="AL105" s="215">
        <f t="shared" si="108"/>
        <v>15</v>
      </c>
      <c r="AM105" s="220">
        <f t="shared" si="171"/>
        <v>6.5333333333333327E-2</v>
      </c>
      <c r="AN105" s="219">
        <f t="shared" si="172"/>
        <v>2</v>
      </c>
      <c r="AO105" s="215">
        <f t="shared" si="173"/>
        <v>0.44444444444444442</v>
      </c>
      <c r="AP105" s="215">
        <f t="shared" si="174"/>
        <v>0.14699999999999999</v>
      </c>
      <c r="AQ105" s="215">
        <f t="shared" si="175"/>
        <v>0.14673944943358572</v>
      </c>
      <c r="AR105" s="215">
        <f t="shared" si="142"/>
        <v>0.22036972471679284</v>
      </c>
      <c r="AS105" s="220">
        <f t="shared" si="143"/>
        <v>0.10198773819182452</v>
      </c>
      <c r="AT105" s="219"/>
      <c r="AU105" s="215">
        <f t="shared" si="176"/>
        <v>6.5392568888888877E-2</v>
      </c>
      <c r="AV105" s="220">
        <f t="shared" si="144"/>
        <v>6.5392568888888877E-2</v>
      </c>
      <c r="AW105" s="219">
        <f t="shared" si="177"/>
        <v>6.8148E-2</v>
      </c>
      <c r="AX105" s="215">
        <f t="shared" si="178"/>
        <v>1.9599999999999996E-2</v>
      </c>
      <c r="AY105" s="220">
        <f t="shared" si="145"/>
        <v>8.7747999999999993E-2</v>
      </c>
      <c r="AZ105" s="219">
        <f t="shared" si="164"/>
        <v>0</v>
      </c>
      <c r="BA105" s="215">
        <f t="shared" si="165"/>
        <v>0</v>
      </c>
      <c r="BB105" s="215">
        <f t="shared" si="146"/>
        <v>0</v>
      </c>
      <c r="BC105" s="61">
        <f t="shared" si="179"/>
        <v>0</v>
      </c>
      <c r="BD105" s="58">
        <v>0</v>
      </c>
      <c r="BE105" s="49">
        <f t="shared" si="180"/>
        <v>0</v>
      </c>
      <c r="BF105" s="61">
        <f t="shared" si="147"/>
        <v>0</v>
      </c>
      <c r="BG105" s="58">
        <f t="shared" si="181"/>
        <v>0</v>
      </c>
      <c r="BH105" s="49">
        <f t="shared" si="182"/>
        <v>0</v>
      </c>
      <c r="BI105" s="61">
        <f t="shared" si="183"/>
        <v>0</v>
      </c>
      <c r="BK105" s="219">
        <f t="shared" si="166"/>
        <v>0</v>
      </c>
      <c r="BL105" s="215">
        <f t="shared" si="112"/>
        <v>0</v>
      </c>
      <c r="BM105" s="215">
        <f t="shared" si="167"/>
        <v>0</v>
      </c>
      <c r="BN105" s="61">
        <f t="shared" si="150"/>
        <v>0</v>
      </c>
      <c r="BO105" s="58">
        <v>0</v>
      </c>
      <c r="BP105" s="49">
        <f t="shared" si="184"/>
        <v>0</v>
      </c>
      <c r="BQ105" s="61">
        <f t="shared" si="148"/>
        <v>0</v>
      </c>
      <c r="BR105" s="58">
        <f t="shared" si="185"/>
        <v>0</v>
      </c>
      <c r="BS105" s="49">
        <f t="shared" si="186"/>
        <v>0</v>
      </c>
      <c r="BT105" s="61">
        <f t="shared" si="149"/>
        <v>0</v>
      </c>
      <c r="BU105" s="58">
        <f t="shared" si="168"/>
        <v>2.6003746853710356E-4</v>
      </c>
      <c r="BV105" s="49">
        <f t="shared" si="115"/>
        <v>5.9629500000000002E-2</v>
      </c>
      <c r="BW105" s="61">
        <f t="shared" si="169"/>
        <v>5.4000000000000003E-3</v>
      </c>
      <c r="BX105" s="49">
        <f t="shared" si="139"/>
        <v>0.21878870089942135</v>
      </c>
      <c r="BY105" s="49">
        <f t="shared" si="140"/>
        <v>0.46737781008386331</v>
      </c>
      <c r="BZ105" s="49">
        <f t="shared" si="187"/>
        <v>67.708651685299586</v>
      </c>
    </row>
    <row r="106" spans="17:78" x14ac:dyDescent="0.25">
      <c r="Q106" s="49">
        <v>99</v>
      </c>
      <c r="R106" s="219">
        <f t="shared" si="151"/>
        <v>0.99</v>
      </c>
      <c r="S106" s="215">
        <f t="shared" si="95"/>
        <v>12</v>
      </c>
      <c r="T106" s="220">
        <f t="shared" si="152"/>
        <v>8.2500000000000004E-2</v>
      </c>
      <c r="U106" s="219">
        <f t="shared" si="153"/>
        <v>2</v>
      </c>
      <c r="V106" s="215">
        <f t="shared" si="154"/>
        <v>0.55555555555555558</v>
      </c>
      <c r="W106" s="215">
        <f t="shared" si="155"/>
        <v>0.44444444444444442</v>
      </c>
      <c r="X106" s="215">
        <f t="shared" si="117"/>
        <v>0</v>
      </c>
      <c r="Y106" s="219">
        <f t="shared" si="170"/>
        <v>0.14849999999999999</v>
      </c>
      <c r="Z106" s="215">
        <f t="shared" si="156"/>
        <v>0.14673944943358574</v>
      </c>
      <c r="AA106" s="215">
        <f t="shared" si="119"/>
        <v>0.22186972471679287</v>
      </c>
      <c r="AB106" s="220">
        <f t="shared" si="157"/>
        <v>0.11510049273072283</v>
      </c>
      <c r="AC106" s="219">
        <v>0</v>
      </c>
      <c r="AD106" s="215">
        <f t="shared" si="158"/>
        <v>0.20296125089942132</v>
      </c>
      <c r="AE106" s="220">
        <f t="shared" si="120"/>
        <v>0.20296125089942132</v>
      </c>
      <c r="AF106" s="58">
        <f t="shared" si="159"/>
        <v>1.9800000000000002E-2</v>
      </c>
      <c r="AG106" s="61">
        <f t="shared" si="160"/>
        <v>1.9800000000000002E-2</v>
      </c>
      <c r="AH106" s="58">
        <f t="shared" si="161"/>
        <v>1.1525867381364004E-4</v>
      </c>
      <c r="AI106" s="49">
        <f t="shared" si="162"/>
        <v>1.0552477207061551E-2</v>
      </c>
      <c r="AJ106" s="61">
        <f t="shared" si="121"/>
        <v>1.0667735880875192E-2</v>
      </c>
      <c r="AK106" s="219">
        <f t="shared" si="163"/>
        <v>0.99</v>
      </c>
      <c r="AL106" s="215">
        <f t="shared" si="108"/>
        <v>15</v>
      </c>
      <c r="AM106" s="220">
        <f t="shared" si="171"/>
        <v>6.6000000000000003E-2</v>
      </c>
      <c r="AN106" s="219">
        <f t="shared" si="172"/>
        <v>2</v>
      </c>
      <c r="AO106" s="215">
        <f t="shared" si="173"/>
        <v>0.44444444444444448</v>
      </c>
      <c r="AP106" s="215">
        <f t="shared" si="174"/>
        <v>0.14849999999999999</v>
      </c>
      <c r="AQ106" s="215">
        <f t="shared" si="175"/>
        <v>0.14673944943358574</v>
      </c>
      <c r="AR106" s="215">
        <f t="shared" si="142"/>
        <v>0.22186972471679287</v>
      </c>
      <c r="AS106" s="220">
        <f t="shared" si="143"/>
        <v>0.10294901039584665</v>
      </c>
      <c r="AT106" s="219"/>
      <c r="AU106" s="215">
        <f t="shared" si="176"/>
        <v>6.6733920000000002E-2</v>
      </c>
      <c r="AV106" s="220">
        <f t="shared" si="144"/>
        <v>6.6733920000000002E-2</v>
      </c>
      <c r="AW106" s="219">
        <f t="shared" si="177"/>
        <v>6.8148E-2</v>
      </c>
      <c r="AX106" s="215">
        <f t="shared" si="178"/>
        <v>1.9800000000000002E-2</v>
      </c>
      <c r="AY106" s="220">
        <f t="shared" si="145"/>
        <v>8.7947999999999998E-2</v>
      </c>
      <c r="AZ106" s="219">
        <f t="shared" si="164"/>
        <v>0</v>
      </c>
      <c r="BA106" s="215">
        <f t="shared" si="165"/>
        <v>0</v>
      </c>
      <c r="BB106" s="215">
        <f t="shared" si="146"/>
        <v>0</v>
      </c>
      <c r="BC106" s="61">
        <f t="shared" si="179"/>
        <v>0</v>
      </c>
      <c r="BD106" s="58">
        <v>0</v>
      </c>
      <c r="BE106" s="49">
        <f t="shared" si="180"/>
        <v>0</v>
      </c>
      <c r="BF106" s="61">
        <f t="shared" si="147"/>
        <v>0</v>
      </c>
      <c r="BG106" s="58">
        <f t="shared" si="181"/>
        <v>0</v>
      </c>
      <c r="BH106" s="49">
        <f t="shared" si="182"/>
        <v>0</v>
      </c>
      <c r="BI106" s="61">
        <f t="shared" si="183"/>
        <v>0</v>
      </c>
      <c r="BK106" s="219">
        <f t="shared" si="166"/>
        <v>0</v>
      </c>
      <c r="BL106" s="215">
        <f t="shared" si="112"/>
        <v>0</v>
      </c>
      <c r="BM106" s="215">
        <f t="shared" si="167"/>
        <v>0</v>
      </c>
      <c r="BN106" s="61">
        <f t="shared" si="150"/>
        <v>0</v>
      </c>
      <c r="BO106" s="58">
        <v>0</v>
      </c>
      <c r="BP106" s="49">
        <f t="shared" si="184"/>
        <v>0</v>
      </c>
      <c r="BQ106" s="61">
        <f t="shared" si="148"/>
        <v>0</v>
      </c>
      <c r="BR106" s="58">
        <f t="shared" si="185"/>
        <v>0</v>
      </c>
      <c r="BS106" s="49">
        <f t="shared" si="186"/>
        <v>0</v>
      </c>
      <c r="BT106" s="61">
        <f t="shared" si="149"/>
        <v>0</v>
      </c>
      <c r="BU106" s="58">
        <f t="shared" si="168"/>
        <v>2.6496246853710358E-4</v>
      </c>
      <c r="BV106" s="49">
        <f t="shared" si="115"/>
        <v>5.9629500000000002E-2</v>
      </c>
      <c r="BW106" s="61">
        <f t="shared" si="169"/>
        <v>5.4000000000000003E-3</v>
      </c>
      <c r="BX106" s="49">
        <f t="shared" si="139"/>
        <v>0.22276125089942134</v>
      </c>
      <c r="BY106" s="49">
        <f t="shared" si="140"/>
        <v>0.47320536924883366</v>
      </c>
      <c r="BZ106" s="49">
        <f t="shared" si="187"/>
        <v>67.659675176577352</v>
      </c>
    </row>
    <row r="107" spans="17:78" x14ac:dyDescent="0.25">
      <c r="Q107" s="49">
        <v>100</v>
      </c>
      <c r="R107" s="219">
        <f t="shared" si="151"/>
        <v>1</v>
      </c>
      <c r="S107" s="215">
        <f t="shared" si="95"/>
        <v>12</v>
      </c>
      <c r="T107" s="220">
        <f t="shared" si="152"/>
        <v>8.3333333333333329E-2</v>
      </c>
      <c r="U107" s="219">
        <f t="shared" si="153"/>
        <v>2</v>
      </c>
      <c r="V107" s="215">
        <f t="shared" si="154"/>
        <v>0.55555555555555558</v>
      </c>
      <c r="W107" s="215">
        <f t="shared" si="155"/>
        <v>0.44444444444444442</v>
      </c>
      <c r="X107" s="215">
        <f t="shared" si="117"/>
        <v>0</v>
      </c>
      <c r="Y107" s="219">
        <f t="shared" si="170"/>
        <v>0.15</v>
      </c>
      <c r="Z107" s="215">
        <f t="shared" si="156"/>
        <v>0.14673944943358574</v>
      </c>
      <c r="AA107" s="215">
        <f t="shared" si="119"/>
        <v>0.22336972471679287</v>
      </c>
      <c r="AB107" s="220">
        <f t="shared" si="157"/>
        <v>0.11617604497853755</v>
      </c>
      <c r="AC107" s="219">
        <v>0</v>
      </c>
      <c r="AD107" s="215">
        <f t="shared" si="158"/>
        <v>0.20677210089942136</v>
      </c>
      <c r="AE107" s="220">
        <f t="shared" si="120"/>
        <v>0.20677210089942136</v>
      </c>
      <c r="AF107" s="58">
        <f t="shared" si="159"/>
        <v>0.02</v>
      </c>
      <c r="AG107" s="61">
        <f t="shared" si="160"/>
        <v>0.02</v>
      </c>
      <c r="AH107" s="58">
        <f t="shared" si="161"/>
        <v>1.1742279881364005E-4</v>
      </c>
      <c r="AI107" s="49">
        <f t="shared" si="162"/>
        <v>1.0659067885920758E-2</v>
      </c>
      <c r="AJ107" s="61">
        <f t="shared" si="121"/>
        <v>1.0776490684734397E-2</v>
      </c>
      <c r="AK107" s="219">
        <f t="shared" si="163"/>
        <v>1</v>
      </c>
      <c r="AL107" s="215">
        <f t="shared" si="108"/>
        <v>15</v>
      </c>
      <c r="AM107" s="220">
        <f t="shared" si="171"/>
        <v>6.6666666666666666E-2</v>
      </c>
      <c r="AN107" s="219">
        <f t="shared" si="172"/>
        <v>2</v>
      </c>
      <c r="AO107" s="215">
        <f t="shared" si="173"/>
        <v>0.44444444444444448</v>
      </c>
      <c r="AP107" s="215">
        <f t="shared" si="174"/>
        <v>0.15</v>
      </c>
      <c r="AQ107" s="215">
        <f t="shared" si="175"/>
        <v>0.14673944943358574</v>
      </c>
      <c r="AR107" s="215">
        <f t="shared" si="142"/>
        <v>0.22336972471679287</v>
      </c>
      <c r="AS107" s="220">
        <f t="shared" si="143"/>
        <v>0.10391101357163322</v>
      </c>
      <c r="AT107" s="219"/>
      <c r="AU107" s="215">
        <f t="shared" si="176"/>
        <v>6.8088888888888893E-2</v>
      </c>
      <c r="AV107" s="220">
        <f t="shared" si="144"/>
        <v>6.8088888888888893E-2</v>
      </c>
      <c r="AW107" s="219">
        <f t="shared" si="177"/>
        <v>6.8148E-2</v>
      </c>
      <c r="AX107" s="215">
        <f t="shared" si="178"/>
        <v>0.02</v>
      </c>
      <c r="AY107" s="220">
        <f t="shared" si="145"/>
        <v>8.8148000000000004E-2</v>
      </c>
      <c r="AZ107" s="219">
        <f t="shared" si="164"/>
        <v>0</v>
      </c>
      <c r="BA107" s="215">
        <f t="shared" si="165"/>
        <v>0</v>
      </c>
      <c r="BB107" s="215">
        <f t="shared" si="146"/>
        <v>0</v>
      </c>
      <c r="BC107" s="61">
        <f t="shared" si="179"/>
        <v>0</v>
      </c>
      <c r="BD107" s="58">
        <v>0</v>
      </c>
      <c r="BE107" s="49">
        <f t="shared" si="180"/>
        <v>0</v>
      </c>
      <c r="BF107" s="61">
        <f t="shared" si="147"/>
        <v>0</v>
      </c>
      <c r="BG107" s="58">
        <f t="shared" si="181"/>
        <v>0</v>
      </c>
      <c r="BH107" s="49">
        <f t="shared" si="182"/>
        <v>0</v>
      </c>
      <c r="BI107" s="61">
        <f t="shared" si="183"/>
        <v>0</v>
      </c>
      <c r="BK107" s="219">
        <f t="shared" si="166"/>
        <v>0</v>
      </c>
      <c r="BL107" s="215">
        <f t="shared" si="112"/>
        <v>0</v>
      </c>
      <c r="BM107" s="215">
        <f t="shared" si="167"/>
        <v>0</v>
      </c>
      <c r="BN107" s="61">
        <f t="shared" si="150"/>
        <v>0</v>
      </c>
      <c r="BO107" s="58">
        <v>0</v>
      </c>
      <c r="BP107" s="49">
        <f t="shared" si="184"/>
        <v>0</v>
      </c>
      <c r="BQ107" s="61">
        <f t="shared" si="148"/>
        <v>0</v>
      </c>
      <c r="BR107" s="58">
        <f t="shared" si="185"/>
        <v>0</v>
      </c>
      <c r="BS107" s="49">
        <f t="shared" si="186"/>
        <v>0</v>
      </c>
      <c r="BT107" s="61">
        <f t="shared" si="149"/>
        <v>0</v>
      </c>
      <c r="BU107" s="58">
        <f t="shared" si="168"/>
        <v>2.6993746853710358E-4</v>
      </c>
      <c r="BV107" s="49">
        <f t="shared" si="115"/>
        <v>5.9629500000000002E-2</v>
      </c>
      <c r="BW107" s="61">
        <f t="shared" si="169"/>
        <v>5.4000000000000003E-3</v>
      </c>
      <c r="BX107" s="49">
        <f t="shared" si="139"/>
        <v>0.22677210089942135</v>
      </c>
      <c r="BY107" s="49">
        <f t="shared" si="140"/>
        <v>0.47908491794158181</v>
      </c>
      <c r="BZ107" s="49">
        <f t="shared" si="187"/>
        <v>67.6093703525612</v>
      </c>
    </row>
    <row r="108" spans="17:78" x14ac:dyDescent="0.25">
      <c r="Q108" s="49">
        <v>101</v>
      </c>
      <c r="R108" s="219">
        <f t="shared" si="151"/>
        <v>1.01</v>
      </c>
      <c r="S108" s="215">
        <f t="shared" si="95"/>
        <v>12</v>
      </c>
      <c r="T108" s="220">
        <f t="shared" si="152"/>
        <v>8.4166666666666667E-2</v>
      </c>
      <c r="U108" s="219">
        <f t="shared" si="153"/>
        <v>2</v>
      </c>
      <c r="V108" s="215">
        <f t="shared" si="154"/>
        <v>0.55555555555555558</v>
      </c>
      <c r="W108" s="215">
        <f t="shared" si="155"/>
        <v>0.44444444444444442</v>
      </c>
      <c r="X108" s="215">
        <f t="shared" si="117"/>
        <v>0</v>
      </c>
      <c r="Y108" s="219">
        <f t="shared" si="170"/>
        <v>0.1515</v>
      </c>
      <c r="Z108" s="215">
        <f t="shared" si="156"/>
        <v>0.14673944943358574</v>
      </c>
      <c r="AA108" s="215">
        <f t="shared" si="119"/>
        <v>0.22486972471679287</v>
      </c>
      <c r="AB108" s="220">
        <f t="shared" si="157"/>
        <v>0.11725239198777644</v>
      </c>
      <c r="AC108" s="219">
        <v>0</v>
      </c>
      <c r="AD108" s="215">
        <f t="shared" si="158"/>
        <v>0.21062125089942138</v>
      </c>
      <c r="AE108" s="220">
        <f t="shared" si="120"/>
        <v>0.21062125089942138</v>
      </c>
      <c r="AF108" s="58">
        <f t="shared" si="159"/>
        <v>2.0199999999999999E-2</v>
      </c>
      <c r="AG108" s="61">
        <f t="shared" si="160"/>
        <v>2.0199999999999999E-2</v>
      </c>
      <c r="AH108" s="58">
        <f t="shared" si="161"/>
        <v>1.1960867381364007E-4</v>
      </c>
      <c r="AI108" s="49">
        <f t="shared" si="162"/>
        <v>1.0765658564779965E-2</v>
      </c>
      <c r="AJ108" s="61">
        <f t="shared" si="121"/>
        <v>1.0885267238593605E-2</v>
      </c>
      <c r="AK108" s="219">
        <f t="shared" si="163"/>
        <v>1.01</v>
      </c>
      <c r="AL108" s="215">
        <f t="shared" si="108"/>
        <v>15</v>
      </c>
      <c r="AM108" s="220">
        <f t="shared" si="171"/>
        <v>6.7333333333333328E-2</v>
      </c>
      <c r="AN108" s="219">
        <f t="shared" si="172"/>
        <v>2</v>
      </c>
      <c r="AO108" s="215">
        <f t="shared" si="173"/>
        <v>0.44444444444444442</v>
      </c>
      <c r="AP108" s="215">
        <f t="shared" si="174"/>
        <v>0.1515</v>
      </c>
      <c r="AQ108" s="215">
        <f t="shared" si="175"/>
        <v>0.14673944943358572</v>
      </c>
      <c r="AR108" s="215">
        <f t="shared" si="142"/>
        <v>0.22486972471679284</v>
      </c>
      <c r="AS108" s="220">
        <f t="shared" si="143"/>
        <v>0.10487372760364791</v>
      </c>
      <c r="AT108" s="219"/>
      <c r="AU108" s="215">
        <f t="shared" si="176"/>
        <v>6.9457475555555551E-2</v>
      </c>
      <c r="AV108" s="220">
        <f t="shared" si="144"/>
        <v>6.9457475555555551E-2</v>
      </c>
      <c r="AW108" s="219">
        <f t="shared" si="177"/>
        <v>6.8148E-2</v>
      </c>
      <c r="AX108" s="215">
        <f t="shared" si="178"/>
        <v>2.0199999999999999E-2</v>
      </c>
      <c r="AY108" s="220">
        <f t="shared" si="145"/>
        <v>8.8347999999999996E-2</v>
      </c>
      <c r="AZ108" s="219">
        <f t="shared" si="164"/>
        <v>0</v>
      </c>
      <c r="BA108" s="215">
        <f t="shared" si="165"/>
        <v>0</v>
      </c>
      <c r="BB108" s="215">
        <f t="shared" si="146"/>
        <v>0</v>
      </c>
      <c r="BC108" s="61">
        <f t="shared" si="179"/>
        <v>0</v>
      </c>
      <c r="BD108" s="58">
        <v>0</v>
      </c>
      <c r="BE108" s="49">
        <f t="shared" si="180"/>
        <v>0</v>
      </c>
      <c r="BF108" s="61">
        <f t="shared" si="147"/>
        <v>0</v>
      </c>
      <c r="BG108" s="58">
        <f t="shared" si="181"/>
        <v>0</v>
      </c>
      <c r="BH108" s="49">
        <f t="shared" si="182"/>
        <v>0</v>
      </c>
      <c r="BI108" s="61">
        <f t="shared" si="183"/>
        <v>0</v>
      </c>
      <c r="BK108" s="219">
        <f t="shared" si="166"/>
        <v>0</v>
      </c>
      <c r="BL108" s="215">
        <f t="shared" si="112"/>
        <v>0</v>
      </c>
      <c r="BM108" s="215">
        <f t="shared" si="167"/>
        <v>0</v>
      </c>
      <c r="BN108" s="61">
        <f t="shared" si="150"/>
        <v>0</v>
      </c>
      <c r="BO108" s="58">
        <v>0</v>
      </c>
      <c r="BP108" s="49">
        <f t="shared" si="184"/>
        <v>0</v>
      </c>
      <c r="BQ108" s="61">
        <f t="shared" si="148"/>
        <v>0</v>
      </c>
      <c r="BR108" s="58">
        <f t="shared" si="185"/>
        <v>0</v>
      </c>
      <c r="BS108" s="49">
        <f t="shared" si="186"/>
        <v>0</v>
      </c>
      <c r="BT108" s="61">
        <f t="shared" si="149"/>
        <v>0</v>
      </c>
      <c r="BU108" s="58">
        <f t="shared" si="168"/>
        <v>2.7496246853710361E-4</v>
      </c>
      <c r="BV108" s="49">
        <f t="shared" si="115"/>
        <v>5.9629500000000002E-2</v>
      </c>
      <c r="BW108" s="61">
        <f t="shared" si="169"/>
        <v>5.4000000000000003E-3</v>
      </c>
      <c r="BX108" s="49">
        <f t="shared" si="139"/>
        <v>0.23082125089942138</v>
      </c>
      <c r="BY108" s="49">
        <f t="shared" si="140"/>
        <v>0.48501645616210765</v>
      </c>
      <c r="BZ108" s="49">
        <f t="shared" si="187"/>
        <v>67.557784788054775</v>
      </c>
    </row>
    <row r="109" spans="17:78" x14ac:dyDescent="0.25">
      <c r="Q109" s="49">
        <v>102</v>
      </c>
      <c r="R109" s="219">
        <f t="shared" si="151"/>
        <v>1.02</v>
      </c>
      <c r="S109" s="215">
        <f t="shared" si="95"/>
        <v>12</v>
      </c>
      <c r="T109" s="220">
        <f t="shared" si="152"/>
        <v>8.5000000000000006E-2</v>
      </c>
      <c r="U109" s="219">
        <f t="shared" si="153"/>
        <v>2</v>
      </c>
      <c r="V109" s="215">
        <f t="shared" si="154"/>
        <v>0.55555555555555558</v>
      </c>
      <c r="W109" s="215">
        <f t="shared" si="155"/>
        <v>0.44444444444444442</v>
      </c>
      <c r="X109" s="215">
        <f t="shared" si="117"/>
        <v>0</v>
      </c>
      <c r="Y109" s="219">
        <f t="shared" si="170"/>
        <v>0.153</v>
      </c>
      <c r="Z109" s="215">
        <f t="shared" si="156"/>
        <v>0.14673944943358574</v>
      </c>
      <c r="AA109" s="215">
        <f t="shared" si="119"/>
        <v>0.22636972471679287</v>
      </c>
      <c r="AB109" s="220">
        <f t="shared" si="157"/>
        <v>0.11832951207055313</v>
      </c>
      <c r="AC109" s="219">
        <v>0</v>
      </c>
      <c r="AD109" s="215">
        <f t="shared" si="158"/>
        <v>0.21450870089942134</v>
      </c>
      <c r="AE109" s="220">
        <f t="shared" si="120"/>
        <v>0.21450870089942134</v>
      </c>
      <c r="AF109" s="58">
        <f t="shared" si="159"/>
        <v>2.0400000000000001E-2</v>
      </c>
      <c r="AG109" s="61">
        <f t="shared" si="160"/>
        <v>2.0400000000000001E-2</v>
      </c>
      <c r="AH109" s="58">
        <f t="shared" si="161"/>
        <v>1.2181629881364005E-4</v>
      </c>
      <c r="AI109" s="49">
        <f t="shared" si="162"/>
        <v>1.0872249243639174E-2</v>
      </c>
      <c r="AJ109" s="61">
        <f t="shared" si="121"/>
        <v>1.0994065542452814E-2</v>
      </c>
      <c r="AK109" s="219">
        <f t="shared" si="163"/>
        <v>1.02</v>
      </c>
      <c r="AL109" s="215">
        <f t="shared" si="108"/>
        <v>15</v>
      </c>
      <c r="AM109" s="220">
        <f t="shared" si="171"/>
        <v>6.8000000000000005E-2</v>
      </c>
      <c r="AN109" s="219">
        <f t="shared" si="172"/>
        <v>2</v>
      </c>
      <c r="AO109" s="215">
        <f t="shared" si="173"/>
        <v>0.44444444444444448</v>
      </c>
      <c r="AP109" s="215">
        <f t="shared" si="174"/>
        <v>0.153</v>
      </c>
      <c r="AQ109" s="215">
        <f t="shared" si="175"/>
        <v>0.14673944943358574</v>
      </c>
      <c r="AR109" s="215">
        <f t="shared" si="142"/>
        <v>0.22636972471679287</v>
      </c>
      <c r="AS109" s="220">
        <f t="shared" si="143"/>
        <v>0.10583713309365549</v>
      </c>
      <c r="AT109" s="219"/>
      <c r="AU109" s="215">
        <f t="shared" si="176"/>
        <v>7.0839680000000016E-2</v>
      </c>
      <c r="AV109" s="220">
        <f t="shared" si="144"/>
        <v>7.0839680000000016E-2</v>
      </c>
      <c r="AW109" s="219">
        <f t="shared" si="177"/>
        <v>6.8148E-2</v>
      </c>
      <c r="AX109" s="215">
        <f t="shared" si="178"/>
        <v>2.0400000000000001E-2</v>
      </c>
      <c r="AY109" s="220">
        <f t="shared" si="145"/>
        <v>8.8548000000000002E-2</v>
      </c>
      <c r="AZ109" s="219">
        <f t="shared" si="164"/>
        <v>0</v>
      </c>
      <c r="BA109" s="215">
        <f t="shared" si="165"/>
        <v>0</v>
      </c>
      <c r="BB109" s="215">
        <f t="shared" si="146"/>
        <v>0</v>
      </c>
      <c r="BC109" s="61">
        <f t="shared" si="179"/>
        <v>0</v>
      </c>
      <c r="BD109" s="58">
        <v>0</v>
      </c>
      <c r="BE109" s="49">
        <f t="shared" si="180"/>
        <v>0</v>
      </c>
      <c r="BF109" s="61">
        <f t="shared" si="147"/>
        <v>0</v>
      </c>
      <c r="BG109" s="58">
        <f t="shared" si="181"/>
        <v>0</v>
      </c>
      <c r="BH109" s="49">
        <f t="shared" si="182"/>
        <v>0</v>
      </c>
      <c r="BI109" s="61">
        <f t="shared" si="183"/>
        <v>0</v>
      </c>
      <c r="BK109" s="219">
        <f t="shared" si="166"/>
        <v>0</v>
      </c>
      <c r="BL109" s="215">
        <f t="shared" si="112"/>
        <v>0</v>
      </c>
      <c r="BM109" s="215">
        <f t="shared" si="167"/>
        <v>0</v>
      </c>
      <c r="BN109" s="61">
        <f t="shared" si="150"/>
        <v>0</v>
      </c>
      <c r="BO109" s="58">
        <v>0</v>
      </c>
      <c r="BP109" s="49">
        <f t="shared" si="184"/>
        <v>0</v>
      </c>
      <c r="BQ109" s="61">
        <f t="shared" si="148"/>
        <v>0</v>
      </c>
      <c r="BR109" s="58">
        <f t="shared" si="185"/>
        <v>0</v>
      </c>
      <c r="BS109" s="49">
        <f t="shared" si="186"/>
        <v>0</v>
      </c>
      <c r="BT109" s="61">
        <f t="shared" si="149"/>
        <v>0</v>
      </c>
      <c r="BU109" s="58">
        <f t="shared" si="168"/>
        <v>2.8003746853710361E-4</v>
      </c>
      <c r="BV109" s="49">
        <f t="shared" si="115"/>
        <v>5.9629500000000002E-2</v>
      </c>
      <c r="BW109" s="61">
        <f t="shared" si="169"/>
        <v>5.4000000000000003E-3</v>
      </c>
      <c r="BX109" s="49">
        <f t="shared" si="139"/>
        <v>0.23490870089942134</v>
      </c>
      <c r="BY109" s="49">
        <f t="shared" si="140"/>
        <v>0.49099998391041122</v>
      </c>
      <c r="BZ109" s="49">
        <f t="shared" si="187"/>
        <v>67.504964319078169</v>
      </c>
    </row>
    <row r="110" spans="17:78" x14ac:dyDescent="0.25">
      <c r="Q110" s="49">
        <v>103</v>
      </c>
      <c r="R110" s="219">
        <f t="shared" si="151"/>
        <v>1.03</v>
      </c>
      <c r="S110" s="215">
        <f t="shared" si="95"/>
        <v>12</v>
      </c>
      <c r="T110" s="220">
        <f t="shared" si="152"/>
        <v>8.5833333333333331E-2</v>
      </c>
      <c r="U110" s="219">
        <f t="shared" si="153"/>
        <v>2</v>
      </c>
      <c r="V110" s="215">
        <f t="shared" si="154"/>
        <v>0.55555555555555558</v>
      </c>
      <c r="W110" s="215">
        <f t="shared" si="155"/>
        <v>0.44444444444444442</v>
      </c>
      <c r="X110" s="215">
        <f t="shared" si="117"/>
        <v>0</v>
      </c>
      <c r="Y110" s="219">
        <f t="shared" si="170"/>
        <v>0.1545</v>
      </c>
      <c r="Z110" s="215">
        <f t="shared" si="156"/>
        <v>0.14673944943358574</v>
      </c>
      <c r="AA110" s="215">
        <f t="shared" si="119"/>
        <v>0.22786972471679287</v>
      </c>
      <c r="AB110" s="220">
        <f t="shared" si="157"/>
        <v>0.11940738430622781</v>
      </c>
      <c r="AC110" s="219">
        <v>0</v>
      </c>
      <c r="AD110" s="215">
        <f t="shared" si="158"/>
        <v>0.21843445089942137</v>
      </c>
      <c r="AE110" s="220">
        <f t="shared" si="120"/>
        <v>0.21843445089942137</v>
      </c>
      <c r="AF110" s="58">
        <f t="shared" si="159"/>
        <v>2.06E-2</v>
      </c>
      <c r="AG110" s="61">
        <f t="shared" si="160"/>
        <v>2.06E-2</v>
      </c>
      <c r="AH110" s="58">
        <f t="shared" si="161"/>
        <v>1.2404567381364007E-4</v>
      </c>
      <c r="AI110" s="49">
        <f t="shared" si="162"/>
        <v>1.0978839922498382E-2</v>
      </c>
      <c r="AJ110" s="61">
        <f t="shared" si="121"/>
        <v>1.1102885596312022E-2</v>
      </c>
      <c r="AK110" s="219">
        <f t="shared" si="163"/>
        <v>1.03</v>
      </c>
      <c r="AL110" s="215">
        <f t="shared" si="108"/>
        <v>15</v>
      </c>
      <c r="AM110" s="220">
        <f t="shared" si="171"/>
        <v>6.8666666666666668E-2</v>
      </c>
      <c r="AN110" s="219">
        <f t="shared" si="172"/>
        <v>2</v>
      </c>
      <c r="AO110" s="215">
        <f t="shared" si="173"/>
        <v>0.44444444444444448</v>
      </c>
      <c r="AP110" s="215">
        <f t="shared" si="174"/>
        <v>0.1545</v>
      </c>
      <c r="AQ110" s="215">
        <f t="shared" si="175"/>
        <v>0.14673944943358574</v>
      </c>
      <c r="AR110" s="215">
        <f t="shared" si="142"/>
        <v>0.22786972471679287</v>
      </c>
      <c r="AS110" s="220">
        <f t="shared" si="143"/>
        <v>0.10680121132966677</v>
      </c>
      <c r="AT110" s="219"/>
      <c r="AU110" s="215">
        <f t="shared" si="176"/>
        <v>7.223550222222222E-2</v>
      </c>
      <c r="AV110" s="220">
        <f t="shared" si="144"/>
        <v>7.223550222222222E-2</v>
      </c>
      <c r="AW110" s="219">
        <f t="shared" si="177"/>
        <v>6.8148E-2</v>
      </c>
      <c r="AX110" s="215">
        <f t="shared" si="178"/>
        <v>2.06E-2</v>
      </c>
      <c r="AY110" s="220">
        <f t="shared" si="145"/>
        <v>8.8747999999999994E-2</v>
      </c>
      <c r="AZ110" s="219">
        <f t="shared" si="164"/>
        <v>0</v>
      </c>
      <c r="BA110" s="215">
        <f t="shared" si="165"/>
        <v>0</v>
      </c>
      <c r="BB110" s="215">
        <f t="shared" si="146"/>
        <v>0</v>
      </c>
      <c r="BC110" s="61">
        <f t="shared" si="179"/>
        <v>0</v>
      </c>
      <c r="BD110" s="58">
        <v>0</v>
      </c>
      <c r="BE110" s="49">
        <f t="shared" si="180"/>
        <v>0</v>
      </c>
      <c r="BF110" s="61">
        <f t="shared" si="147"/>
        <v>0</v>
      </c>
      <c r="BG110" s="58">
        <f t="shared" si="181"/>
        <v>0</v>
      </c>
      <c r="BH110" s="49">
        <f t="shared" si="182"/>
        <v>0</v>
      </c>
      <c r="BI110" s="61">
        <f t="shared" si="183"/>
        <v>0</v>
      </c>
      <c r="BK110" s="219">
        <f t="shared" si="166"/>
        <v>0</v>
      </c>
      <c r="BL110" s="215">
        <f t="shared" si="112"/>
        <v>0</v>
      </c>
      <c r="BM110" s="215">
        <f t="shared" si="167"/>
        <v>0</v>
      </c>
      <c r="BN110" s="61">
        <f t="shared" si="150"/>
        <v>0</v>
      </c>
      <c r="BO110" s="58">
        <v>0</v>
      </c>
      <c r="BP110" s="49">
        <f t="shared" si="184"/>
        <v>0</v>
      </c>
      <c r="BQ110" s="61">
        <f t="shared" si="148"/>
        <v>0</v>
      </c>
      <c r="BR110" s="58">
        <f t="shared" si="185"/>
        <v>0</v>
      </c>
      <c r="BS110" s="49">
        <f t="shared" si="186"/>
        <v>0</v>
      </c>
      <c r="BT110" s="61">
        <f t="shared" si="149"/>
        <v>0</v>
      </c>
      <c r="BU110" s="58">
        <f t="shared" si="168"/>
        <v>2.8516246853710364E-4</v>
      </c>
      <c r="BV110" s="49">
        <f t="shared" si="115"/>
        <v>5.9629500000000002E-2</v>
      </c>
      <c r="BW110" s="61">
        <f t="shared" si="169"/>
        <v>5.4000000000000003E-3</v>
      </c>
      <c r="BX110" s="49">
        <f t="shared" si="139"/>
        <v>0.23903445089942138</v>
      </c>
      <c r="BY110" s="49">
        <f t="shared" si="140"/>
        <v>0.49703550118649276</v>
      </c>
      <c r="BZ110" s="49">
        <f t="shared" si="187"/>
        <v>67.450953117966108</v>
      </c>
    </row>
    <row r="111" spans="17:78" x14ac:dyDescent="0.25">
      <c r="Q111" s="49">
        <v>104</v>
      </c>
      <c r="R111" s="219">
        <f t="shared" si="151"/>
        <v>1.04</v>
      </c>
      <c r="S111" s="215">
        <f t="shared" si="95"/>
        <v>12</v>
      </c>
      <c r="T111" s="220">
        <f t="shared" si="152"/>
        <v>8.666666666666667E-2</v>
      </c>
      <c r="U111" s="219">
        <f t="shared" si="153"/>
        <v>2</v>
      </c>
      <c r="V111" s="215">
        <f t="shared" si="154"/>
        <v>0.55555555555555558</v>
      </c>
      <c r="W111" s="215">
        <f t="shared" si="155"/>
        <v>0.44444444444444442</v>
      </c>
      <c r="X111" s="215">
        <f t="shared" si="117"/>
        <v>0</v>
      </c>
      <c r="Y111" s="219">
        <f t="shared" si="170"/>
        <v>0.156</v>
      </c>
      <c r="Z111" s="215">
        <f t="shared" si="156"/>
        <v>0.14673944943358574</v>
      </c>
      <c r="AA111" s="215">
        <f t="shared" si="119"/>
        <v>0.22936972471679287</v>
      </c>
      <c r="AB111" s="220">
        <f t="shared" si="157"/>
        <v>0.12048598850843686</v>
      </c>
      <c r="AC111" s="219">
        <v>0</v>
      </c>
      <c r="AD111" s="215">
        <f t="shared" si="158"/>
        <v>0.22239850089942134</v>
      </c>
      <c r="AE111" s="220">
        <f t="shared" si="120"/>
        <v>0.22239850089942134</v>
      </c>
      <c r="AF111" s="58">
        <f t="shared" si="159"/>
        <v>2.0800000000000003E-2</v>
      </c>
      <c r="AG111" s="61">
        <f t="shared" si="160"/>
        <v>2.0800000000000003E-2</v>
      </c>
      <c r="AH111" s="58">
        <f t="shared" si="161"/>
        <v>1.2629679881364004E-4</v>
      </c>
      <c r="AI111" s="49">
        <f t="shared" si="162"/>
        <v>1.1085430601357589E-2</v>
      </c>
      <c r="AJ111" s="61">
        <f t="shared" si="121"/>
        <v>1.1211727400171229E-2</v>
      </c>
      <c r="AK111" s="219">
        <f t="shared" si="163"/>
        <v>1.04</v>
      </c>
      <c r="AL111" s="215">
        <f t="shared" si="108"/>
        <v>15</v>
      </c>
      <c r="AM111" s="220">
        <f t="shared" si="171"/>
        <v>6.933333333333333E-2</v>
      </c>
      <c r="AN111" s="219">
        <f t="shared" si="172"/>
        <v>2</v>
      </c>
      <c r="AO111" s="215">
        <f t="shared" si="173"/>
        <v>0.44444444444444442</v>
      </c>
      <c r="AP111" s="215">
        <f t="shared" si="174"/>
        <v>0.156</v>
      </c>
      <c r="AQ111" s="215">
        <f t="shared" si="175"/>
        <v>0.14673944943358572</v>
      </c>
      <c r="AR111" s="215">
        <f t="shared" si="142"/>
        <v>0.22936972471679284</v>
      </c>
      <c r="AS111" s="220">
        <f t="shared" si="143"/>
        <v>0.10776594425644932</v>
      </c>
      <c r="AT111" s="219"/>
      <c r="AU111" s="215">
        <f t="shared" si="176"/>
        <v>7.3644942222222218E-2</v>
      </c>
      <c r="AV111" s="220">
        <f t="shared" si="144"/>
        <v>7.3644942222222218E-2</v>
      </c>
      <c r="AW111" s="219">
        <f t="shared" si="177"/>
        <v>6.8148E-2</v>
      </c>
      <c r="AX111" s="215">
        <f t="shared" si="178"/>
        <v>2.0799999999999999E-2</v>
      </c>
      <c r="AY111" s="220">
        <f t="shared" si="145"/>
        <v>8.8947999999999999E-2</v>
      </c>
      <c r="AZ111" s="219">
        <f t="shared" si="164"/>
        <v>0</v>
      </c>
      <c r="BA111" s="215">
        <f t="shared" si="165"/>
        <v>0</v>
      </c>
      <c r="BB111" s="215">
        <f t="shared" si="146"/>
        <v>0</v>
      </c>
      <c r="BC111" s="61">
        <f t="shared" si="179"/>
        <v>0</v>
      </c>
      <c r="BD111" s="58">
        <v>0</v>
      </c>
      <c r="BE111" s="49">
        <f t="shared" si="180"/>
        <v>0</v>
      </c>
      <c r="BF111" s="61">
        <f t="shared" si="147"/>
        <v>0</v>
      </c>
      <c r="BG111" s="58">
        <f t="shared" si="181"/>
        <v>0</v>
      </c>
      <c r="BH111" s="49">
        <f t="shared" si="182"/>
        <v>0</v>
      </c>
      <c r="BI111" s="61">
        <f t="shared" si="183"/>
        <v>0</v>
      </c>
      <c r="BK111" s="219">
        <f t="shared" si="166"/>
        <v>0</v>
      </c>
      <c r="BL111" s="215">
        <f t="shared" si="112"/>
        <v>0</v>
      </c>
      <c r="BM111" s="215">
        <f t="shared" si="167"/>
        <v>0</v>
      </c>
      <c r="BN111" s="61">
        <f t="shared" si="150"/>
        <v>0</v>
      </c>
      <c r="BO111" s="58">
        <v>0</v>
      </c>
      <c r="BP111" s="49">
        <f t="shared" si="184"/>
        <v>0</v>
      </c>
      <c r="BQ111" s="61">
        <f t="shared" si="148"/>
        <v>0</v>
      </c>
      <c r="BR111" s="58">
        <f t="shared" si="185"/>
        <v>0</v>
      </c>
      <c r="BS111" s="49">
        <f t="shared" si="186"/>
        <v>0</v>
      </c>
      <c r="BT111" s="61">
        <f t="shared" si="149"/>
        <v>0</v>
      </c>
      <c r="BU111" s="58">
        <f t="shared" si="168"/>
        <v>2.9033746853710359E-4</v>
      </c>
      <c r="BV111" s="49">
        <f t="shared" si="115"/>
        <v>5.9629500000000002E-2</v>
      </c>
      <c r="BW111" s="61">
        <f t="shared" si="169"/>
        <v>5.4000000000000003E-3</v>
      </c>
      <c r="BX111" s="49">
        <f t="shared" si="139"/>
        <v>0.24319850089942135</v>
      </c>
      <c r="BY111" s="49">
        <f t="shared" si="140"/>
        <v>0.50312300799035192</v>
      </c>
      <c r="BZ111" s="49">
        <f t="shared" si="187"/>
        <v>67.395793764647337</v>
      </c>
    </row>
    <row r="112" spans="17:78" x14ac:dyDescent="0.25">
      <c r="Q112" s="49">
        <v>105</v>
      </c>
      <c r="R112" s="219">
        <f t="shared" si="151"/>
        <v>1.05</v>
      </c>
      <c r="S112" s="215">
        <f t="shared" si="95"/>
        <v>12</v>
      </c>
      <c r="T112" s="220">
        <f t="shared" si="152"/>
        <v>8.7500000000000008E-2</v>
      </c>
      <c r="U112" s="219">
        <f t="shared" si="153"/>
        <v>2</v>
      </c>
      <c r="V112" s="215">
        <f t="shared" si="154"/>
        <v>0.55555555555555558</v>
      </c>
      <c r="W112" s="215">
        <f t="shared" si="155"/>
        <v>0.44444444444444442</v>
      </c>
      <c r="X112" s="215">
        <f t="shared" si="117"/>
        <v>0</v>
      </c>
      <c r="Y112" s="219">
        <f t="shared" si="170"/>
        <v>0.1575</v>
      </c>
      <c r="Z112" s="215">
        <f t="shared" si="156"/>
        <v>0.14673944943358574</v>
      </c>
      <c r="AA112" s="215">
        <f t="shared" si="119"/>
        <v>0.23086972471679287</v>
      </c>
      <c r="AB112" s="220">
        <f t="shared" si="157"/>
        <v>0.12156530519377302</v>
      </c>
      <c r="AC112" s="219">
        <v>0</v>
      </c>
      <c r="AD112" s="215">
        <f t="shared" si="158"/>
        <v>0.22640085089942133</v>
      </c>
      <c r="AE112" s="220">
        <f t="shared" si="120"/>
        <v>0.22640085089942133</v>
      </c>
      <c r="AF112" s="58">
        <f t="shared" si="159"/>
        <v>2.1000000000000001E-2</v>
      </c>
      <c r="AG112" s="61">
        <f t="shared" si="160"/>
        <v>2.1000000000000001E-2</v>
      </c>
      <c r="AH112" s="58">
        <f t="shared" si="161"/>
        <v>1.2856967381364004E-4</v>
      </c>
      <c r="AI112" s="49">
        <f t="shared" si="162"/>
        <v>1.1192021280216798E-2</v>
      </c>
      <c r="AJ112" s="61">
        <f t="shared" si="121"/>
        <v>1.1320590954030438E-2</v>
      </c>
      <c r="AK112" s="219">
        <f t="shared" si="163"/>
        <v>1.05</v>
      </c>
      <c r="AL112" s="215">
        <f t="shared" si="108"/>
        <v>15</v>
      </c>
      <c r="AM112" s="220">
        <f t="shared" si="171"/>
        <v>7.0000000000000007E-2</v>
      </c>
      <c r="AN112" s="219">
        <f t="shared" si="172"/>
        <v>2</v>
      </c>
      <c r="AO112" s="215">
        <f t="shared" si="173"/>
        <v>0.44444444444444448</v>
      </c>
      <c r="AP112" s="215">
        <f t="shared" si="174"/>
        <v>0.1575</v>
      </c>
      <c r="AQ112" s="215">
        <f t="shared" si="175"/>
        <v>0.14673944943358574</v>
      </c>
      <c r="AR112" s="215">
        <f t="shared" si="142"/>
        <v>0.23086972471679287</v>
      </c>
      <c r="AS112" s="220">
        <f t="shared" si="143"/>
        <v>0.10873131444751388</v>
      </c>
      <c r="AT112" s="219"/>
      <c r="AU112" s="215">
        <f t="shared" si="176"/>
        <v>7.506800000000001E-2</v>
      </c>
      <c r="AV112" s="220">
        <f t="shared" si="144"/>
        <v>7.506800000000001E-2</v>
      </c>
      <c r="AW112" s="219">
        <f t="shared" si="177"/>
        <v>6.8148E-2</v>
      </c>
      <c r="AX112" s="215">
        <f t="shared" si="178"/>
        <v>2.1000000000000001E-2</v>
      </c>
      <c r="AY112" s="220">
        <f t="shared" si="145"/>
        <v>8.9148000000000005E-2</v>
      </c>
      <c r="AZ112" s="219">
        <f t="shared" si="164"/>
        <v>0</v>
      </c>
      <c r="BA112" s="215">
        <f t="shared" si="165"/>
        <v>0</v>
      </c>
      <c r="BB112" s="215">
        <f t="shared" si="146"/>
        <v>0</v>
      </c>
      <c r="BC112" s="61">
        <f t="shared" si="179"/>
        <v>0</v>
      </c>
      <c r="BD112" s="58">
        <v>0</v>
      </c>
      <c r="BE112" s="49">
        <f t="shared" si="180"/>
        <v>0</v>
      </c>
      <c r="BF112" s="61">
        <f t="shared" si="147"/>
        <v>0</v>
      </c>
      <c r="BG112" s="58">
        <f t="shared" si="181"/>
        <v>0</v>
      </c>
      <c r="BH112" s="49">
        <f t="shared" si="182"/>
        <v>0</v>
      </c>
      <c r="BI112" s="61">
        <f t="shared" si="183"/>
        <v>0</v>
      </c>
      <c r="BK112" s="219">
        <f t="shared" si="166"/>
        <v>0</v>
      </c>
      <c r="BL112" s="215">
        <f t="shared" si="112"/>
        <v>0</v>
      </c>
      <c r="BM112" s="215">
        <f t="shared" si="167"/>
        <v>0</v>
      </c>
      <c r="BN112" s="61">
        <f t="shared" ref="BN112:BN143" si="188">IF(EN_OUT_3=1,BK112/BL112,0)</f>
        <v>0</v>
      </c>
      <c r="BO112" s="58">
        <v>0</v>
      </c>
      <c r="BP112" s="49">
        <f t="shared" si="184"/>
        <v>0</v>
      </c>
      <c r="BQ112" s="61">
        <f t="shared" si="148"/>
        <v>0</v>
      </c>
      <c r="BR112" s="58">
        <f t="shared" si="185"/>
        <v>0</v>
      </c>
      <c r="BS112" s="49">
        <f t="shared" si="186"/>
        <v>0</v>
      </c>
      <c r="BT112" s="61">
        <f t="shared" si="149"/>
        <v>0</v>
      </c>
      <c r="BU112" s="58">
        <f t="shared" si="168"/>
        <v>2.9556246853710357E-4</v>
      </c>
      <c r="BV112" s="49">
        <f t="shared" si="115"/>
        <v>5.9629500000000002E-2</v>
      </c>
      <c r="BW112" s="61">
        <f t="shared" si="169"/>
        <v>5.4000000000000003E-3</v>
      </c>
      <c r="BX112" s="49">
        <f t="shared" si="139"/>
        <v>0.24740085089942132</v>
      </c>
      <c r="BY112" s="49">
        <f t="shared" si="140"/>
        <v>0.50926250432198894</v>
      </c>
      <c r="BZ112" s="49">
        <f t="shared" si="187"/>
        <v>67.339527314329246</v>
      </c>
    </row>
    <row r="113" spans="17:78" x14ac:dyDescent="0.25">
      <c r="Q113" s="49">
        <v>106</v>
      </c>
      <c r="R113" s="219">
        <f t="shared" si="151"/>
        <v>1.06</v>
      </c>
      <c r="S113" s="215">
        <f t="shared" si="95"/>
        <v>12</v>
      </c>
      <c r="T113" s="220">
        <f t="shared" si="152"/>
        <v>8.8333333333333333E-2</v>
      </c>
      <c r="U113" s="219">
        <f t="shared" si="153"/>
        <v>2</v>
      </c>
      <c r="V113" s="215">
        <f t="shared" si="154"/>
        <v>0.55555555555555558</v>
      </c>
      <c r="W113" s="215">
        <f t="shared" si="155"/>
        <v>0.44444444444444442</v>
      </c>
      <c r="X113" s="215">
        <f t="shared" si="117"/>
        <v>0</v>
      </c>
      <c r="Y113" s="219">
        <f t="shared" si="170"/>
        <v>0.159</v>
      </c>
      <c r="Z113" s="215">
        <f t="shared" si="156"/>
        <v>0.14673944943358574</v>
      </c>
      <c r="AA113" s="215">
        <f t="shared" si="119"/>
        <v>0.23236972471679287</v>
      </c>
      <c r="AB113" s="220">
        <f t="shared" si="157"/>
        <v>0.12264531555202253</v>
      </c>
      <c r="AC113" s="219">
        <v>0</v>
      </c>
      <c r="AD113" s="215">
        <f t="shared" si="158"/>
        <v>0.23044150089942134</v>
      </c>
      <c r="AE113" s="220">
        <f t="shared" si="120"/>
        <v>0.23044150089942134</v>
      </c>
      <c r="AF113" s="58">
        <f t="shared" si="159"/>
        <v>2.12E-2</v>
      </c>
      <c r="AG113" s="61">
        <f t="shared" si="160"/>
        <v>2.12E-2</v>
      </c>
      <c r="AH113" s="58">
        <f t="shared" si="161"/>
        <v>1.3086429881364005E-4</v>
      </c>
      <c r="AI113" s="49">
        <f t="shared" si="162"/>
        <v>1.1298611959076004E-2</v>
      </c>
      <c r="AJ113" s="61">
        <f t="shared" si="121"/>
        <v>1.1429476257889645E-2</v>
      </c>
      <c r="AK113" s="219">
        <f t="shared" si="163"/>
        <v>1.06</v>
      </c>
      <c r="AL113" s="215">
        <f t="shared" si="108"/>
        <v>15</v>
      </c>
      <c r="AM113" s="220">
        <f t="shared" si="171"/>
        <v>7.0666666666666669E-2</v>
      </c>
      <c r="AN113" s="219">
        <f t="shared" si="172"/>
        <v>2</v>
      </c>
      <c r="AO113" s="215">
        <f t="shared" si="173"/>
        <v>0.44444444444444448</v>
      </c>
      <c r="AP113" s="215">
        <f t="shared" si="174"/>
        <v>0.159</v>
      </c>
      <c r="AQ113" s="215">
        <f t="shared" si="175"/>
        <v>0.14673944943358574</v>
      </c>
      <c r="AR113" s="215">
        <f t="shared" si="142"/>
        <v>0.23236972471679287</v>
      </c>
      <c r="AS113" s="220">
        <f t="shared" si="143"/>
        <v>0.1096973050784938</v>
      </c>
      <c r="AT113" s="219"/>
      <c r="AU113" s="215">
        <f t="shared" si="176"/>
        <v>7.6504675555555568E-2</v>
      </c>
      <c r="AV113" s="220">
        <f t="shared" si="144"/>
        <v>7.6504675555555568E-2</v>
      </c>
      <c r="AW113" s="219">
        <f t="shared" si="177"/>
        <v>6.8148E-2</v>
      </c>
      <c r="AX113" s="215">
        <f t="shared" si="178"/>
        <v>2.12E-2</v>
      </c>
      <c r="AY113" s="220">
        <f t="shared" si="145"/>
        <v>8.9347999999999997E-2</v>
      </c>
      <c r="AZ113" s="219">
        <f t="shared" si="164"/>
        <v>0</v>
      </c>
      <c r="BA113" s="215">
        <f t="shared" si="165"/>
        <v>0</v>
      </c>
      <c r="BB113" s="215">
        <f t="shared" si="146"/>
        <v>0</v>
      </c>
      <c r="BC113" s="61">
        <f t="shared" si="179"/>
        <v>0</v>
      </c>
      <c r="BD113" s="58">
        <v>0</v>
      </c>
      <c r="BE113" s="49">
        <f t="shared" si="180"/>
        <v>0</v>
      </c>
      <c r="BF113" s="61">
        <f t="shared" si="147"/>
        <v>0</v>
      </c>
      <c r="BG113" s="58">
        <f t="shared" si="181"/>
        <v>0</v>
      </c>
      <c r="BH113" s="49">
        <f t="shared" si="182"/>
        <v>0</v>
      </c>
      <c r="BI113" s="61">
        <f t="shared" si="183"/>
        <v>0</v>
      </c>
      <c r="BK113" s="219">
        <f t="shared" si="166"/>
        <v>0</v>
      </c>
      <c r="BL113" s="215">
        <f t="shared" si="112"/>
        <v>0</v>
      </c>
      <c r="BM113" s="215">
        <f t="shared" si="167"/>
        <v>0</v>
      </c>
      <c r="BN113" s="61">
        <f t="shared" si="188"/>
        <v>0</v>
      </c>
      <c r="BO113" s="58">
        <v>0</v>
      </c>
      <c r="BP113" s="49">
        <f t="shared" si="184"/>
        <v>0</v>
      </c>
      <c r="BQ113" s="61">
        <f t="shared" si="148"/>
        <v>0</v>
      </c>
      <c r="BR113" s="58">
        <f t="shared" si="185"/>
        <v>0</v>
      </c>
      <c r="BS113" s="49">
        <f t="shared" si="186"/>
        <v>0</v>
      </c>
      <c r="BT113" s="61">
        <f t="shared" si="149"/>
        <v>0</v>
      </c>
      <c r="BU113" s="58">
        <f t="shared" si="168"/>
        <v>3.0083746853710357E-4</v>
      </c>
      <c r="BV113" s="49">
        <f t="shared" si="115"/>
        <v>5.9629500000000002E-2</v>
      </c>
      <c r="BW113" s="61">
        <f t="shared" si="169"/>
        <v>5.4000000000000003E-3</v>
      </c>
      <c r="BX113" s="49">
        <f t="shared" si="139"/>
        <v>0.25164150089942133</v>
      </c>
      <c r="BY113" s="49">
        <f t="shared" si="140"/>
        <v>0.5154539901814037</v>
      </c>
      <c r="BZ113" s="49">
        <f t="shared" si="187"/>
        <v>67.282193361797098</v>
      </c>
    </row>
    <row r="114" spans="17:78" x14ac:dyDescent="0.25">
      <c r="Q114" s="49">
        <v>107</v>
      </c>
      <c r="R114" s="219">
        <f t="shared" si="151"/>
        <v>1.07</v>
      </c>
      <c r="S114" s="215">
        <f t="shared" si="95"/>
        <v>12</v>
      </c>
      <c r="T114" s="220">
        <f t="shared" si="152"/>
        <v>8.9166666666666672E-2</v>
      </c>
      <c r="U114" s="219">
        <f t="shared" si="153"/>
        <v>2</v>
      </c>
      <c r="V114" s="215">
        <f t="shared" si="154"/>
        <v>0.55555555555555558</v>
      </c>
      <c r="W114" s="215">
        <f t="shared" si="155"/>
        <v>0.44444444444444442</v>
      </c>
      <c r="X114" s="215">
        <f t="shared" si="117"/>
        <v>0</v>
      </c>
      <c r="Y114" s="219">
        <f t="shared" si="170"/>
        <v>0.1605</v>
      </c>
      <c r="Z114" s="215">
        <f t="shared" si="156"/>
        <v>0.14673944943358574</v>
      </c>
      <c r="AA114" s="215">
        <f t="shared" si="119"/>
        <v>0.23386972471679288</v>
      </c>
      <c r="AB114" s="220">
        <f t="shared" si="157"/>
        <v>0.12372600141787166</v>
      </c>
      <c r="AC114" s="219">
        <v>0</v>
      </c>
      <c r="AD114" s="215">
        <f t="shared" si="158"/>
        <v>0.23452045089942136</v>
      </c>
      <c r="AE114" s="220">
        <f t="shared" si="120"/>
        <v>0.23452045089942136</v>
      </c>
      <c r="AF114" s="58">
        <f t="shared" si="159"/>
        <v>2.1400000000000002E-2</v>
      </c>
      <c r="AG114" s="61">
        <f t="shared" si="160"/>
        <v>2.1400000000000002E-2</v>
      </c>
      <c r="AH114" s="58">
        <f t="shared" si="161"/>
        <v>1.3318067381364005E-4</v>
      </c>
      <c r="AI114" s="49">
        <f t="shared" si="162"/>
        <v>1.1405202637935211E-2</v>
      </c>
      <c r="AJ114" s="61">
        <f t="shared" si="121"/>
        <v>1.1538383311748852E-2</v>
      </c>
      <c r="AK114" s="219">
        <f t="shared" si="163"/>
        <v>1.07</v>
      </c>
      <c r="AL114" s="215">
        <f t="shared" si="108"/>
        <v>15</v>
      </c>
      <c r="AM114" s="220">
        <f t="shared" si="171"/>
        <v>7.1333333333333332E-2</v>
      </c>
      <c r="AN114" s="219">
        <f t="shared" si="172"/>
        <v>2</v>
      </c>
      <c r="AO114" s="215">
        <f t="shared" si="173"/>
        <v>0.44444444444444442</v>
      </c>
      <c r="AP114" s="215">
        <f t="shared" si="174"/>
        <v>0.1605</v>
      </c>
      <c r="AQ114" s="215">
        <f t="shared" si="175"/>
        <v>0.14673944943358572</v>
      </c>
      <c r="AR114" s="215">
        <f t="shared" si="142"/>
        <v>0.23386972471679285</v>
      </c>
      <c r="AS114" s="220">
        <f t="shared" si="143"/>
        <v>0.11066389990183856</v>
      </c>
      <c r="AT114" s="219"/>
      <c r="AU114" s="215">
        <f t="shared" si="176"/>
        <v>7.7954968888888879E-2</v>
      </c>
      <c r="AV114" s="220">
        <f t="shared" si="144"/>
        <v>7.7954968888888879E-2</v>
      </c>
      <c r="AW114" s="219">
        <f t="shared" si="177"/>
        <v>6.8148E-2</v>
      </c>
      <c r="AX114" s="215">
        <f t="shared" si="178"/>
        <v>2.1399999999999999E-2</v>
      </c>
      <c r="AY114" s="220">
        <f t="shared" si="145"/>
        <v>8.9548000000000003E-2</v>
      </c>
      <c r="AZ114" s="219">
        <f t="shared" si="164"/>
        <v>0</v>
      </c>
      <c r="BA114" s="215">
        <f t="shared" si="165"/>
        <v>0</v>
      </c>
      <c r="BB114" s="215">
        <f t="shared" si="146"/>
        <v>0</v>
      </c>
      <c r="BC114" s="61">
        <f t="shared" si="179"/>
        <v>0</v>
      </c>
      <c r="BD114" s="58">
        <v>0</v>
      </c>
      <c r="BE114" s="49">
        <f t="shared" si="180"/>
        <v>0</v>
      </c>
      <c r="BF114" s="61">
        <f t="shared" si="147"/>
        <v>0</v>
      </c>
      <c r="BG114" s="58">
        <f t="shared" si="181"/>
        <v>0</v>
      </c>
      <c r="BH114" s="49">
        <f t="shared" si="182"/>
        <v>0</v>
      </c>
      <c r="BI114" s="61">
        <f t="shared" si="183"/>
        <v>0</v>
      </c>
      <c r="BK114" s="219">
        <f t="shared" si="166"/>
        <v>0</v>
      </c>
      <c r="BL114" s="215">
        <f t="shared" si="112"/>
        <v>0</v>
      </c>
      <c r="BM114" s="215">
        <f t="shared" si="167"/>
        <v>0</v>
      </c>
      <c r="BN114" s="61">
        <f t="shared" si="188"/>
        <v>0</v>
      </c>
      <c r="BO114" s="58">
        <v>0</v>
      </c>
      <c r="BP114" s="49">
        <f t="shared" si="184"/>
        <v>0</v>
      </c>
      <c r="BQ114" s="61">
        <f t="shared" si="148"/>
        <v>0</v>
      </c>
      <c r="BR114" s="58">
        <f t="shared" si="185"/>
        <v>0</v>
      </c>
      <c r="BS114" s="49">
        <f t="shared" si="186"/>
        <v>0</v>
      </c>
      <c r="BT114" s="61">
        <f t="shared" si="149"/>
        <v>0</v>
      </c>
      <c r="BU114" s="58">
        <f t="shared" si="168"/>
        <v>3.0616246853710361E-4</v>
      </c>
      <c r="BV114" s="49">
        <f t="shared" si="115"/>
        <v>5.9629500000000002E-2</v>
      </c>
      <c r="BW114" s="61">
        <f t="shared" si="169"/>
        <v>5.4000000000000003E-3</v>
      </c>
      <c r="BX114" s="49">
        <f t="shared" si="139"/>
        <v>0.25592045089942139</v>
      </c>
      <c r="BY114" s="49">
        <f t="shared" si="140"/>
        <v>0.5216974655685962</v>
      </c>
      <c r="BZ114" s="49">
        <f t="shared" si="187"/>
        <v>67.223830102523152</v>
      </c>
    </row>
    <row r="115" spans="17:78" x14ac:dyDescent="0.25">
      <c r="Q115" s="49">
        <v>108</v>
      </c>
      <c r="R115" s="219">
        <f t="shared" si="151"/>
        <v>1.08</v>
      </c>
      <c r="S115" s="215">
        <f t="shared" si="95"/>
        <v>12</v>
      </c>
      <c r="T115" s="220">
        <f t="shared" si="152"/>
        <v>9.0000000000000011E-2</v>
      </c>
      <c r="U115" s="219">
        <f t="shared" si="153"/>
        <v>2</v>
      </c>
      <c r="V115" s="215">
        <f t="shared" si="154"/>
        <v>0.55555555555555558</v>
      </c>
      <c r="W115" s="215">
        <f t="shared" si="155"/>
        <v>0.44444444444444442</v>
      </c>
      <c r="X115" s="215">
        <f t="shared" si="117"/>
        <v>0</v>
      </c>
      <c r="Y115" s="219">
        <f t="shared" si="170"/>
        <v>0.16200000000000001</v>
      </c>
      <c r="Z115" s="215">
        <f t="shared" si="156"/>
        <v>0.14673944943358574</v>
      </c>
      <c r="AA115" s="215">
        <f t="shared" si="119"/>
        <v>0.23536972471679288</v>
      </c>
      <c r="AB115" s="220">
        <f t="shared" si="157"/>
        <v>0.12480734524400071</v>
      </c>
      <c r="AC115" s="219">
        <v>0</v>
      </c>
      <c r="AD115" s="215">
        <f t="shared" si="158"/>
        <v>0.23863770089942146</v>
      </c>
      <c r="AE115" s="220">
        <f t="shared" si="120"/>
        <v>0.23863770089942146</v>
      </c>
      <c r="AF115" s="58">
        <f t="shared" si="159"/>
        <v>2.1600000000000001E-2</v>
      </c>
      <c r="AG115" s="61">
        <f t="shared" si="160"/>
        <v>2.1600000000000001E-2</v>
      </c>
      <c r="AH115" s="58">
        <f t="shared" si="161"/>
        <v>1.3551879881364013E-4</v>
      </c>
      <c r="AI115" s="49">
        <f t="shared" si="162"/>
        <v>1.151179331679442E-2</v>
      </c>
      <c r="AJ115" s="61">
        <f t="shared" si="121"/>
        <v>1.164731211560806E-2</v>
      </c>
      <c r="AK115" s="219">
        <f t="shared" si="163"/>
        <v>1.08</v>
      </c>
      <c r="AL115" s="215">
        <f t="shared" si="108"/>
        <v>15</v>
      </c>
      <c r="AM115" s="220">
        <f t="shared" si="171"/>
        <v>7.2000000000000008E-2</v>
      </c>
      <c r="AN115" s="219">
        <f t="shared" si="172"/>
        <v>2</v>
      </c>
      <c r="AO115" s="215">
        <f t="shared" si="173"/>
        <v>0.44444444444444448</v>
      </c>
      <c r="AP115" s="215">
        <f t="shared" si="174"/>
        <v>0.16200000000000001</v>
      </c>
      <c r="AQ115" s="215">
        <f t="shared" si="175"/>
        <v>0.14673944943358574</v>
      </c>
      <c r="AR115" s="215">
        <f t="shared" si="142"/>
        <v>0.23536972471679288</v>
      </c>
      <c r="AS115" s="220">
        <f t="shared" si="143"/>
        <v>0.11163108322274827</v>
      </c>
      <c r="AT115" s="219"/>
      <c r="AU115" s="215">
        <f t="shared" si="176"/>
        <v>7.9418880000000025E-2</v>
      </c>
      <c r="AV115" s="220">
        <f t="shared" si="144"/>
        <v>7.9418880000000025E-2</v>
      </c>
      <c r="AW115" s="219">
        <f t="shared" si="177"/>
        <v>6.8148E-2</v>
      </c>
      <c r="AX115" s="215">
        <f t="shared" si="178"/>
        <v>2.1600000000000001E-2</v>
      </c>
      <c r="AY115" s="220">
        <f t="shared" si="145"/>
        <v>8.9747999999999994E-2</v>
      </c>
      <c r="AZ115" s="219">
        <f t="shared" si="164"/>
        <v>0</v>
      </c>
      <c r="BA115" s="215">
        <f t="shared" si="165"/>
        <v>0</v>
      </c>
      <c r="BB115" s="215">
        <f t="shared" si="146"/>
        <v>0</v>
      </c>
      <c r="BC115" s="61">
        <f t="shared" si="179"/>
        <v>0</v>
      </c>
      <c r="BD115" s="58">
        <v>0</v>
      </c>
      <c r="BE115" s="49">
        <f t="shared" si="180"/>
        <v>0</v>
      </c>
      <c r="BF115" s="61">
        <f t="shared" si="147"/>
        <v>0</v>
      </c>
      <c r="BG115" s="58">
        <f t="shared" si="181"/>
        <v>0</v>
      </c>
      <c r="BH115" s="49">
        <f t="shared" si="182"/>
        <v>0</v>
      </c>
      <c r="BI115" s="61">
        <f t="shared" si="183"/>
        <v>0</v>
      </c>
      <c r="BK115" s="219">
        <f t="shared" si="166"/>
        <v>0</v>
      </c>
      <c r="BL115" s="215">
        <f t="shared" si="112"/>
        <v>0</v>
      </c>
      <c r="BM115" s="215">
        <f t="shared" si="167"/>
        <v>0</v>
      </c>
      <c r="BN115" s="61">
        <f t="shared" si="188"/>
        <v>0</v>
      </c>
      <c r="BO115" s="58">
        <v>0</v>
      </c>
      <c r="BP115" s="49">
        <f t="shared" si="184"/>
        <v>0</v>
      </c>
      <c r="BQ115" s="61">
        <f t="shared" si="148"/>
        <v>0</v>
      </c>
      <c r="BR115" s="58">
        <f t="shared" si="185"/>
        <v>0</v>
      </c>
      <c r="BS115" s="49">
        <f t="shared" si="186"/>
        <v>0</v>
      </c>
      <c r="BT115" s="61">
        <f t="shared" si="149"/>
        <v>0</v>
      </c>
      <c r="BU115" s="58">
        <f t="shared" si="168"/>
        <v>3.1153746853710372E-4</v>
      </c>
      <c r="BV115" s="49">
        <f t="shared" si="115"/>
        <v>5.9629500000000002E-2</v>
      </c>
      <c r="BW115" s="61">
        <f t="shared" si="169"/>
        <v>5.4000000000000003E-3</v>
      </c>
      <c r="BX115" s="49">
        <f t="shared" si="139"/>
        <v>0.26023770089942144</v>
      </c>
      <c r="BY115" s="49">
        <f t="shared" si="140"/>
        <v>0.52799293048356655</v>
      </c>
      <c r="BZ115" s="49">
        <f t="shared" si="187"/>
        <v>67.164474390768319</v>
      </c>
    </row>
    <row r="116" spans="17:78" x14ac:dyDescent="0.25">
      <c r="Q116" s="49">
        <v>109</v>
      </c>
      <c r="R116" s="219">
        <f t="shared" si="151"/>
        <v>1.0900000000000001</v>
      </c>
      <c r="S116" s="215">
        <f t="shared" si="95"/>
        <v>12</v>
      </c>
      <c r="T116" s="220">
        <f t="shared" si="152"/>
        <v>9.0833333333333335E-2</v>
      </c>
      <c r="U116" s="219">
        <f t="shared" si="153"/>
        <v>2</v>
      </c>
      <c r="V116" s="215">
        <f t="shared" si="154"/>
        <v>0.55555555555555558</v>
      </c>
      <c r="W116" s="215">
        <f t="shared" si="155"/>
        <v>0.44444444444444442</v>
      </c>
      <c r="X116" s="215">
        <f t="shared" si="117"/>
        <v>0</v>
      </c>
      <c r="Y116" s="219">
        <f t="shared" si="170"/>
        <v>0.16350000000000001</v>
      </c>
      <c r="Z116" s="215">
        <f t="shared" si="156"/>
        <v>0.14673944943358574</v>
      </c>
      <c r="AA116" s="215">
        <f t="shared" si="119"/>
        <v>0.23686972471679288</v>
      </c>
      <c r="AB116" s="220">
        <f t="shared" si="157"/>
        <v>0.12588933007548808</v>
      </c>
      <c r="AC116" s="219">
        <v>0</v>
      </c>
      <c r="AD116" s="215">
        <f t="shared" si="158"/>
        <v>0.2427932508994215</v>
      </c>
      <c r="AE116" s="220">
        <f t="shared" si="120"/>
        <v>0.2427932508994215</v>
      </c>
      <c r="AF116" s="58">
        <f t="shared" si="159"/>
        <v>2.1800000000000003E-2</v>
      </c>
      <c r="AG116" s="61">
        <f t="shared" si="160"/>
        <v>2.1800000000000003E-2</v>
      </c>
      <c r="AH116" s="58">
        <f t="shared" si="161"/>
        <v>1.3787867381364013E-4</v>
      </c>
      <c r="AI116" s="49">
        <f t="shared" si="162"/>
        <v>1.1618383995653627E-2</v>
      </c>
      <c r="AJ116" s="61">
        <f t="shared" si="121"/>
        <v>1.1756262669467266E-2</v>
      </c>
      <c r="AK116" s="219">
        <f t="shared" si="163"/>
        <v>1.0900000000000001</v>
      </c>
      <c r="AL116" s="215">
        <f t="shared" si="108"/>
        <v>15</v>
      </c>
      <c r="AM116" s="220">
        <f t="shared" si="171"/>
        <v>7.2666666666666671E-2</v>
      </c>
      <c r="AN116" s="219">
        <f t="shared" si="172"/>
        <v>2</v>
      </c>
      <c r="AO116" s="215">
        <f t="shared" si="173"/>
        <v>0.44444444444444448</v>
      </c>
      <c r="AP116" s="215">
        <f t="shared" si="174"/>
        <v>0.16350000000000001</v>
      </c>
      <c r="AQ116" s="215">
        <f t="shared" si="175"/>
        <v>0.14673944943358574</v>
      </c>
      <c r="AR116" s="215">
        <f t="shared" si="142"/>
        <v>0.23686972471679288</v>
      </c>
      <c r="AS116" s="220">
        <f t="shared" si="143"/>
        <v>0.11259883987628003</v>
      </c>
      <c r="AT116" s="219"/>
      <c r="AU116" s="215">
        <f t="shared" si="176"/>
        <v>8.0896408888888896E-2</v>
      </c>
      <c r="AV116" s="220">
        <f t="shared" si="144"/>
        <v>8.0896408888888896E-2</v>
      </c>
      <c r="AW116" s="219">
        <f t="shared" si="177"/>
        <v>6.8148E-2</v>
      </c>
      <c r="AX116" s="215">
        <f t="shared" si="178"/>
        <v>2.18E-2</v>
      </c>
      <c r="AY116" s="220">
        <f t="shared" si="145"/>
        <v>8.9948E-2</v>
      </c>
      <c r="AZ116" s="219">
        <f t="shared" si="164"/>
        <v>0</v>
      </c>
      <c r="BA116" s="215">
        <f t="shared" si="165"/>
        <v>0</v>
      </c>
      <c r="BB116" s="215">
        <f t="shared" si="146"/>
        <v>0</v>
      </c>
      <c r="BC116" s="61">
        <f t="shared" si="179"/>
        <v>0</v>
      </c>
      <c r="BD116" s="58">
        <v>0</v>
      </c>
      <c r="BE116" s="49">
        <f t="shared" si="180"/>
        <v>0</v>
      </c>
      <c r="BF116" s="61">
        <f t="shared" si="147"/>
        <v>0</v>
      </c>
      <c r="BG116" s="58">
        <f t="shared" si="181"/>
        <v>0</v>
      </c>
      <c r="BH116" s="49">
        <f t="shared" si="182"/>
        <v>0</v>
      </c>
      <c r="BI116" s="61">
        <f t="shared" si="183"/>
        <v>0</v>
      </c>
      <c r="BK116" s="219">
        <f t="shared" si="166"/>
        <v>0</v>
      </c>
      <c r="BL116" s="215">
        <f t="shared" si="112"/>
        <v>0</v>
      </c>
      <c r="BM116" s="215">
        <f t="shared" si="167"/>
        <v>0</v>
      </c>
      <c r="BN116" s="61">
        <f t="shared" si="188"/>
        <v>0</v>
      </c>
      <c r="BO116" s="58">
        <v>0</v>
      </c>
      <c r="BP116" s="49">
        <f t="shared" si="184"/>
        <v>0</v>
      </c>
      <c r="BQ116" s="61">
        <f t="shared" si="148"/>
        <v>0</v>
      </c>
      <c r="BR116" s="58">
        <f t="shared" si="185"/>
        <v>0</v>
      </c>
      <c r="BS116" s="49">
        <f t="shared" si="186"/>
        <v>0</v>
      </c>
      <c r="BT116" s="61">
        <f t="shared" si="149"/>
        <v>0</v>
      </c>
      <c r="BU116" s="58">
        <f t="shared" si="168"/>
        <v>3.1696246853710376E-4</v>
      </c>
      <c r="BV116" s="49">
        <f t="shared" si="115"/>
        <v>5.9629500000000002E-2</v>
      </c>
      <c r="BW116" s="61">
        <f t="shared" si="169"/>
        <v>5.4000000000000003E-3</v>
      </c>
      <c r="BX116" s="49">
        <f t="shared" si="139"/>
        <v>0.26459325089942148</v>
      </c>
      <c r="BY116" s="49">
        <f t="shared" si="140"/>
        <v>0.53434038492631486</v>
      </c>
      <c r="BZ116" s="49">
        <f t="shared" si="187"/>
        <v>67.104161794847315</v>
      </c>
    </row>
    <row r="117" spans="17:78" x14ac:dyDescent="0.25">
      <c r="Q117" s="49">
        <v>110</v>
      </c>
      <c r="R117" s="219">
        <f t="shared" si="151"/>
        <v>1.1000000000000001</v>
      </c>
      <c r="S117" s="215">
        <f t="shared" si="95"/>
        <v>12</v>
      </c>
      <c r="T117" s="220">
        <f t="shared" si="152"/>
        <v>9.1666666666666674E-2</v>
      </c>
      <c r="U117" s="219">
        <f t="shared" si="153"/>
        <v>2</v>
      </c>
      <c r="V117" s="215">
        <f t="shared" si="154"/>
        <v>0.55555555555555558</v>
      </c>
      <c r="W117" s="215">
        <f t="shared" si="155"/>
        <v>0.44444444444444442</v>
      </c>
      <c r="X117" s="215">
        <f t="shared" si="117"/>
        <v>0</v>
      </c>
      <c r="Y117" s="219">
        <f t="shared" si="170"/>
        <v>0.16500000000000001</v>
      </c>
      <c r="Z117" s="215">
        <f t="shared" si="156"/>
        <v>0.14673944943358574</v>
      </c>
      <c r="AA117" s="215">
        <f t="shared" si="119"/>
        <v>0.23836972471679288</v>
      </c>
      <c r="AB117" s="220">
        <f t="shared" si="157"/>
        <v>0.12697193952545255</v>
      </c>
      <c r="AC117" s="219">
        <v>0</v>
      </c>
      <c r="AD117" s="215">
        <f t="shared" si="158"/>
        <v>0.24698710089942133</v>
      </c>
      <c r="AE117" s="220">
        <f t="shared" si="120"/>
        <v>0.24698710089942133</v>
      </c>
      <c r="AF117" s="58">
        <f t="shared" si="159"/>
        <v>2.2000000000000002E-2</v>
      </c>
      <c r="AG117" s="61">
        <f t="shared" si="160"/>
        <v>2.2000000000000002E-2</v>
      </c>
      <c r="AH117" s="58">
        <f t="shared" si="161"/>
        <v>1.4026029881364003E-4</v>
      </c>
      <c r="AI117" s="49">
        <f t="shared" si="162"/>
        <v>1.1724974674512835E-2</v>
      </c>
      <c r="AJ117" s="61">
        <f t="shared" si="121"/>
        <v>1.1865234973326476E-2</v>
      </c>
      <c r="AK117" s="219">
        <f t="shared" si="163"/>
        <v>1.1000000000000001</v>
      </c>
      <c r="AL117" s="215">
        <f t="shared" si="108"/>
        <v>15</v>
      </c>
      <c r="AM117" s="220">
        <f t="shared" si="171"/>
        <v>7.3333333333333334E-2</v>
      </c>
      <c r="AN117" s="219">
        <f t="shared" si="172"/>
        <v>2</v>
      </c>
      <c r="AO117" s="215">
        <f t="shared" si="173"/>
        <v>0.44444444444444442</v>
      </c>
      <c r="AP117" s="215">
        <f t="shared" si="174"/>
        <v>0.16500000000000001</v>
      </c>
      <c r="AQ117" s="215">
        <f t="shared" si="175"/>
        <v>0.14673944943358572</v>
      </c>
      <c r="AR117" s="215">
        <f t="shared" si="142"/>
        <v>0.23836972471679285</v>
      </c>
      <c r="AS117" s="220">
        <f t="shared" si="143"/>
        <v>0.11356715520556171</v>
      </c>
      <c r="AT117" s="219"/>
      <c r="AU117" s="215">
        <f t="shared" si="176"/>
        <v>8.2387555555555561E-2</v>
      </c>
      <c r="AV117" s="220">
        <f t="shared" si="144"/>
        <v>8.2387555555555561E-2</v>
      </c>
      <c r="AW117" s="219">
        <f t="shared" si="177"/>
        <v>6.8148E-2</v>
      </c>
      <c r="AX117" s="215">
        <f t="shared" si="178"/>
        <v>2.1999999999999999E-2</v>
      </c>
      <c r="AY117" s="220">
        <f t="shared" si="145"/>
        <v>9.0148000000000006E-2</v>
      </c>
      <c r="AZ117" s="219">
        <f t="shared" si="164"/>
        <v>0</v>
      </c>
      <c r="BA117" s="215">
        <f t="shared" si="165"/>
        <v>0</v>
      </c>
      <c r="BB117" s="215">
        <f t="shared" si="146"/>
        <v>0</v>
      </c>
      <c r="BC117" s="61">
        <f t="shared" si="179"/>
        <v>0</v>
      </c>
      <c r="BD117" s="58">
        <v>0</v>
      </c>
      <c r="BE117" s="49">
        <f t="shared" si="180"/>
        <v>0</v>
      </c>
      <c r="BF117" s="61">
        <f t="shared" si="147"/>
        <v>0</v>
      </c>
      <c r="BG117" s="58">
        <f t="shared" si="181"/>
        <v>0</v>
      </c>
      <c r="BH117" s="49">
        <f t="shared" si="182"/>
        <v>0</v>
      </c>
      <c r="BI117" s="61">
        <f t="shared" si="183"/>
        <v>0</v>
      </c>
      <c r="BK117" s="219">
        <f t="shared" si="166"/>
        <v>0</v>
      </c>
      <c r="BL117" s="215">
        <f t="shared" si="112"/>
        <v>0</v>
      </c>
      <c r="BM117" s="215">
        <f t="shared" si="167"/>
        <v>0</v>
      </c>
      <c r="BN117" s="61">
        <f t="shared" si="188"/>
        <v>0</v>
      </c>
      <c r="BO117" s="58">
        <v>0</v>
      </c>
      <c r="BP117" s="49">
        <f t="shared" si="184"/>
        <v>0</v>
      </c>
      <c r="BQ117" s="61">
        <f t="shared" si="148"/>
        <v>0</v>
      </c>
      <c r="BR117" s="58">
        <f t="shared" si="185"/>
        <v>0</v>
      </c>
      <c r="BS117" s="49">
        <f t="shared" si="186"/>
        <v>0</v>
      </c>
      <c r="BT117" s="61">
        <f t="shared" si="149"/>
        <v>0</v>
      </c>
      <c r="BU117" s="58">
        <f t="shared" si="168"/>
        <v>3.2243746853710355E-4</v>
      </c>
      <c r="BV117" s="49">
        <f t="shared" si="115"/>
        <v>5.9629500000000002E-2</v>
      </c>
      <c r="BW117" s="61">
        <f t="shared" si="169"/>
        <v>5.4000000000000003E-3</v>
      </c>
      <c r="BX117" s="49">
        <f t="shared" si="139"/>
        <v>0.26898710089942135</v>
      </c>
      <c r="BY117" s="49">
        <f t="shared" si="140"/>
        <v>0.54073982889684058</v>
      </c>
      <c r="BZ117" s="49">
        <f t="shared" si="187"/>
        <v>67.042926649716932</v>
      </c>
    </row>
    <row r="118" spans="17:78" x14ac:dyDescent="0.25">
      <c r="Q118" s="49">
        <v>111</v>
      </c>
      <c r="R118" s="219">
        <f t="shared" si="151"/>
        <v>1.1100000000000001</v>
      </c>
      <c r="S118" s="215">
        <f t="shared" si="95"/>
        <v>12</v>
      </c>
      <c r="T118" s="220">
        <f t="shared" si="152"/>
        <v>9.2500000000000013E-2</v>
      </c>
      <c r="U118" s="219">
        <f t="shared" si="153"/>
        <v>2</v>
      </c>
      <c r="V118" s="215">
        <f t="shared" si="154"/>
        <v>0.55555555555555558</v>
      </c>
      <c r="W118" s="215">
        <f t="shared" si="155"/>
        <v>0.44444444444444442</v>
      </c>
      <c r="X118" s="215">
        <f t="shared" si="117"/>
        <v>0</v>
      </c>
      <c r="Y118" s="219">
        <f t="shared" si="170"/>
        <v>0.16650000000000001</v>
      </c>
      <c r="Z118" s="215">
        <f t="shared" si="156"/>
        <v>0.14673944943358574</v>
      </c>
      <c r="AA118" s="215">
        <f t="shared" si="119"/>
        <v>0.23986972471679288</v>
      </c>
      <c r="AB118" s="220">
        <f t="shared" si="157"/>
        <v>0.1280551577518656</v>
      </c>
      <c r="AC118" s="219">
        <v>0</v>
      </c>
      <c r="AD118" s="215">
        <f t="shared" si="158"/>
        <v>0.25121925089942143</v>
      </c>
      <c r="AE118" s="220">
        <f t="shared" si="120"/>
        <v>0.25121925089942143</v>
      </c>
      <c r="AF118" s="58">
        <f t="shared" si="159"/>
        <v>2.2200000000000001E-2</v>
      </c>
      <c r="AG118" s="61">
        <f t="shared" si="160"/>
        <v>2.2200000000000001E-2</v>
      </c>
      <c r="AH118" s="58">
        <f t="shared" si="161"/>
        <v>1.426636738136401E-4</v>
      </c>
      <c r="AI118" s="49">
        <f t="shared" si="162"/>
        <v>1.1831565353372042E-2</v>
      </c>
      <c r="AJ118" s="61">
        <f t="shared" si="121"/>
        <v>1.1974229027185682E-2</v>
      </c>
      <c r="AK118" s="219">
        <f t="shared" si="163"/>
        <v>1.1100000000000001</v>
      </c>
      <c r="AL118" s="215">
        <f t="shared" si="108"/>
        <v>15</v>
      </c>
      <c r="AM118" s="220">
        <f t="shared" si="171"/>
        <v>7.400000000000001E-2</v>
      </c>
      <c r="AN118" s="219">
        <f t="shared" si="172"/>
        <v>2</v>
      </c>
      <c r="AO118" s="215">
        <f t="shared" si="173"/>
        <v>0.44444444444444448</v>
      </c>
      <c r="AP118" s="215">
        <f t="shared" si="174"/>
        <v>0.16650000000000001</v>
      </c>
      <c r="AQ118" s="215">
        <f t="shared" si="175"/>
        <v>0.14673944943358574</v>
      </c>
      <c r="AR118" s="215">
        <f t="shared" si="142"/>
        <v>0.23986972471679288</v>
      </c>
      <c r="AS118" s="220">
        <f t="shared" si="143"/>
        <v>0.11453601504105226</v>
      </c>
      <c r="AT118" s="219"/>
      <c r="AU118" s="215">
        <f t="shared" si="176"/>
        <v>8.3892320000000034E-2</v>
      </c>
      <c r="AV118" s="220">
        <f t="shared" si="144"/>
        <v>8.3892320000000034E-2</v>
      </c>
      <c r="AW118" s="219">
        <f t="shared" si="177"/>
        <v>6.8148E-2</v>
      </c>
      <c r="AX118" s="215">
        <f t="shared" si="178"/>
        <v>2.2200000000000001E-2</v>
      </c>
      <c r="AY118" s="220">
        <f t="shared" si="145"/>
        <v>9.0347999999999998E-2</v>
      </c>
      <c r="AZ118" s="219">
        <f t="shared" si="164"/>
        <v>0</v>
      </c>
      <c r="BA118" s="215">
        <f t="shared" si="165"/>
        <v>0</v>
      </c>
      <c r="BB118" s="215">
        <f t="shared" si="146"/>
        <v>0</v>
      </c>
      <c r="BC118" s="61">
        <f t="shared" si="179"/>
        <v>0</v>
      </c>
      <c r="BD118" s="58">
        <v>0</v>
      </c>
      <c r="BE118" s="49">
        <f t="shared" si="180"/>
        <v>0</v>
      </c>
      <c r="BF118" s="61">
        <f t="shared" si="147"/>
        <v>0</v>
      </c>
      <c r="BG118" s="58">
        <f t="shared" si="181"/>
        <v>0</v>
      </c>
      <c r="BH118" s="49">
        <f t="shared" si="182"/>
        <v>0</v>
      </c>
      <c r="BI118" s="61">
        <f t="shared" si="183"/>
        <v>0</v>
      </c>
      <c r="BK118" s="219">
        <f t="shared" si="166"/>
        <v>0</v>
      </c>
      <c r="BL118" s="215">
        <f t="shared" si="112"/>
        <v>0</v>
      </c>
      <c r="BM118" s="215">
        <f t="shared" si="167"/>
        <v>0</v>
      </c>
      <c r="BN118" s="61">
        <f t="shared" si="188"/>
        <v>0</v>
      </c>
      <c r="BO118" s="58">
        <v>0</v>
      </c>
      <c r="BP118" s="49">
        <f t="shared" si="184"/>
        <v>0</v>
      </c>
      <c r="BQ118" s="61">
        <f t="shared" si="148"/>
        <v>0</v>
      </c>
      <c r="BR118" s="58">
        <f t="shared" si="185"/>
        <v>0</v>
      </c>
      <c r="BS118" s="49">
        <f t="shared" si="186"/>
        <v>0</v>
      </c>
      <c r="BT118" s="61">
        <f t="shared" si="149"/>
        <v>0</v>
      </c>
      <c r="BU118" s="58">
        <f t="shared" si="168"/>
        <v>3.279624685371037E-4</v>
      </c>
      <c r="BV118" s="49">
        <f t="shared" si="115"/>
        <v>5.9629500000000002E-2</v>
      </c>
      <c r="BW118" s="61">
        <f t="shared" si="169"/>
        <v>5.4000000000000003E-3</v>
      </c>
      <c r="BX118" s="49">
        <f t="shared" si="139"/>
        <v>0.27341925089942143</v>
      </c>
      <c r="BY118" s="49">
        <f t="shared" si="140"/>
        <v>0.54719126239514426</v>
      </c>
      <c r="BZ118" s="49">
        <f t="shared" si="187"/>
        <v>66.980802107037007</v>
      </c>
    </row>
    <row r="119" spans="17:78" x14ac:dyDescent="0.25">
      <c r="Q119" s="49">
        <v>112</v>
      </c>
      <c r="R119" s="219">
        <f t="shared" si="151"/>
        <v>1.1200000000000001</v>
      </c>
      <c r="S119" s="215">
        <f t="shared" si="95"/>
        <v>12</v>
      </c>
      <c r="T119" s="220">
        <f t="shared" si="152"/>
        <v>9.3333333333333338E-2</v>
      </c>
      <c r="U119" s="219">
        <f t="shared" si="153"/>
        <v>2</v>
      </c>
      <c r="V119" s="215">
        <f t="shared" si="154"/>
        <v>0.55555555555555558</v>
      </c>
      <c r="W119" s="215">
        <f t="shared" si="155"/>
        <v>0.44444444444444442</v>
      </c>
      <c r="X119" s="215">
        <f t="shared" si="117"/>
        <v>0</v>
      </c>
      <c r="Y119" s="219">
        <f t="shared" si="170"/>
        <v>0.16800000000000001</v>
      </c>
      <c r="Z119" s="215">
        <f t="shared" si="156"/>
        <v>0.14673944943358574</v>
      </c>
      <c r="AA119" s="215">
        <f t="shared" si="119"/>
        <v>0.24136972471679288</v>
      </c>
      <c r="AB119" s="220">
        <f t="shared" si="157"/>
        <v>0.12913896943546971</v>
      </c>
      <c r="AC119" s="219">
        <v>0</v>
      </c>
      <c r="AD119" s="215">
        <f t="shared" si="158"/>
        <v>0.25548970089942136</v>
      </c>
      <c r="AE119" s="220">
        <f t="shared" si="120"/>
        <v>0.25548970089942136</v>
      </c>
      <c r="AF119" s="58">
        <f t="shared" si="159"/>
        <v>2.2400000000000003E-2</v>
      </c>
      <c r="AG119" s="61">
        <f t="shared" si="160"/>
        <v>2.2400000000000003E-2</v>
      </c>
      <c r="AH119" s="58">
        <f t="shared" si="161"/>
        <v>1.4508879881364005E-4</v>
      </c>
      <c r="AI119" s="49">
        <f t="shared" si="162"/>
        <v>1.1938156032231251E-2</v>
      </c>
      <c r="AJ119" s="61">
        <f t="shared" si="121"/>
        <v>1.2083244831044891E-2</v>
      </c>
      <c r="AK119" s="219">
        <f t="shared" si="163"/>
        <v>1.1200000000000001</v>
      </c>
      <c r="AL119" s="215">
        <f t="shared" si="108"/>
        <v>15</v>
      </c>
      <c r="AM119" s="220">
        <f t="shared" si="171"/>
        <v>7.4666666666666673E-2</v>
      </c>
      <c r="AN119" s="219">
        <f t="shared" si="172"/>
        <v>2</v>
      </c>
      <c r="AO119" s="215">
        <f t="shared" si="173"/>
        <v>0.44444444444444448</v>
      </c>
      <c r="AP119" s="215">
        <f t="shared" si="174"/>
        <v>0.16800000000000001</v>
      </c>
      <c r="AQ119" s="215">
        <f t="shared" si="175"/>
        <v>0.14673944943358574</v>
      </c>
      <c r="AR119" s="215">
        <f t="shared" si="142"/>
        <v>0.24136972471679288</v>
      </c>
      <c r="AS119" s="220">
        <f t="shared" si="143"/>
        <v>0.11550540568079116</v>
      </c>
      <c r="AT119" s="219"/>
      <c r="AU119" s="215">
        <f t="shared" si="176"/>
        <v>8.5410702222222246E-2</v>
      </c>
      <c r="AV119" s="220">
        <f t="shared" si="144"/>
        <v>8.5410702222222246E-2</v>
      </c>
      <c r="AW119" s="219">
        <f t="shared" si="177"/>
        <v>6.8148E-2</v>
      </c>
      <c r="AX119" s="215">
        <f t="shared" si="178"/>
        <v>2.24E-2</v>
      </c>
      <c r="AY119" s="220">
        <f t="shared" si="145"/>
        <v>9.0548000000000003E-2</v>
      </c>
      <c r="AZ119" s="219">
        <f t="shared" si="164"/>
        <v>0</v>
      </c>
      <c r="BA119" s="215">
        <f t="shared" si="165"/>
        <v>0</v>
      </c>
      <c r="BB119" s="215">
        <f t="shared" si="146"/>
        <v>0</v>
      </c>
      <c r="BC119" s="61">
        <f t="shared" si="179"/>
        <v>0</v>
      </c>
      <c r="BD119" s="58">
        <v>0</v>
      </c>
      <c r="BE119" s="49">
        <f t="shared" si="180"/>
        <v>0</v>
      </c>
      <c r="BF119" s="61">
        <f t="shared" si="147"/>
        <v>0</v>
      </c>
      <c r="BG119" s="58">
        <f t="shared" si="181"/>
        <v>0</v>
      </c>
      <c r="BH119" s="49">
        <f t="shared" si="182"/>
        <v>0</v>
      </c>
      <c r="BI119" s="61">
        <f t="shared" si="183"/>
        <v>0</v>
      </c>
      <c r="BK119" s="219">
        <f t="shared" si="166"/>
        <v>0</v>
      </c>
      <c r="BL119" s="215">
        <f t="shared" si="112"/>
        <v>0</v>
      </c>
      <c r="BM119" s="215">
        <f t="shared" si="167"/>
        <v>0</v>
      </c>
      <c r="BN119" s="61">
        <f t="shared" si="188"/>
        <v>0</v>
      </c>
      <c r="BO119" s="58">
        <v>0</v>
      </c>
      <c r="BP119" s="49">
        <f t="shared" si="184"/>
        <v>0</v>
      </c>
      <c r="BQ119" s="61">
        <f t="shared" si="148"/>
        <v>0</v>
      </c>
      <c r="BR119" s="58">
        <f t="shared" si="185"/>
        <v>0</v>
      </c>
      <c r="BS119" s="49">
        <f t="shared" si="186"/>
        <v>0</v>
      </c>
      <c r="BT119" s="61">
        <f t="shared" si="149"/>
        <v>0</v>
      </c>
      <c r="BU119" s="58">
        <f t="shared" si="168"/>
        <v>3.3353746853710355E-4</v>
      </c>
      <c r="BV119" s="49">
        <f t="shared" si="115"/>
        <v>5.9629500000000002E-2</v>
      </c>
      <c r="BW119" s="61">
        <f t="shared" si="169"/>
        <v>5.4000000000000003E-3</v>
      </c>
      <c r="BX119" s="49">
        <f t="shared" si="139"/>
        <v>0.27788970089942133</v>
      </c>
      <c r="BY119" s="49">
        <f t="shared" si="140"/>
        <v>0.55369468542122557</v>
      </c>
      <c r="BZ119" s="49">
        <f t="shared" si="187"/>
        <v>66.917820182844451</v>
      </c>
    </row>
    <row r="120" spans="17:78" x14ac:dyDescent="0.25">
      <c r="Q120" s="49">
        <v>113</v>
      </c>
      <c r="R120" s="219">
        <f t="shared" si="151"/>
        <v>1.1300000000000001</v>
      </c>
      <c r="S120" s="215">
        <f t="shared" si="95"/>
        <v>12</v>
      </c>
      <c r="T120" s="220">
        <f t="shared" si="152"/>
        <v>9.4166666666666676E-2</v>
      </c>
      <c r="U120" s="219">
        <f t="shared" si="153"/>
        <v>2</v>
      </c>
      <c r="V120" s="215">
        <f t="shared" si="154"/>
        <v>0.55555555555555558</v>
      </c>
      <c r="W120" s="215">
        <f t="shared" si="155"/>
        <v>0.44444444444444442</v>
      </c>
      <c r="X120" s="215">
        <f t="shared" si="117"/>
        <v>0</v>
      </c>
      <c r="Y120" s="219">
        <f t="shared" si="170"/>
        <v>0.16950000000000001</v>
      </c>
      <c r="Z120" s="215">
        <f t="shared" si="156"/>
        <v>0.14673944943358574</v>
      </c>
      <c r="AA120" s="215">
        <f t="shared" si="119"/>
        <v>0.24286972471679288</v>
      </c>
      <c r="AB120" s="220">
        <f t="shared" si="157"/>
        <v>0.13022335975874369</v>
      </c>
      <c r="AC120" s="219">
        <v>0</v>
      </c>
      <c r="AD120" s="215">
        <f t="shared" si="158"/>
        <v>0.25979845089942144</v>
      </c>
      <c r="AE120" s="220">
        <f t="shared" si="120"/>
        <v>0.25979845089942144</v>
      </c>
      <c r="AF120" s="58">
        <f t="shared" si="159"/>
        <v>2.2600000000000002E-2</v>
      </c>
      <c r="AG120" s="61">
        <f t="shared" si="160"/>
        <v>2.2600000000000002E-2</v>
      </c>
      <c r="AH120" s="58">
        <f t="shared" si="161"/>
        <v>1.475356738136401E-4</v>
      </c>
      <c r="AI120" s="49">
        <f t="shared" si="162"/>
        <v>1.2044746711090458E-2</v>
      </c>
      <c r="AJ120" s="61">
        <f t="shared" si="121"/>
        <v>1.2192282384904097E-2</v>
      </c>
      <c r="AK120" s="219">
        <f t="shared" si="163"/>
        <v>1.1300000000000001</v>
      </c>
      <c r="AL120" s="215">
        <f t="shared" si="108"/>
        <v>15</v>
      </c>
      <c r="AM120" s="220">
        <f t="shared" si="171"/>
        <v>7.5333333333333335E-2</v>
      </c>
      <c r="AN120" s="219">
        <f t="shared" si="172"/>
        <v>2</v>
      </c>
      <c r="AO120" s="215">
        <f t="shared" si="173"/>
        <v>0.44444444444444442</v>
      </c>
      <c r="AP120" s="215">
        <f t="shared" si="174"/>
        <v>0.16950000000000001</v>
      </c>
      <c r="AQ120" s="215">
        <f t="shared" si="175"/>
        <v>0.14673944943358572</v>
      </c>
      <c r="AR120" s="215">
        <f t="shared" si="142"/>
        <v>0.24286972471679286</v>
      </c>
      <c r="AS120" s="220">
        <f t="shared" si="143"/>
        <v>0.11647531387158458</v>
      </c>
      <c r="AT120" s="219"/>
      <c r="AU120" s="215">
        <f t="shared" si="176"/>
        <v>8.6942702222222237E-2</v>
      </c>
      <c r="AV120" s="220">
        <f t="shared" si="144"/>
        <v>8.6942702222222237E-2</v>
      </c>
      <c r="AW120" s="219">
        <f t="shared" si="177"/>
        <v>6.8148E-2</v>
      </c>
      <c r="AX120" s="215">
        <f t="shared" si="178"/>
        <v>2.2599999999999999E-2</v>
      </c>
      <c r="AY120" s="220">
        <f t="shared" si="145"/>
        <v>9.0747999999999995E-2</v>
      </c>
      <c r="AZ120" s="219">
        <f t="shared" si="164"/>
        <v>0</v>
      </c>
      <c r="BA120" s="215">
        <f t="shared" si="165"/>
        <v>0</v>
      </c>
      <c r="BB120" s="215">
        <f t="shared" si="146"/>
        <v>0</v>
      </c>
      <c r="BC120" s="61">
        <f t="shared" si="179"/>
        <v>0</v>
      </c>
      <c r="BD120" s="58">
        <v>0</v>
      </c>
      <c r="BE120" s="49">
        <f t="shared" si="180"/>
        <v>0</v>
      </c>
      <c r="BF120" s="61">
        <f t="shared" si="147"/>
        <v>0</v>
      </c>
      <c r="BG120" s="58">
        <f t="shared" si="181"/>
        <v>0</v>
      </c>
      <c r="BH120" s="49">
        <f t="shared" si="182"/>
        <v>0</v>
      </c>
      <c r="BI120" s="61">
        <f t="shared" si="183"/>
        <v>0</v>
      </c>
      <c r="BK120" s="219">
        <f t="shared" si="166"/>
        <v>0</v>
      </c>
      <c r="BL120" s="215">
        <f t="shared" si="112"/>
        <v>0</v>
      </c>
      <c r="BM120" s="215">
        <f t="shared" si="167"/>
        <v>0</v>
      </c>
      <c r="BN120" s="61">
        <f t="shared" si="188"/>
        <v>0</v>
      </c>
      <c r="BO120" s="58">
        <v>0</v>
      </c>
      <c r="BP120" s="49">
        <f t="shared" si="184"/>
        <v>0</v>
      </c>
      <c r="BQ120" s="61">
        <f t="shared" si="148"/>
        <v>0</v>
      </c>
      <c r="BR120" s="58">
        <f t="shared" si="185"/>
        <v>0</v>
      </c>
      <c r="BS120" s="49">
        <f t="shared" si="186"/>
        <v>0</v>
      </c>
      <c r="BT120" s="61">
        <f t="shared" si="149"/>
        <v>0</v>
      </c>
      <c r="BU120" s="58">
        <f t="shared" si="168"/>
        <v>3.391624685371037E-4</v>
      </c>
      <c r="BV120" s="49">
        <f t="shared" si="115"/>
        <v>5.9629500000000002E-2</v>
      </c>
      <c r="BW120" s="61">
        <f t="shared" si="169"/>
        <v>5.4000000000000003E-3</v>
      </c>
      <c r="BX120" s="49">
        <f t="shared" si="139"/>
        <v>0.28239845089942145</v>
      </c>
      <c r="BY120" s="49">
        <f t="shared" si="140"/>
        <v>0.56025009797508485</v>
      </c>
      <c r="BZ120" s="49">
        <f t="shared" si="187"/>
        <v>66.854011802971471</v>
      </c>
    </row>
    <row r="121" spans="17:78" x14ac:dyDescent="0.25">
      <c r="Q121" s="49">
        <v>114</v>
      </c>
      <c r="R121" s="219">
        <f t="shared" si="151"/>
        <v>1.1400000000000001</v>
      </c>
      <c r="S121" s="215">
        <f t="shared" si="95"/>
        <v>12</v>
      </c>
      <c r="T121" s="220">
        <f t="shared" si="152"/>
        <v>9.5000000000000015E-2</v>
      </c>
      <c r="U121" s="219">
        <f t="shared" si="153"/>
        <v>2</v>
      </c>
      <c r="V121" s="215">
        <f t="shared" si="154"/>
        <v>0.55555555555555558</v>
      </c>
      <c r="W121" s="215">
        <f t="shared" si="155"/>
        <v>0.44444444444444442</v>
      </c>
      <c r="X121" s="215">
        <f t="shared" si="117"/>
        <v>0</v>
      </c>
      <c r="Y121" s="219">
        <f t="shared" si="170"/>
        <v>0.17100000000000001</v>
      </c>
      <c r="Z121" s="215">
        <f t="shared" si="156"/>
        <v>0.14673944943358574</v>
      </c>
      <c r="AA121" s="215">
        <f t="shared" si="119"/>
        <v>0.24436972471679289</v>
      </c>
      <c r="AB121" s="220">
        <f t="shared" si="157"/>
        <v>0.13130831438585747</v>
      </c>
      <c r="AC121" s="219">
        <v>0</v>
      </c>
      <c r="AD121" s="215">
        <f t="shared" si="158"/>
        <v>0.2641455008994214</v>
      </c>
      <c r="AE121" s="220">
        <f t="shared" si="120"/>
        <v>0.2641455008994214</v>
      </c>
      <c r="AF121" s="58">
        <f t="shared" si="159"/>
        <v>2.2800000000000004E-2</v>
      </c>
      <c r="AG121" s="61">
        <f t="shared" si="160"/>
        <v>2.2800000000000004E-2</v>
      </c>
      <c r="AH121" s="58">
        <f t="shared" si="161"/>
        <v>1.5000429881364009E-4</v>
      </c>
      <c r="AI121" s="49">
        <f t="shared" si="162"/>
        <v>1.2151337389949666E-2</v>
      </c>
      <c r="AJ121" s="61">
        <f t="shared" si="121"/>
        <v>1.2301341688763307E-2</v>
      </c>
      <c r="AK121" s="219">
        <f t="shared" si="163"/>
        <v>1.1400000000000001</v>
      </c>
      <c r="AL121" s="215">
        <f t="shared" si="108"/>
        <v>15</v>
      </c>
      <c r="AM121" s="220">
        <f t="shared" si="171"/>
        <v>7.6000000000000012E-2</v>
      </c>
      <c r="AN121" s="219">
        <f t="shared" si="172"/>
        <v>2</v>
      </c>
      <c r="AO121" s="215">
        <f t="shared" si="173"/>
        <v>0.44444444444444448</v>
      </c>
      <c r="AP121" s="215">
        <f t="shared" si="174"/>
        <v>0.17100000000000001</v>
      </c>
      <c r="AQ121" s="215">
        <f t="shared" si="175"/>
        <v>0.14673944943358574</v>
      </c>
      <c r="AR121" s="215">
        <f t="shared" si="142"/>
        <v>0.24436972471679289</v>
      </c>
      <c r="AS121" s="220">
        <f t="shared" si="143"/>
        <v>0.11744572679107634</v>
      </c>
      <c r="AT121" s="219"/>
      <c r="AU121" s="215">
        <f t="shared" si="176"/>
        <v>8.8488320000000023E-2</v>
      </c>
      <c r="AV121" s="220">
        <f t="shared" si="144"/>
        <v>8.8488320000000023E-2</v>
      </c>
      <c r="AW121" s="219">
        <f t="shared" si="177"/>
        <v>6.8148E-2</v>
      </c>
      <c r="AX121" s="215">
        <f t="shared" si="178"/>
        <v>2.2800000000000004E-2</v>
      </c>
      <c r="AY121" s="220">
        <f t="shared" si="145"/>
        <v>9.0948000000000001E-2</v>
      </c>
      <c r="AZ121" s="219">
        <f t="shared" si="164"/>
        <v>0</v>
      </c>
      <c r="BA121" s="215">
        <f t="shared" si="165"/>
        <v>0</v>
      </c>
      <c r="BB121" s="215">
        <f t="shared" si="146"/>
        <v>0</v>
      </c>
      <c r="BC121" s="61">
        <f t="shared" si="179"/>
        <v>0</v>
      </c>
      <c r="BD121" s="58">
        <v>0</v>
      </c>
      <c r="BE121" s="49">
        <f t="shared" si="180"/>
        <v>0</v>
      </c>
      <c r="BF121" s="61">
        <f t="shared" si="147"/>
        <v>0</v>
      </c>
      <c r="BG121" s="58">
        <f t="shared" si="181"/>
        <v>0</v>
      </c>
      <c r="BH121" s="49">
        <f t="shared" si="182"/>
        <v>0</v>
      </c>
      <c r="BI121" s="61">
        <f t="shared" si="183"/>
        <v>0</v>
      </c>
      <c r="BK121" s="219">
        <f t="shared" si="166"/>
        <v>0</v>
      </c>
      <c r="BL121" s="215">
        <f t="shared" si="112"/>
        <v>0</v>
      </c>
      <c r="BM121" s="215">
        <f t="shared" si="167"/>
        <v>0</v>
      </c>
      <c r="BN121" s="61">
        <f t="shared" si="188"/>
        <v>0</v>
      </c>
      <c r="BO121" s="58">
        <v>0</v>
      </c>
      <c r="BP121" s="49">
        <f t="shared" si="184"/>
        <v>0</v>
      </c>
      <c r="BQ121" s="61">
        <f t="shared" si="148"/>
        <v>0</v>
      </c>
      <c r="BR121" s="58">
        <f t="shared" si="185"/>
        <v>0</v>
      </c>
      <c r="BS121" s="49">
        <f t="shared" si="186"/>
        <v>0</v>
      </c>
      <c r="BT121" s="61">
        <f t="shared" si="149"/>
        <v>0</v>
      </c>
      <c r="BU121" s="58">
        <f t="shared" si="168"/>
        <v>3.4483746853710372E-4</v>
      </c>
      <c r="BV121" s="49">
        <f t="shared" si="115"/>
        <v>5.9629500000000002E-2</v>
      </c>
      <c r="BW121" s="61">
        <f t="shared" si="169"/>
        <v>5.4000000000000003E-3</v>
      </c>
      <c r="BX121" s="49">
        <f t="shared" si="139"/>
        <v>0.28694550089942139</v>
      </c>
      <c r="BY121" s="49">
        <f t="shared" si="140"/>
        <v>0.56685750005672186</v>
      </c>
      <c r="BZ121" s="49">
        <f t="shared" si="187"/>
        <v>66.78940684633109</v>
      </c>
    </row>
    <row r="122" spans="17:78" x14ac:dyDescent="0.25">
      <c r="Q122" s="49">
        <v>115</v>
      </c>
      <c r="R122" s="219">
        <f t="shared" si="151"/>
        <v>1.1500000000000001</v>
      </c>
      <c r="S122" s="215">
        <f t="shared" si="95"/>
        <v>12</v>
      </c>
      <c r="T122" s="220">
        <f t="shared" si="152"/>
        <v>9.583333333333334E-2</v>
      </c>
      <c r="U122" s="219">
        <f t="shared" si="153"/>
        <v>2</v>
      </c>
      <c r="V122" s="215">
        <f t="shared" si="154"/>
        <v>0.55555555555555558</v>
      </c>
      <c r="W122" s="215">
        <f t="shared" si="155"/>
        <v>0.44444444444444442</v>
      </c>
      <c r="X122" s="215">
        <f t="shared" si="117"/>
        <v>0</v>
      </c>
      <c r="Y122" s="219">
        <f t="shared" si="170"/>
        <v>0.17250000000000001</v>
      </c>
      <c r="Z122" s="215">
        <f t="shared" si="156"/>
        <v>0.14673944943358574</v>
      </c>
      <c r="AA122" s="215">
        <f t="shared" si="119"/>
        <v>0.24586972471679289</v>
      </c>
      <c r="AB122" s="220">
        <f t="shared" si="157"/>
        <v>0.13239381944356457</v>
      </c>
      <c r="AC122" s="219">
        <v>0</v>
      </c>
      <c r="AD122" s="215">
        <f t="shared" si="158"/>
        <v>0.2685308508994213</v>
      </c>
      <c r="AE122" s="220">
        <f t="shared" si="120"/>
        <v>0.2685308508994213</v>
      </c>
      <c r="AF122" s="58">
        <f t="shared" si="159"/>
        <v>2.3000000000000003E-2</v>
      </c>
      <c r="AG122" s="61">
        <f t="shared" si="160"/>
        <v>2.3000000000000003E-2</v>
      </c>
      <c r="AH122" s="58">
        <f t="shared" si="161"/>
        <v>1.5249467381364001E-4</v>
      </c>
      <c r="AI122" s="49">
        <f t="shared" si="162"/>
        <v>1.2257928068808875E-2</v>
      </c>
      <c r="AJ122" s="61">
        <f t="shared" si="121"/>
        <v>1.2410422742622515E-2</v>
      </c>
      <c r="AK122" s="219">
        <f t="shared" si="163"/>
        <v>1.1500000000000001</v>
      </c>
      <c r="AL122" s="215">
        <f t="shared" si="108"/>
        <v>15</v>
      </c>
      <c r="AM122" s="220">
        <f t="shared" si="171"/>
        <v>7.6666666666666675E-2</v>
      </c>
      <c r="AN122" s="219">
        <f t="shared" si="172"/>
        <v>2</v>
      </c>
      <c r="AO122" s="215">
        <f t="shared" si="173"/>
        <v>0.44444444444444448</v>
      </c>
      <c r="AP122" s="215">
        <f t="shared" si="174"/>
        <v>0.17250000000000001</v>
      </c>
      <c r="AQ122" s="215">
        <f t="shared" si="175"/>
        <v>0.14673944943358574</v>
      </c>
      <c r="AR122" s="215">
        <f t="shared" si="142"/>
        <v>0.24586972471679289</v>
      </c>
      <c r="AS122" s="220">
        <f t="shared" si="143"/>
        <v>0.11841663203065753</v>
      </c>
      <c r="AT122" s="219"/>
      <c r="AU122" s="215">
        <f t="shared" si="176"/>
        <v>9.0047555555555575E-2</v>
      </c>
      <c r="AV122" s="220">
        <f t="shared" si="144"/>
        <v>9.0047555555555575E-2</v>
      </c>
      <c r="AW122" s="219">
        <f t="shared" si="177"/>
        <v>6.8148E-2</v>
      </c>
      <c r="AX122" s="215">
        <f t="shared" si="178"/>
        <v>2.3000000000000003E-2</v>
      </c>
      <c r="AY122" s="220">
        <f t="shared" si="145"/>
        <v>9.1148000000000007E-2</v>
      </c>
      <c r="AZ122" s="219">
        <f t="shared" si="164"/>
        <v>0</v>
      </c>
      <c r="BA122" s="215">
        <f t="shared" si="165"/>
        <v>0</v>
      </c>
      <c r="BB122" s="215">
        <f t="shared" si="146"/>
        <v>0</v>
      </c>
      <c r="BC122" s="61">
        <f t="shared" si="179"/>
        <v>0</v>
      </c>
      <c r="BD122" s="58">
        <v>0</v>
      </c>
      <c r="BE122" s="49">
        <f t="shared" si="180"/>
        <v>0</v>
      </c>
      <c r="BF122" s="61">
        <f t="shared" si="147"/>
        <v>0</v>
      </c>
      <c r="BG122" s="58">
        <f t="shared" si="181"/>
        <v>0</v>
      </c>
      <c r="BH122" s="49">
        <f t="shared" si="182"/>
        <v>0</v>
      </c>
      <c r="BI122" s="61">
        <f t="shared" si="183"/>
        <v>0</v>
      </c>
      <c r="BK122" s="219">
        <f t="shared" si="166"/>
        <v>0</v>
      </c>
      <c r="BL122" s="215">
        <f t="shared" si="112"/>
        <v>0</v>
      </c>
      <c r="BM122" s="215">
        <f t="shared" si="167"/>
        <v>0</v>
      </c>
      <c r="BN122" s="61">
        <f t="shared" si="188"/>
        <v>0</v>
      </c>
      <c r="BO122" s="58">
        <v>0</v>
      </c>
      <c r="BP122" s="49">
        <f t="shared" si="184"/>
        <v>0</v>
      </c>
      <c r="BQ122" s="61">
        <f t="shared" si="148"/>
        <v>0</v>
      </c>
      <c r="BR122" s="58">
        <f t="shared" si="185"/>
        <v>0</v>
      </c>
      <c r="BS122" s="49">
        <f t="shared" si="186"/>
        <v>0</v>
      </c>
      <c r="BT122" s="61">
        <f t="shared" si="149"/>
        <v>0</v>
      </c>
      <c r="BU122" s="58">
        <f t="shared" si="168"/>
        <v>3.5056246853710355E-4</v>
      </c>
      <c r="BV122" s="49">
        <f t="shared" si="115"/>
        <v>5.9629500000000002E-2</v>
      </c>
      <c r="BW122" s="61">
        <f t="shared" si="169"/>
        <v>5.4000000000000003E-3</v>
      </c>
      <c r="BX122" s="49">
        <f t="shared" si="139"/>
        <v>0.29153085089942132</v>
      </c>
      <c r="BY122" s="49">
        <f t="shared" si="140"/>
        <v>0.57351689166613651</v>
      </c>
      <c r="BZ122" s="49">
        <f t="shared" si="187"/>
        <v>66.724034186185818</v>
      </c>
    </row>
    <row r="123" spans="17:78" x14ac:dyDescent="0.25">
      <c r="Q123" s="49">
        <v>116</v>
      </c>
      <c r="R123" s="219">
        <f t="shared" si="151"/>
        <v>1.1599999999999999</v>
      </c>
      <c r="S123" s="215">
        <f t="shared" si="95"/>
        <v>12</v>
      </c>
      <c r="T123" s="220">
        <f t="shared" si="152"/>
        <v>9.6666666666666665E-2</v>
      </c>
      <c r="U123" s="219">
        <f t="shared" si="153"/>
        <v>2</v>
      </c>
      <c r="V123" s="215">
        <f t="shared" si="154"/>
        <v>0.55555555555555558</v>
      </c>
      <c r="W123" s="215">
        <f t="shared" si="155"/>
        <v>0.44444444444444442</v>
      </c>
      <c r="X123" s="215">
        <f t="shared" si="117"/>
        <v>0</v>
      </c>
      <c r="Y123" s="219">
        <f t="shared" si="170"/>
        <v>0.17399999999999999</v>
      </c>
      <c r="Z123" s="215">
        <f t="shared" si="156"/>
        <v>0.14673944943358574</v>
      </c>
      <c r="AA123" s="215">
        <f t="shared" si="119"/>
        <v>0.24736972471679286</v>
      </c>
      <c r="AB123" s="220">
        <f t="shared" si="157"/>
        <v>0.13347986150298172</v>
      </c>
      <c r="AC123" s="219">
        <v>0</v>
      </c>
      <c r="AD123" s="215">
        <f t="shared" si="158"/>
        <v>0.27295450089942136</v>
      </c>
      <c r="AE123" s="220">
        <f t="shared" si="120"/>
        <v>0.27295450089942136</v>
      </c>
      <c r="AF123" s="58">
        <f t="shared" si="159"/>
        <v>2.3199999999999998E-2</v>
      </c>
      <c r="AG123" s="61">
        <f t="shared" si="160"/>
        <v>2.3199999999999998E-2</v>
      </c>
      <c r="AH123" s="58">
        <f t="shared" si="161"/>
        <v>1.5500679881364006E-4</v>
      </c>
      <c r="AI123" s="49">
        <f t="shared" si="162"/>
        <v>1.236451874766808E-2</v>
      </c>
      <c r="AJ123" s="61">
        <f t="shared" si="121"/>
        <v>1.2519525546481719E-2</v>
      </c>
      <c r="AK123" s="219">
        <f t="shared" si="163"/>
        <v>1.1599999999999999</v>
      </c>
      <c r="AL123" s="215">
        <f t="shared" si="108"/>
        <v>15</v>
      </c>
      <c r="AM123" s="220">
        <f t="shared" si="171"/>
        <v>7.7333333333333323E-2</v>
      </c>
      <c r="AN123" s="219">
        <f t="shared" si="172"/>
        <v>2</v>
      </c>
      <c r="AO123" s="215">
        <f t="shared" si="173"/>
        <v>0.44444444444444442</v>
      </c>
      <c r="AP123" s="215">
        <f t="shared" si="174"/>
        <v>0.17399999999999999</v>
      </c>
      <c r="AQ123" s="215">
        <f t="shared" si="175"/>
        <v>0.14673944943358572</v>
      </c>
      <c r="AR123" s="215">
        <f t="shared" si="142"/>
        <v>0.24736972471679286</v>
      </c>
      <c r="AS123" s="220">
        <f t="shared" si="143"/>
        <v>0.11938801757916975</v>
      </c>
      <c r="AT123" s="219"/>
      <c r="AU123" s="215">
        <f t="shared" si="176"/>
        <v>9.1620408888888866E-2</v>
      </c>
      <c r="AV123" s="220">
        <f t="shared" si="144"/>
        <v>9.1620408888888866E-2</v>
      </c>
      <c r="AW123" s="219">
        <f t="shared" si="177"/>
        <v>6.8148E-2</v>
      </c>
      <c r="AX123" s="215">
        <f t="shared" si="178"/>
        <v>2.3199999999999995E-2</v>
      </c>
      <c r="AY123" s="220">
        <f t="shared" si="145"/>
        <v>9.1347999999999999E-2</v>
      </c>
      <c r="AZ123" s="219">
        <f t="shared" si="164"/>
        <v>0</v>
      </c>
      <c r="BA123" s="215">
        <f t="shared" si="165"/>
        <v>0</v>
      </c>
      <c r="BB123" s="215">
        <f t="shared" si="146"/>
        <v>0</v>
      </c>
      <c r="BC123" s="61">
        <f t="shared" si="179"/>
        <v>0</v>
      </c>
      <c r="BD123" s="58">
        <v>0</v>
      </c>
      <c r="BE123" s="49">
        <f t="shared" si="180"/>
        <v>0</v>
      </c>
      <c r="BF123" s="61">
        <f t="shared" si="147"/>
        <v>0</v>
      </c>
      <c r="BG123" s="58">
        <f t="shared" si="181"/>
        <v>0</v>
      </c>
      <c r="BH123" s="49">
        <f t="shared" si="182"/>
        <v>0</v>
      </c>
      <c r="BI123" s="61">
        <f t="shared" si="183"/>
        <v>0</v>
      </c>
      <c r="BK123" s="219">
        <f t="shared" si="166"/>
        <v>0</v>
      </c>
      <c r="BL123" s="215">
        <f t="shared" si="112"/>
        <v>0</v>
      </c>
      <c r="BM123" s="215">
        <f t="shared" si="167"/>
        <v>0</v>
      </c>
      <c r="BN123" s="61">
        <f t="shared" si="188"/>
        <v>0</v>
      </c>
      <c r="BO123" s="58">
        <v>0</v>
      </c>
      <c r="BP123" s="49">
        <f t="shared" si="184"/>
        <v>0</v>
      </c>
      <c r="BQ123" s="61">
        <f t="shared" si="148"/>
        <v>0</v>
      </c>
      <c r="BR123" s="58">
        <f t="shared" si="185"/>
        <v>0</v>
      </c>
      <c r="BS123" s="49">
        <f t="shared" si="186"/>
        <v>0</v>
      </c>
      <c r="BT123" s="61">
        <f t="shared" si="149"/>
        <v>0</v>
      </c>
      <c r="BU123" s="58">
        <f t="shared" si="168"/>
        <v>3.5633746853710362E-4</v>
      </c>
      <c r="BV123" s="49">
        <f t="shared" si="115"/>
        <v>5.9629500000000002E-2</v>
      </c>
      <c r="BW123" s="61">
        <f t="shared" si="169"/>
        <v>5.4000000000000003E-3</v>
      </c>
      <c r="BX123" s="49">
        <f t="shared" si="139"/>
        <v>0.29615450089942136</v>
      </c>
      <c r="BY123" s="49">
        <f t="shared" si="140"/>
        <v>0.58022827280332911</v>
      </c>
      <c r="BZ123" s="49">
        <f t="shared" si="187"/>
        <v>66.657921729507308</v>
      </c>
    </row>
    <row r="124" spans="17:78" x14ac:dyDescent="0.25">
      <c r="Q124" s="49">
        <v>117</v>
      </c>
      <c r="R124" s="219">
        <f t="shared" si="151"/>
        <v>1.17</v>
      </c>
      <c r="S124" s="215">
        <f t="shared" si="95"/>
        <v>12</v>
      </c>
      <c r="T124" s="220">
        <f t="shared" si="152"/>
        <v>9.7499999999999989E-2</v>
      </c>
      <c r="U124" s="219">
        <f t="shared" si="153"/>
        <v>2</v>
      </c>
      <c r="V124" s="215">
        <f t="shared" si="154"/>
        <v>0.55555555555555558</v>
      </c>
      <c r="W124" s="215">
        <f t="shared" si="155"/>
        <v>0.44444444444444442</v>
      </c>
      <c r="X124" s="215">
        <f t="shared" si="117"/>
        <v>0</v>
      </c>
      <c r="Y124" s="219">
        <f t="shared" si="170"/>
        <v>0.17549999999999999</v>
      </c>
      <c r="Z124" s="215">
        <f t="shared" si="156"/>
        <v>0.14673944943358574</v>
      </c>
      <c r="AA124" s="215">
        <f t="shared" si="119"/>
        <v>0.24886972471679286</v>
      </c>
      <c r="AB124" s="220">
        <f t="shared" si="157"/>
        <v>0.13456642756220877</v>
      </c>
      <c r="AC124" s="219">
        <v>0</v>
      </c>
      <c r="AD124" s="215">
        <f t="shared" si="158"/>
        <v>0.27741645089942135</v>
      </c>
      <c r="AE124" s="220">
        <f t="shared" si="120"/>
        <v>0.27741645089942135</v>
      </c>
      <c r="AF124" s="58">
        <f t="shared" si="159"/>
        <v>2.3400000000000001E-2</v>
      </c>
      <c r="AG124" s="61">
        <f t="shared" si="160"/>
        <v>2.3400000000000001E-2</v>
      </c>
      <c r="AH124" s="58">
        <f t="shared" si="161"/>
        <v>1.5754067381364004E-4</v>
      </c>
      <c r="AI124" s="49">
        <f t="shared" si="162"/>
        <v>1.2471109426527289E-2</v>
      </c>
      <c r="AJ124" s="61">
        <f t="shared" si="121"/>
        <v>1.2628650100340928E-2</v>
      </c>
      <c r="AK124" s="219">
        <f t="shared" si="163"/>
        <v>1.17</v>
      </c>
      <c r="AL124" s="215">
        <f t="shared" si="108"/>
        <v>15</v>
      </c>
      <c r="AM124" s="220">
        <f t="shared" si="171"/>
        <v>7.8E-2</v>
      </c>
      <c r="AN124" s="219">
        <f t="shared" si="172"/>
        <v>2</v>
      </c>
      <c r="AO124" s="215">
        <f t="shared" si="173"/>
        <v>0.44444444444444448</v>
      </c>
      <c r="AP124" s="215">
        <f t="shared" si="174"/>
        <v>0.17549999999999999</v>
      </c>
      <c r="AQ124" s="215">
        <f t="shared" si="175"/>
        <v>0.14673944943358574</v>
      </c>
      <c r="AR124" s="215">
        <f t="shared" si="142"/>
        <v>0.24886972471679286</v>
      </c>
      <c r="AS124" s="220">
        <f t="shared" si="143"/>
        <v>0.12035987180736003</v>
      </c>
      <c r="AT124" s="219"/>
      <c r="AU124" s="215">
        <f t="shared" si="176"/>
        <v>9.3206880000000006E-2</v>
      </c>
      <c r="AV124" s="220">
        <f t="shared" si="144"/>
        <v>9.3206880000000006E-2</v>
      </c>
      <c r="AW124" s="219">
        <f t="shared" si="177"/>
        <v>6.8148E-2</v>
      </c>
      <c r="AX124" s="215">
        <f t="shared" si="178"/>
        <v>2.3400000000000001E-2</v>
      </c>
      <c r="AY124" s="220">
        <f t="shared" si="145"/>
        <v>9.1548000000000004E-2</v>
      </c>
      <c r="AZ124" s="219">
        <f t="shared" si="164"/>
        <v>0</v>
      </c>
      <c r="BA124" s="215">
        <f t="shared" si="165"/>
        <v>0</v>
      </c>
      <c r="BB124" s="215">
        <f t="shared" si="146"/>
        <v>0</v>
      </c>
      <c r="BC124" s="61">
        <f t="shared" si="179"/>
        <v>0</v>
      </c>
      <c r="BD124" s="58">
        <v>0</v>
      </c>
      <c r="BE124" s="49">
        <f t="shared" si="180"/>
        <v>0</v>
      </c>
      <c r="BF124" s="61">
        <f t="shared" si="147"/>
        <v>0</v>
      </c>
      <c r="BG124" s="58">
        <f t="shared" si="181"/>
        <v>0</v>
      </c>
      <c r="BH124" s="49">
        <f t="shared" si="182"/>
        <v>0</v>
      </c>
      <c r="BI124" s="61">
        <f t="shared" si="183"/>
        <v>0</v>
      </c>
      <c r="BK124" s="219">
        <f t="shared" si="166"/>
        <v>0</v>
      </c>
      <c r="BL124" s="215">
        <f t="shared" si="112"/>
        <v>0</v>
      </c>
      <c r="BM124" s="215">
        <f t="shared" si="167"/>
        <v>0</v>
      </c>
      <c r="BN124" s="61">
        <f t="shared" si="188"/>
        <v>0</v>
      </c>
      <c r="BO124" s="58">
        <v>0</v>
      </c>
      <c r="BP124" s="49">
        <f t="shared" si="184"/>
        <v>0</v>
      </c>
      <c r="BQ124" s="61">
        <f t="shared" si="148"/>
        <v>0</v>
      </c>
      <c r="BR124" s="58">
        <f t="shared" si="185"/>
        <v>0</v>
      </c>
      <c r="BS124" s="49">
        <f t="shared" si="186"/>
        <v>0</v>
      </c>
      <c r="BT124" s="61">
        <f t="shared" si="149"/>
        <v>0</v>
      </c>
      <c r="BU124" s="58">
        <f t="shared" si="168"/>
        <v>3.6216246853710361E-4</v>
      </c>
      <c r="BV124" s="49">
        <f t="shared" si="115"/>
        <v>5.9629500000000002E-2</v>
      </c>
      <c r="BW124" s="61">
        <f t="shared" si="169"/>
        <v>5.4000000000000003E-3</v>
      </c>
      <c r="BX124" s="49">
        <f t="shared" si="139"/>
        <v>0.30081645089942133</v>
      </c>
      <c r="BY124" s="49">
        <f t="shared" si="140"/>
        <v>0.58699164346829935</v>
      </c>
      <c r="BZ124" s="49">
        <f t="shared" si="187"/>
        <v>66.591096454529591</v>
      </c>
    </row>
    <row r="125" spans="17:78" x14ac:dyDescent="0.25">
      <c r="Q125" s="49">
        <v>118</v>
      </c>
      <c r="R125" s="219">
        <f t="shared" si="151"/>
        <v>1.18</v>
      </c>
      <c r="S125" s="215">
        <f t="shared" si="95"/>
        <v>12</v>
      </c>
      <c r="T125" s="220">
        <f t="shared" si="152"/>
        <v>9.8333333333333328E-2</v>
      </c>
      <c r="U125" s="219">
        <f t="shared" si="153"/>
        <v>2</v>
      </c>
      <c r="V125" s="215">
        <f t="shared" si="154"/>
        <v>0.55555555555555558</v>
      </c>
      <c r="W125" s="215">
        <f t="shared" si="155"/>
        <v>0.44444444444444442</v>
      </c>
      <c r="X125" s="215">
        <f t="shared" si="117"/>
        <v>0</v>
      </c>
      <c r="Y125" s="219">
        <f t="shared" si="170"/>
        <v>0.17699999999999999</v>
      </c>
      <c r="Z125" s="215">
        <f t="shared" si="156"/>
        <v>0.14673944943358574</v>
      </c>
      <c r="AA125" s="215">
        <f t="shared" si="119"/>
        <v>0.25036972471679286</v>
      </c>
      <c r="AB125" s="220">
        <f t="shared" si="157"/>
        <v>0.13565350502974546</v>
      </c>
      <c r="AC125" s="219">
        <v>0</v>
      </c>
      <c r="AD125" s="215">
        <f t="shared" si="158"/>
        <v>0.28191670089942134</v>
      </c>
      <c r="AE125" s="220">
        <f t="shared" si="120"/>
        <v>0.28191670089942134</v>
      </c>
      <c r="AF125" s="58">
        <f t="shared" si="159"/>
        <v>2.3599999999999999E-2</v>
      </c>
      <c r="AG125" s="61">
        <f t="shared" si="160"/>
        <v>2.3599999999999999E-2</v>
      </c>
      <c r="AH125" s="58">
        <f t="shared" si="161"/>
        <v>1.6009629881364004E-4</v>
      </c>
      <c r="AI125" s="49">
        <f t="shared" si="162"/>
        <v>1.2577700105386497E-2</v>
      </c>
      <c r="AJ125" s="61">
        <f t="shared" si="121"/>
        <v>1.2737796404200138E-2</v>
      </c>
      <c r="AK125" s="219">
        <f t="shared" si="163"/>
        <v>1.18</v>
      </c>
      <c r="AL125" s="215">
        <f t="shared" si="108"/>
        <v>15</v>
      </c>
      <c r="AM125" s="220">
        <f t="shared" si="171"/>
        <v>7.8666666666666663E-2</v>
      </c>
      <c r="AN125" s="219">
        <f t="shared" si="172"/>
        <v>2</v>
      </c>
      <c r="AO125" s="215">
        <f t="shared" si="173"/>
        <v>0.44444444444444442</v>
      </c>
      <c r="AP125" s="215">
        <f t="shared" si="174"/>
        <v>0.17699999999999999</v>
      </c>
      <c r="AQ125" s="215">
        <f t="shared" si="175"/>
        <v>0.14673944943358572</v>
      </c>
      <c r="AR125" s="215">
        <f t="shared" si="142"/>
        <v>0.25036972471679286</v>
      </c>
      <c r="AS125" s="220">
        <f t="shared" si="143"/>
        <v>0.12133218345304821</v>
      </c>
      <c r="AT125" s="219"/>
      <c r="AU125" s="215">
        <f t="shared" si="176"/>
        <v>9.4806968888888871E-2</v>
      </c>
      <c r="AV125" s="220">
        <f t="shared" si="144"/>
        <v>9.4806968888888871E-2</v>
      </c>
      <c r="AW125" s="219">
        <f t="shared" si="177"/>
        <v>6.8148E-2</v>
      </c>
      <c r="AX125" s="215">
        <f t="shared" si="178"/>
        <v>2.3599999999999999E-2</v>
      </c>
      <c r="AY125" s="220">
        <f t="shared" si="145"/>
        <v>9.1747999999999996E-2</v>
      </c>
      <c r="AZ125" s="219">
        <f t="shared" si="164"/>
        <v>0</v>
      </c>
      <c r="BA125" s="215">
        <f t="shared" si="165"/>
        <v>0</v>
      </c>
      <c r="BB125" s="215">
        <f t="shared" si="146"/>
        <v>0</v>
      </c>
      <c r="BC125" s="61">
        <f t="shared" si="179"/>
        <v>0</v>
      </c>
      <c r="BD125" s="58">
        <v>0</v>
      </c>
      <c r="BE125" s="49">
        <f t="shared" si="180"/>
        <v>0</v>
      </c>
      <c r="BF125" s="61">
        <f t="shared" si="147"/>
        <v>0</v>
      </c>
      <c r="BG125" s="58">
        <f t="shared" si="181"/>
        <v>0</v>
      </c>
      <c r="BH125" s="49">
        <f t="shared" si="182"/>
        <v>0</v>
      </c>
      <c r="BI125" s="61">
        <f t="shared" si="183"/>
        <v>0</v>
      </c>
      <c r="BK125" s="219">
        <f t="shared" si="166"/>
        <v>0</v>
      </c>
      <c r="BL125" s="215">
        <f t="shared" si="112"/>
        <v>0</v>
      </c>
      <c r="BM125" s="215">
        <f t="shared" si="167"/>
        <v>0</v>
      </c>
      <c r="BN125" s="61">
        <f t="shared" si="188"/>
        <v>0</v>
      </c>
      <c r="BO125" s="58">
        <v>0</v>
      </c>
      <c r="BP125" s="49">
        <f t="shared" si="184"/>
        <v>0</v>
      </c>
      <c r="BQ125" s="61">
        <f t="shared" si="148"/>
        <v>0</v>
      </c>
      <c r="BR125" s="58">
        <f t="shared" si="185"/>
        <v>0</v>
      </c>
      <c r="BS125" s="49">
        <f t="shared" si="186"/>
        <v>0</v>
      </c>
      <c r="BT125" s="61">
        <f t="shared" si="149"/>
        <v>0</v>
      </c>
      <c r="BU125" s="58">
        <f t="shared" si="168"/>
        <v>3.6803746853710358E-4</v>
      </c>
      <c r="BV125" s="49">
        <f t="shared" si="115"/>
        <v>5.9629500000000002E-2</v>
      </c>
      <c r="BW125" s="61">
        <f t="shared" si="169"/>
        <v>5.4000000000000003E-3</v>
      </c>
      <c r="BX125" s="49">
        <f t="shared" si="139"/>
        <v>0.30551670089942135</v>
      </c>
      <c r="BY125" s="49">
        <f t="shared" si="140"/>
        <v>0.59380700366104733</v>
      </c>
      <c r="BZ125" s="49">
        <f t="shared" si="187"/>
        <v>66.52358444659086</v>
      </c>
    </row>
    <row r="126" spans="17:78" x14ac:dyDescent="0.25">
      <c r="Q126" s="49">
        <v>119</v>
      </c>
      <c r="R126" s="219">
        <f t="shared" si="151"/>
        <v>1.19</v>
      </c>
      <c r="S126" s="215">
        <f t="shared" si="95"/>
        <v>12</v>
      </c>
      <c r="T126" s="220">
        <f t="shared" si="152"/>
        <v>9.9166666666666667E-2</v>
      </c>
      <c r="U126" s="219">
        <f t="shared" si="153"/>
        <v>2</v>
      </c>
      <c r="V126" s="215">
        <f t="shared" si="154"/>
        <v>0.55555555555555558</v>
      </c>
      <c r="W126" s="215">
        <f t="shared" si="155"/>
        <v>0.44444444444444442</v>
      </c>
      <c r="X126" s="215">
        <f t="shared" si="117"/>
        <v>0</v>
      </c>
      <c r="Y126" s="219">
        <f t="shared" si="170"/>
        <v>0.17849999999999999</v>
      </c>
      <c r="Z126" s="215">
        <f t="shared" si="156"/>
        <v>0.14673944943358574</v>
      </c>
      <c r="AA126" s="215">
        <f t="shared" si="119"/>
        <v>0.25186972471679286</v>
      </c>
      <c r="AB126" s="220">
        <f t="shared" si="157"/>
        <v>0.1367410817086627</v>
      </c>
      <c r="AC126" s="219">
        <v>0</v>
      </c>
      <c r="AD126" s="215">
        <f t="shared" si="158"/>
        <v>0.2864552508994212</v>
      </c>
      <c r="AE126" s="220">
        <f t="shared" si="120"/>
        <v>0.2864552508994212</v>
      </c>
      <c r="AF126" s="58">
        <f t="shared" si="159"/>
        <v>2.3799999999999998E-2</v>
      </c>
      <c r="AG126" s="61">
        <f t="shared" si="160"/>
        <v>2.3799999999999998E-2</v>
      </c>
      <c r="AH126" s="58">
        <f t="shared" si="161"/>
        <v>1.6267367381363995E-4</v>
      </c>
      <c r="AI126" s="49">
        <f t="shared" si="162"/>
        <v>1.26842907842457E-2</v>
      </c>
      <c r="AJ126" s="61">
        <f t="shared" si="121"/>
        <v>1.2846964458059341E-2</v>
      </c>
      <c r="AK126" s="219">
        <f t="shared" si="163"/>
        <v>1.19</v>
      </c>
      <c r="AL126" s="215">
        <f t="shared" si="108"/>
        <v>15</v>
      </c>
      <c r="AM126" s="220">
        <f t="shared" si="171"/>
        <v>7.9333333333333325E-2</v>
      </c>
      <c r="AN126" s="219">
        <f t="shared" si="172"/>
        <v>2</v>
      </c>
      <c r="AO126" s="215">
        <f t="shared" si="173"/>
        <v>0.44444444444444442</v>
      </c>
      <c r="AP126" s="215">
        <f t="shared" si="174"/>
        <v>0.17849999999999999</v>
      </c>
      <c r="AQ126" s="215">
        <f t="shared" si="175"/>
        <v>0.14673944943358572</v>
      </c>
      <c r="AR126" s="215">
        <f t="shared" si="142"/>
        <v>0.25186972471679286</v>
      </c>
      <c r="AS126" s="220">
        <f t="shared" si="143"/>
        <v>0.12230494160696917</v>
      </c>
      <c r="AT126" s="219"/>
      <c r="AU126" s="215">
        <f t="shared" si="176"/>
        <v>9.6420675555555543E-2</v>
      </c>
      <c r="AV126" s="220">
        <f t="shared" si="144"/>
        <v>9.6420675555555543E-2</v>
      </c>
      <c r="AW126" s="219">
        <f t="shared" si="177"/>
        <v>6.8148E-2</v>
      </c>
      <c r="AX126" s="215">
        <f t="shared" si="178"/>
        <v>2.3799999999999998E-2</v>
      </c>
      <c r="AY126" s="220">
        <f t="shared" si="145"/>
        <v>9.1948000000000002E-2</v>
      </c>
      <c r="AZ126" s="219">
        <f t="shared" si="164"/>
        <v>0</v>
      </c>
      <c r="BA126" s="215">
        <f t="shared" si="165"/>
        <v>0</v>
      </c>
      <c r="BB126" s="215">
        <f t="shared" si="146"/>
        <v>0</v>
      </c>
      <c r="BC126" s="61">
        <f t="shared" si="179"/>
        <v>0</v>
      </c>
      <c r="BD126" s="58">
        <v>0</v>
      </c>
      <c r="BE126" s="49">
        <f t="shared" si="180"/>
        <v>0</v>
      </c>
      <c r="BF126" s="61">
        <f t="shared" si="147"/>
        <v>0</v>
      </c>
      <c r="BG126" s="58">
        <f t="shared" si="181"/>
        <v>0</v>
      </c>
      <c r="BH126" s="49">
        <f t="shared" si="182"/>
        <v>0</v>
      </c>
      <c r="BI126" s="61">
        <f t="shared" si="183"/>
        <v>0</v>
      </c>
      <c r="BK126" s="219">
        <f t="shared" si="166"/>
        <v>0</v>
      </c>
      <c r="BL126" s="215">
        <f t="shared" si="112"/>
        <v>0</v>
      </c>
      <c r="BM126" s="215">
        <f t="shared" si="167"/>
        <v>0</v>
      </c>
      <c r="BN126" s="61">
        <f t="shared" si="188"/>
        <v>0</v>
      </c>
      <c r="BO126" s="58">
        <v>0</v>
      </c>
      <c r="BP126" s="49">
        <f t="shared" si="184"/>
        <v>0</v>
      </c>
      <c r="BQ126" s="61">
        <f t="shared" si="148"/>
        <v>0</v>
      </c>
      <c r="BR126" s="58">
        <f t="shared" si="185"/>
        <v>0</v>
      </c>
      <c r="BS126" s="49">
        <f t="shared" si="186"/>
        <v>0</v>
      </c>
      <c r="BT126" s="61">
        <f t="shared" si="149"/>
        <v>0</v>
      </c>
      <c r="BU126" s="58">
        <f t="shared" si="168"/>
        <v>3.7396246853710341E-4</v>
      </c>
      <c r="BV126" s="49">
        <f t="shared" si="115"/>
        <v>5.9629500000000002E-2</v>
      </c>
      <c r="BW126" s="61">
        <f t="shared" si="169"/>
        <v>5.4000000000000003E-3</v>
      </c>
      <c r="BX126" s="49">
        <f t="shared" si="139"/>
        <v>0.31025525089942119</v>
      </c>
      <c r="BY126" s="49">
        <f t="shared" si="140"/>
        <v>0.60067435338157327</v>
      </c>
      <c r="BZ126" s="49">
        <f t="shared" si="187"/>
        <v>66.455410932354155</v>
      </c>
    </row>
    <row r="127" spans="17:78" x14ac:dyDescent="0.25">
      <c r="Q127" s="49">
        <v>120</v>
      </c>
      <c r="R127" s="219">
        <f t="shared" si="151"/>
        <v>1.2</v>
      </c>
      <c r="S127" s="215">
        <f t="shared" si="95"/>
        <v>12</v>
      </c>
      <c r="T127" s="220">
        <f t="shared" si="152"/>
        <v>9.9999999999999992E-2</v>
      </c>
      <c r="U127" s="219">
        <f t="shared" si="153"/>
        <v>2</v>
      </c>
      <c r="V127" s="215">
        <f t="shared" si="154"/>
        <v>0.55555555555555558</v>
      </c>
      <c r="W127" s="215">
        <f t="shared" si="155"/>
        <v>0.44444444444444442</v>
      </c>
      <c r="X127" s="215">
        <f t="shared" si="117"/>
        <v>0</v>
      </c>
      <c r="Y127" s="219">
        <f t="shared" si="170"/>
        <v>0.18</v>
      </c>
      <c r="Z127" s="215">
        <f t="shared" si="156"/>
        <v>0.14673944943358574</v>
      </c>
      <c r="AA127" s="215">
        <f t="shared" si="119"/>
        <v>0.25336972471679287</v>
      </c>
      <c r="AB127" s="220">
        <f t="shared" si="157"/>
        <v>0.13782914578148983</v>
      </c>
      <c r="AC127" s="219">
        <v>0</v>
      </c>
      <c r="AD127" s="215">
        <f t="shared" si="158"/>
        <v>0.29103210089942133</v>
      </c>
      <c r="AE127" s="220">
        <f t="shared" si="120"/>
        <v>0.29103210089942133</v>
      </c>
      <c r="AF127" s="58">
        <f t="shared" si="159"/>
        <v>2.4E-2</v>
      </c>
      <c r="AG127" s="61">
        <f t="shared" si="160"/>
        <v>2.4E-2</v>
      </c>
      <c r="AH127" s="58">
        <f t="shared" si="161"/>
        <v>1.6527279881364002E-4</v>
      </c>
      <c r="AI127" s="49">
        <f t="shared" si="162"/>
        <v>1.2790881463104907E-2</v>
      </c>
      <c r="AJ127" s="61">
        <f t="shared" si="121"/>
        <v>1.2956154261918547E-2</v>
      </c>
      <c r="AK127" s="219">
        <f t="shared" si="163"/>
        <v>1.2</v>
      </c>
      <c r="AL127" s="215">
        <f t="shared" si="108"/>
        <v>15</v>
      </c>
      <c r="AM127" s="220">
        <f t="shared" si="171"/>
        <v>0.08</v>
      </c>
      <c r="AN127" s="219">
        <f t="shared" si="172"/>
        <v>2</v>
      </c>
      <c r="AO127" s="215">
        <f t="shared" si="173"/>
        <v>0.44444444444444448</v>
      </c>
      <c r="AP127" s="215">
        <f t="shared" si="174"/>
        <v>0.18</v>
      </c>
      <c r="AQ127" s="215">
        <f t="shared" si="175"/>
        <v>0.14673944943358574</v>
      </c>
      <c r="AR127" s="215">
        <f t="shared" si="142"/>
        <v>0.25336972471679287</v>
      </c>
      <c r="AS127" s="220">
        <f t="shared" si="143"/>
        <v>0.12327813569925586</v>
      </c>
      <c r="AT127" s="219"/>
      <c r="AU127" s="215">
        <f t="shared" si="176"/>
        <v>9.804800000000001E-2</v>
      </c>
      <c r="AV127" s="220">
        <f t="shared" si="144"/>
        <v>9.804800000000001E-2</v>
      </c>
      <c r="AW127" s="219">
        <f t="shared" si="177"/>
        <v>6.8148E-2</v>
      </c>
      <c r="AX127" s="215">
        <f t="shared" si="178"/>
        <v>2.4E-2</v>
      </c>
      <c r="AY127" s="220">
        <f t="shared" si="145"/>
        <v>9.2148000000000008E-2</v>
      </c>
      <c r="AZ127" s="219">
        <f t="shared" si="164"/>
        <v>0</v>
      </c>
      <c r="BA127" s="215">
        <f t="shared" si="165"/>
        <v>0</v>
      </c>
      <c r="BB127" s="215">
        <f t="shared" si="146"/>
        <v>0</v>
      </c>
      <c r="BC127" s="61">
        <f t="shared" si="179"/>
        <v>0</v>
      </c>
      <c r="BD127" s="58">
        <v>0</v>
      </c>
      <c r="BE127" s="49">
        <f t="shared" si="180"/>
        <v>0</v>
      </c>
      <c r="BF127" s="61">
        <f t="shared" si="147"/>
        <v>0</v>
      </c>
      <c r="BG127" s="58">
        <f t="shared" si="181"/>
        <v>0</v>
      </c>
      <c r="BH127" s="49">
        <f t="shared" si="182"/>
        <v>0</v>
      </c>
      <c r="BI127" s="61">
        <f t="shared" si="183"/>
        <v>0</v>
      </c>
      <c r="BK127" s="219">
        <f t="shared" si="166"/>
        <v>0</v>
      </c>
      <c r="BL127" s="215">
        <f t="shared" si="112"/>
        <v>0</v>
      </c>
      <c r="BM127" s="215">
        <f t="shared" si="167"/>
        <v>0</v>
      </c>
      <c r="BN127" s="61">
        <f t="shared" si="188"/>
        <v>0</v>
      </c>
      <c r="BO127" s="58">
        <v>0</v>
      </c>
      <c r="BP127" s="49">
        <f t="shared" si="184"/>
        <v>0</v>
      </c>
      <c r="BQ127" s="61">
        <f t="shared" si="148"/>
        <v>0</v>
      </c>
      <c r="BR127" s="58">
        <f t="shared" si="185"/>
        <v>0</v>
      </c>
      <c r="BS127" s="49">
        <f t="shared" si="186"/>
        <v>0</v>
      </c>
      <c r="BT127" s="61">
        <f t="shared" si="149"/>
        <v>0</v>
      </c>
      <c r="BU127" s="58">
        <f t="shared" si="168"/>
        <v>3.7993746853710354E-4</v>
      </c>
      <c r="BV127" s="49">
        <f t="shared" si="115"/>
        <v>5.9629500000000002E-2</v>
      </c>
      <c r="BW127" s="61">
        <f t="shared" si="169"/>
        <v>5.4000000000000003E-3</v>
      </c>
      <c r="BX127" s="49">
        <f t="shared" si="139"/>
        <v>0.31503210089942135</v>
      </c>
      <c r="BY127" s="49">
        <f t="shared" si="140"/>
        <v>0.60759369262987706</v>
      </c>
      <c r="BZ127" s="49">
        <f t="shared" si="187"/>
        <v>66.386600312491353</v>
      </c>
    </row>
    <row r="128" spans="17:78" x14ac:dyDescent="0.25">
      <c r="Q128" s="49">
        <v>121</v>
      </c>
      <c r="R128" s="219">
        <f t="shared" si="151"/>
        <v>1.21</v>
      </c>
      <c r="S128" s="215">
        <f t="shared" si="95"/>
        <v>12</v>
      </c>
      <c r="T128" s="220">
        <f t="shared" si="152"/>
        <v>0.10083333333333333</v>
      </c>
      <c r="U128" s="219">
        <f t="shared" si="153"/>
        <v>2</v>
      </c>
      <c r="V128" s="215">
        <f t="shared" si="154"/>
        <v>0.55555555555555558</v>
      </c>
      <c r="W128" s="215">
        <f t="shared" si="155"/>
        <v>0.44444444444444442</v>
      </c>
      <c r="X128" s="215">
        <f t="shared" si="117"/>
        <v>0</v>
      </c>
      <c r="Y128" s="219">
        <f t="shared" si="170"/>
        <v>0.18149999999999999</v>
      </c>
      <c r="Z128" s="215">
        <f t="shared" si="156"/>
        <v>0.14673944943358574</v>
      </c>
      <c r="AA128" s="215">
        <f t="shared" si="119"/>
        <v>0.25486972471679287</v>
      </c>
      <c r="AB128" s="220">
        <f t="shared" si="157"/>
        <v>0.13891768579578043</v>
      </c>
      <c r="AC128" s="219">
        <v>0</v>
      </c>
      <c r="AD128" s="215">
        <f t="shared" si="158"/>
        <v>0.29564725089942129</v>
      </c>
      <c r="AE128" s="220">
        <f t="shared" si="120"/>
        <v>0.29564725089942129</v>
      </c>
      <c r="AF128" s="58">
        <f t="shared" si="159"/>
        <v>2.4199999999999999E-2</v>
      </c>
      <c r="AG128" s="61">
        <f t="shared" si="160"/>
        <v>2.4199999999999999E-2</v>
      </c>
      <c r="AH128" s="58">
        <f t="shared" si="161"/>
        <v>1.6789367381364002E-4</v>
      </c>
      <c r="AI128" s="49">
        <f t="shared" si="162"/>
        <v>1.2897472141964118E-2</v>
      </c>
      <c r="AJ128" s="61">
        <f t="shared" si="121"/>
        <v>1.3065365815777759E-2</v>
      </c>
      <c r="AK128" s="219">
        <f t="shared" si="163"/>
        <v>1.21</v>
      </c>
      <c r="AL128" s="215">
        <f t="shared" si="108"/>
        <v>15</v>
      </c>
      <c r="AM128" s="220">
        <f t="shared" si="171"/>
        <v>8.0666666666666664E-2</v>
      </c>
      <c r="AN128" s="219">
        <f t="shared" si="172"/>
        <v>2</v>
      </c>
      <c r="AO128" s="215">
        <f t="shared" si="173"/>
        <v>0.44444444444444442</v>
      </c>
      <c r="AP128" s="215">
        <f t="shared" si="174"/>
        <v>0.18149999999999999</v>
      </c>
      <c r="AQ128" s="215">
        <f t="shared" si="175"/>
        <v>0.14673944943358572</v>
      </c>
      <c r="AR128" s="215">
        <f t="shared" si="142"/>
        <v>0.25486972471679287</v>
      </c>
      <c r="AS128" s="220">
        <f t="shared" si="143"/>
        <v>0.12425175548652881</v>
      </c>
      <c r="AT128" s="219"/>
      <c r="AU128" s="215">
        <f t="shared" si="176"/>
        <v>9.9688942222222229E-2</v>
      </c>
      <c r="AV128" s="220">
        <f t="shared" si="144"/>
        <v>9.9688942222222229E-2</v>
      </c>
      <c r="AW128" s="219">
        <f t="shared" si="177"/>
        <v>6.8148E-2</v>
      </c>
      <c r="AX128" s="215">
        <f t="shared" si="178"/>
        <v>2.4199999999999999E-2</v>
      </c>
      <c r="AY128" s="220">
        <f t="shared" si="145"/>
        <v>9.2348E-2</v>
      </c>
      <c r="AZ128" s="219">
        <f t="shared" si="164"/>
        <v>0</v>
      </c>
      <c r="BA128" s="215">
        <f t="shared" si="165"/>
        <v>0</v>
      </c>
      <c r="BB128" s="215">
        <f t="shared" si="146"/>
        <v>0</v>
      </c>
      <c r="BC128" s="61">
        <f t="shared" si="179"/>
        <v>0</v>
      </c>
      <c r="BD128" s="58">
        <v>0</v>
      </c>
      <c r="BE128" s="49">
        <f t="shared" si="180"/>
        <v>0</v>
      </c>
      <c r="BF128" s="61">
        <f t="shared" si="147"/>
        <v>0</v>
      </c>
      <c r="BG128" s="58">
        <f t="shared" si="181"/>
        <v>0</v>
      </c>
      <c r="BH128" s="49">
        <f t="shared" si="182"/>
        <v>0</v>
      </c>
      <c r="BI128" s="61">
        <f t="shared" si="183"/>
        <v>0</v>
      </c>
      <c r="BK128" s="219">
        <f t="shared" si="166"/>
        <v>0</v>
      </c>
      <c r="BL128" s="215">
        <f t="shared" si="112"/>
        <v>0</v>
      </c>
      <c r="BM128" s="215">
        <f t="shared" si="167"/>
        <v>0</v>
      </c>
      <c r="BN128" s="61">
        <f t="shared" si="188"/>
        <v>0</v>
      </c>
      <c r="BO128" s="58">
        <v>0</v>
      </c>
      <c r="BP128" s="49">
        <f t="shared" si="184"/>
        <v>0</v>
      </c>
      <c r="BQ128" s="61">
        <f t="shared" si="148"/>
        <v>0</v>
      </c>
      <c r="BR128" s="58">
        <f t="shared" si="185"/>
        <v>0</v>
      </c>
      <c r="BS128" s="49">
        <f t="shared" si="186"/>
        <v>0</v>
      </c>
      <c r="BT128" s="61">
        <f t="shared" si="149"/>
        <v>0</v>
      </c>
      <c r="BU128" s="58">
        <f t="shared" si="168"/>
        <v>3.8596246853710354E-4</v>
      </c>
      <c r="BV128" s="49">
        <f t="shared" si="115"/>
        <v>5.9629500000000002E-2</v>
      </c>
      <c r="BW128" s="61">
        <f t="shared" si="169"/>
        <v>5.4000000000000003E-3</v>
      </c>
      <c r="BX128" s="49">
        <f t="shared" si="139"/>
        <v>0.31984725089942129</v>
      </c>
      <c r="BY128" s="49">
        <f t="shared" si="140"/>
        <v>0.61456502140595837</v>
      </c>
      <c r="BZ128" s="49">
        <f t="shared" si="187"/>
        <v>66.317176192910239</v>
      </c>
    </row>
    <row r="129" spans="17:78" x14ac:dyDescent="0.25">
      <c r="Q129" s="49">
        <v>122</v>
      </c>
      <c r="R129" s="219">
        <f t="shared" si="151"/>
        <v>1.22</v>
      </c>
      <c r="S129" s="215">
        <f t="shared" si="95"/>
        <v>12</v>
      </c>
      <c r="T129" s="220">
        <f t="shared" si="152"/>
        <v>0.10166666666666667</v>
      </c>
      <c r="U129" s="219">
        <f t="shared" si="153"/>
        <v>2</v>
      </c>
      <c r="V129" s="215">
        <f t="shared" si="154"/>
        <v>0.55555555555555558</v>
      </c>
      <c r="W129" s="215">
        <f t="shared" si="155"/>
        <v>0.44444444444444442</v>
      </c>
      <c r="X129" s="215">
        <f t="shared" si="117"/>
        <v>0</v>
      </c>
      <c r="Y129" s="219">
        <f t="shared" si="170"/>
        <v>0.183</v>
      </c>
      <c r="Z129" s="215">
        <f t="shared" si="156"/>
        <v>0.14673944943358574</v>
      </c>
      <c r="AA129" s="215">
        <f t="shared" si="119"/>
        <v>0.25636972471679287</v>
      </c>
      <c r="AB129" s="220">
        <f t="shared" si="157"/>
        <v>0.14000669065032276</v>
      </c>
      <c r="AC129" s="219">
        <v>0</v>
      </c>
      <c r="AD129" s="215">
        <f t="shared" si="158"/>
        <v>0.30030070089942129</v>
      </c>
      <c r="AE129" s="220">
        <f t="shared" si="120"/>
        <v>0.30030070089942129</v>
      </c>
      <c r="AF129" s="58">
        <f t="shared" si="159"/>
        <v>2.4400000000000002E-2</v>
      </c>
      <c r="AG129" s="61">
        <f t="shared" si="160"/>
        <v>2.4400000000000002E-2</v>
      </c>
      <c r="AH129" s="58">
        <f t="shared" si="161"/>
        <v>1.7053629881364E-4</v>
      </c>
      <c r="AI129" s="49">
        <f t="shared" si="162"/>
        <v>1.3004062820823325E-2</v>
      </c>
      <c r="AJ129" s="61">
        <f t="shared" si="121"/>
        <v>1.3174599119636964E-2</v>
      </c>
      <c r="AK129" s="219">
        <f t="shared" si="163"/>
        <v>1.22</v>
      </c>
      <c r="AL129" s="215">
        <f t="shared" si="108"/>
        <v>15</v>
      </c>
      <c r="AM129" s="220">
        <f t="shared" si="171"/>
        <v>8.1333333333333327E-2</v>
      </c>
      <c r="AN129" s="219">
        <f t="shared" si="172"/>
        <v>2</v>
      </c>
      <c r="AO129" s="215">
        <f t="shared" si="173"/>
        <v>0.44444444444444442</v>
      </c>
      <c r="AP129" s="215">
        <f t="shared" si="174"/>
        <v>0.183</v>
      </c>
      <c r="AQ129" s="215">
        <f t="shared" si="175"/>
        <v>0.14673944943358572</v>
      </c>
      <c r="AR129" s="215">
        <f t="shared" si="142"/>
        <v>0.25636972471679287</v>
      </c>
      <c r="AS129" s="220">
        <f t="shared" si="143"/>
        <v>0.12522579103956238</v>
      </c>
      <c r="AT129" s="219"/>
      <c r="AU129" s="215">
        <f t="shared" si="176"/>
        <v>0.1013435022222222</v>
      </c>
      <c r="AV129" s="220">
        <f t="shared" si="144"/>
        <v>0.1013435022222222</v>
      </c>
      <c r="AW129" s="219">
        <f t="shared" si="177"/>
        <v>6.8148E-2</v>
      </c>
      <c r="AX129" s="215">
        <f t="shared" si="178"/>
        <v>2.4399999999999998E-2</v>
      </c>
      <c r="AY129" s="220">
        <f t="shared" si="145"/>
        <v>9.2547999999999991E-2</v>
      </c>
      <c r="AZ129" s="219">
        <f t="shared" si="164"/>
        <v>0</v>
      </c>
      <c r="BA129" s="215">
        <f t="shared" si="165"/>
        <v>0</v>
      </c>
      <c r="BB129" s="215">
        <f t="shared" si="146"/>
        <v>0</v>
      </c>
      <c r="BC129" s="61">
        <f t="shared" si="179"/>
        <v>0</v>
      </c>
      <c r="BD129" s="58">
        <v>0</v>
      </c>
      <c r="BE129" s="49">
        <f t="shared" si="180"/>
        <v>0</v>
      </c>
      <c r="BF129" s="61">
        <f t="shared" si="147"/>
        <v>0</v>
      </c>
      <c r="BG129" s="58">
        <f t="shared" si="181"/>
        <v>0</v>
      </c>
      <c r="BH129" s="49">
        <f t="shared" si="182"/>
        <v>0</v>
      </c>
      <c r="BI129" s="61">
        <f t="shared" si="183"/>
        <v>0</v>
      </c>
      <c r="BK129" s="219">
        <f t="shared" si="166"/>
        <v>0</v>
      </c>
      <c r="BL129" s="215">
        <f t="shared" si="112"/>
        <v>0</v>
      </c>
      <c r="BM129" s="215">
        <f t="shared" si="167"/>
        <v>0</v>
      </c>
      <c r="BN129" s="61">
        <f t="shared" si="188"/>
        <v>0</v>
      </c>
      <c r="BO129" s="58">
        <v>0</v>
      </c>
      <c r="BP129" s="49">
        <f t="shared" si="184"/>
        <v>0</v>
      </c>
      <c r="BQ129" s="61">
        <f t="shared" si="148"/>
        <v>0</v>
      </c>
      <c r="BR129" s="58">
        <f t="shared" si="185"/>
        <v>0</v>
      </c>
      <c r="BS129" s="49">
        <f t="shared" si="186"/>
        <v>0</v>
      </c>
      <c r="BT129" s="61">
        <f t="shared" si="149"/>
        <v>0</v>
      </c>
      <c r="BU129" s="58">
        <f t="shared" si="168"/>
        <v>3.9203746853710351E-4</v>
      </c>
      <c r="BV129" s="49">
        <f t="shared" si="115"/>
        <v>5.9629500000000002E-2</v>
      </c>
      <c r="BW129" s="61">
        <f t="shared" si="169"/>
        <v>5.4000000000000003E-3</v>
      </c>
      <c r="BX129" s="49">
        <f t="shared" si="139"/>
        <v>0.32470070089942127</v>
      </c>
      <c r="BY129" s="49">
        <f t="shared" si="140"/>
        <v>0.62158833970981753</v>
      </c>
      <c r="BZ129" s="49">
        <f t="shared" si="187"/>
        <v>66.247161414599191</v>
      </c>
    </row>
    <row r="130" spans="17:78" x14ac:dyDescent="0.25">
      <c r="Q130" s="49">
        <v>123</v>
      </c>
      <c r="R130" s="219">
        <f t="shared" si="151"/>
        <v>1.23</v>
      </c>
      <c r="S130" s="215">
        <f t="shared" si="95"/>
        <v>12</v>
      </c>
      <c r="T130" s="220">
        <f t="shared" si="152"/>
        <v>0.10249999999999999</v>
      </c>
      <c r="U130" s="219">
        <f t="shared" si="153"/>
        <v>2</v>
      </c>
      <c r="V130" s="215">
        <f t="shared" si="154"/>
        <v>0.55555555555555558</v>
      </c>
      <c r="W130" s="215">
        <f t="shared" si="155"/>
        <v>0.44444444444444442</v>
      </c>
      <c r="X130" s="215">
        <f t="shared" si="117"/>
        <v>0</v>
      </c>
      <c r="Y130" s="219">
        <f t="shared" si="170"/>
        <v>0.1845</v>
      </c>
      <c r="Z130" s="215">
        <f t="shared" si="156"/>
        <v>0.14673944943358574</v>
      </c>
      <c r="AA130" s="215">
        <f t="shared" si="119"/>
        <v>0.25786972471679287</v>
      </c>
      <c r="AB130" s="220">
        <f t="shared" si="157"/>
        <v>0.14109614958196123</v>
      </c>
      <c r="AC130" s="219">
        <v>0</v>
      </c>
      <c r="AD130" s="215">
        <f t="shared" si="158"/>
        <v>0.30499245089942134</v>
      </c>
      <c r="AE130" s="220">
        <f t="shared" si="120"/>
        <v>0.30499245089942134</v>
      </c>
      <c r="AF130" s="58">
        <f t="shared" si="159"/>
        <v>2.46E-2</v>
      </c>
      <c r="AG130" s="61">
        <f t="shared" si="160"/>
        <v>2.46E-2</v>
      </c>
      <c r="AH130" s="58">
        <f t="shared" si="161"/>
        <v>1.7320067381364004E-4</v>
      </c>
      <c r="AI130" s="49">
        <f t="shared" si="162"/>
        <v>1.3110653499682531E-2</v>
      </c>
      <c r="AJ130" s="61">
        <f t="shared" si="121"/>
        <v>1.3283854173496172E-2</v>
      </c>
      <c r="AK130" s="219">
        <f t="shared" si="163"/>
        <v>1.23</v>
      </c>
      <c r="AL130" s="215">
        <f t="shared" si="108"/>
        <v>15</v>
      </c>
      <c r="AM130" s="220">
        <f t="shared" si="171"/>
        <v>8.2000000000000003E-2</v>
      </c>
      <c r="AN130" s="219">
        <f t="shared" si="172"/>
        <v>2</v>
      </c>
      <c r="AO130" s="215">
        <f t="shared" si="173"/>
        <v>0.44444444444444448</v>
      </c>
      <c r="AP130" s="215">
        <f t="shared" si="174"/>
        <v>0.1845</v>
      </c>
      <c r="AQ130" s="215">
        <f t="shared" si="175"/>
        <v>0.14673944943358574</v>
      </c>
      <c r="AR130" s="215">
        <f t="shared" si="142"/>
        <v>0.25786972471679287</v>
      </c>
      <c r="AS130" s="220">
        <f t="shared" si="143"/>
        <v>0.12620023273149752</v>
      </c>
      <c r="AT130" s="219"/>
      <c r="AU130" s="215">
        <f t="shared" si="176"/>
        <v>0.10301168000000001</v>
      </c>
      <c r="AV130" s="220">
        <f t="shared" si="144"/>
        <v>0.10301168000000001</v>
      </c>
      <c r="AW130" s="219">
        <f t="shared" si="177"/>
        <v>6.8148E-2</v>
      </c>
      <c r="AX130" s="215">
        <f t="shared" si="178"/>
        <v>2.46E-2</v>
      </c>
      <c r="AY130" s="220">
        <f t="shared" si="145"/>
        <v>9.2747999999999997E-2</v>
      </c>
      <c r="AZ130" s="219">
        <f t="shared" si="164"/>
        <v>0</v>
      </c>
      <c r="BA130" s="215">
        <f t="shared" si="165"/>
        <v>0</v>
      </c>
      <c r="BB130" s="215">
        <f t="shared" si="146"/>
        <v>0</v>
      </c>
      <c r="BC130" s="61">
        <f t="shared" si="179"/>
        <v>0</v>
      </c>
      <c r="BD130" s="58">
        <v>0</v>
      </c>
      <c r="BE130" s="49">
        <f t="shared" si="180"/>
        <v>0</v>
      </c>
      <c r="BF130" s="61">
        <f t="shared" si="147"/>
        <v>0</v>
      </c>
      <c r="BG130" s="58">
        <f t="shared" si="181"/>
        <v>0</v>
      </c>
      <c r="BH130" s="49">
        <f t="shared" si="182"/>
        <v>0</v>
      </c>
      <c r="BI130" s="61">
        <f t="shared" si="183"/>
        <v>0</v>
      </c>
      <c r="BK130" s="219">
        <f t="shared" si="166"/>
        <v>0</v>
      </c>
      <c r="BL130" s="215">
        <f t="shared" si="112"/>
        <v>0</v>
      </c>
      <c r="BM130" s="215">
        <f t="shared" si="167"/>
        <v>0</v>
      </c>
      <c r="BN130" s="61">
        <f t="shared" si="188"/>
        <v>0</v>
      </c>
      <c r="BO130" s="58">
        <v>0</v>
      </c>
      <c r="BP130" s="49">
        <f t="shared" si="184"/>
        <v>0</v>
      </c>
      <c r="BQ130" s="61">
        <f t="shared" si="148"/>
        <v>0</v>
      </c>
      <c r="BR130" s="58">
        <f t="shared" si="185"/>
        <v>0</v>
      </c>
      <c r="BS130" s="49">
        <f t="shared" si="186"/>
        <v>0</v>
      </c>
      <c r="BT130" s="61">
        <f t="shared" si="149"/>
        <v>0</v>
      </c>
      <c r="BU130" s="58">
        <f t="shared" si="168"/>
        <v>3.9816246853710362E-4</v>
      </c>
      <c r="BV130" s="49">
        <f t="shared" si="115"/>
        <v>5.9629500000000002E-2</v>
      </c>
      <c r="BW130" s="61">
        <f t="shared" si="169"/>
        <v>5.4000000000000003E-3</v>
      </c>
      <c r="BX130" s="49">
        <f t="shared" si="139"/>
        <v>0.32959245089942135</v>
      </c>
      <c r="BY130" s="49">
        <f t="shared" si="140"/>
        <v>0.62866364754145454</v>
      </c>
      <c r="BZ130" s="49">
        <f t="shared" si="187"/>
        <v>66.176578082160333</v>
      </c>
    </row>
    <row r="131" spans="17:78" x14ac:dyDescent="0.25">
      <c r="Q131" s="49">
        <v>124</v>
      </c>
      <c r="R131" s="219">
        <f t="shared" si="151"/>
        <v>1.24</v>
      </c>
      <c r="S131" s="215">
        <f t="shared" si="95"/>
        <v>12</v>
      </c>
      <c r="T131" s="220">
        <f t="shared" si="152"/>
        <v>0.10333333333333333</v>
      </c>
      <c r="U131" s="219">
        <f t="shared" si="153"/>
        <v>2</v>
      </c>
      <c r="V131" s="215">
        <f t="shared" si="154"/>
        <v>0.55555555555555558</v>
      </c>
      <c r="W131" s="215">
        <f t="shared" si="155"/>
        <v>0.44444444444444442</v>
      </c>
      <c r="X131" s="215">
        <f t="shared" si="117"/>
        <v>0</v>
      </c>
      <c r="Y131" s="219">
        <f t="shared" si="170"/>
        <v>0.186</v>
      </c>
      <c r="Z131" s="215">
        <f t="shared" si="156"/>
        <v>0.14673944943358574</v>
      </c>
      <c r="AA131" s="215">
        <f t="shared" si="119"/>
        <v>0.25936972471679287</v>
      </c>
      <c r="AB131" s="220">
        <f t="shared" si="157"/>
        <v>0.1421860521529984</v>
      </c>
      <c r="AC131" s="219">
        <v>0</v>
      </c>
      <c r="AD131" s="215">
        <f t="shared" si="158"/>
        <v>0.30972250089942138</v>
      </c>
      <c r="AE131" s="220">
        <f t="shared" si="120"/>
        <v>0.30972250089942138</v>
      </c>
      <c r="AF131" s="58">
        <f t="shared" si="159"/>
        <v>2.4799999999999999E-2</v>
      </c>
      <c r="AG131" s="61">
        <f t="shared" si="160"/>
        <v>2.4799999999999999E-2</v>
      </c>
      <c r="AH131" s="58">
        <f t="shared" si="161"/>
        <v>1.7588679881364006E-4</v>
      </c>
      <c r="AI131" s="49">
        <f t="shared" si="162"/>
        <v>1.3217244178541742E-2</v>
      </c>
      <c r="AJ131" s="61">
        <f t="shared" si="121"/>
        <v>1.3393130977355382E-2</v>
      </c>
      <c r="AK131" s="219">
        <f t="shared" si="163"/>
        <v>1.24</v>
      </c>
      <c r="AL131" s="215">
        <f t="shared" si="108"/>
        <v>15</v>
      </c>
      <c r="AM131" s="220">
        <f t="shared" si="171"/>
        <v>8.2666666666666666E-2</v>
      </c>
      <c r="AN131" s="219">
        <f t="shared" si="172"/>
        <v>2</v>
      </c>
      <c r="AO131" s="215">
        <f t="shared" si="173"/>
        <v>0.44444444444444442</v>
      </c>
      <c r="AP131" s="215">
        <f t="shared" si="174"/>
        <v>0.186</v>
      </c>
      <c r="AQ131" s="215">
        <f t="shared" si="175"/>
        <v>0.14673944943358572</v>
      </c>
      <c r="AR131" s="215">
        <f t="shared" si="142"/>
        <v>0.25936972471679287</v>
      </c>
      <c r="AS131" s="220">
        <f t="shared" si="143"/>
        <v>0.1271750712265739</v>
      </c>
      <c r="AT131" s="219"/>
      <c r="AU131" s="215">
        <f t="shared" si="176"/>
        <v>0.10469347555555557</v>
      </c>
      <c r="AV131" s="220">
        <f t="shared" si="144"/>
        <v>0.10469347555555557</v>
      </c>
      <c r="AW131" s="219">
        <f t="shared" si="177"/>
        <v>6.8148E-2</v>
      </c>
      <c r="AX131" s="215">
        <f t="shared" si="178"/>
        <v>2.4799999999999999E-2</v>
      </c>
      <c r="AY131" s="220">
        <f t="shared" si="145"/>
        <v>9.2948000000000003E-2</v>
      </c>
      <c r="AZ131" s="219">
        <f t="shared" si="164"/>
        <v>0</v>
      </c>
      <c r="BA131" s="215">
        <f t="shared" si="165"/>
        <v>0</v>
      </c>
      <c r="BB131" s="215">
        <f t="shared" si="146"/>
        <v>0</v>
      </c>
      <c r="BC131" s="61">
        <f t="shared" si="179"/>
        <v>0</v>
      </c>
      <c r="BD131" s="58">
        <v>0</v>
      </c>
      <c r="BE131" s="49">
        <f t="shared" si="180"/>
        <v>0</v>
      </c>
      <c r="BF131" s="61">
        <f t="shared" si="147"/>
        <v>0</v>
      </c>
      <c r="BG131" s="58">
        <f t="shared" si="181"/>
        <v>0</v>
      </c>
      <c r="BH131" s="49">
        <f t="shared" si="182"/>
        <v>0</v>
      </c>
      <c r="BI131" s="61">
        <f t="shared" si="183"/>
        <v>0</v>
      </c>
      <c r="BK131" s="219">
        <f t="shared" si="166"/>
        <v>0</v>
      </c>
      <c r="BL131" s="215">
        <f t="shared" si="112"/>
        <v>0</v>
      </c>
      <c r="BM131" s="215">
        <f t="shared" si="167"/>
        <v>0</v>
      </c>
      <c r="BN131" s="61">
        <f t="shared" si="188"/>
        <v>0</v>
      </c>
      <c r="BO131" s="58">
        <v>0</v>
      </c>
      <c r="BP131" s="49">
        <f t="shared" si="184"/>
        <v>0</v>
      </c>
      <c r="BQ131" s="61">
        <f t="shared" si="148"/>
        <v>0</v>
      </c>
      <c r="BR131" s="58">
        <f t="shared" si="185"/>
        <v>0</v>
      </c>
      <c r="BS131" s="49">
        <f t="shared" si="186"/>
        <v>0</v>
      </c>
      <c r="BT131" s="61">
        <f t="shared" si="149"/>
        <v>0</v>
      </c>
      <c r="BU131" s="58">
        <f t="shared" si="168"/>
        <v>4.0433746853710359E-4</v>
      </c>
      <c r="BV131" s="49">
        <f t="shared" si="115"/>
        <v>5.9629500000000002E-2</v>
      </c>
      <c r="BW131" s="61">
        <f t="shared" si="169"/>
        <v>5.4000000000000003E-3</v>
      </c>
      <c r="BX131" s="49">
        <f t="shared" si="139"/>
        <v>0.33452250089942137</v>
      </c>
      <c r="BY131" s="49">
        <f t="shared" si="140"/>
        <v>0.63579094490086951</v>
      </c>
      <c r="BZ131" s="49">
        <f t="shared" si="187"/>
        <v>66.105447591097672</v>
      </c>
    </row>
    <row r="132" spans="17:78" x14ac:dyDescent="0.25">
      <c r="Q132" s="49">
        <v>125</v>
      </c>
      <c r="R132" s="219">
        <f t="shared" si="151"/>
        <v>1.25</v>
      </c>
      <c r="S132" s="215">
        <f t="shared" si="95"/>
        <v>12</v>
      </c>
      <c r="T132" s="220">
        <f t="shared" si="152"/>
        <v>0.10416666666666667</v>
      </c>
      <c r="U132" s="219">
        <f t="shared" si="153"/>
        <v>2</v>
      </c>
      <c r="V132" s="215">
        <f t="shared" si="154"/>
        <v>0.55555555555555558</v>
      </c>
      <c r="W132" s="215">
        <f t="shared" si="155"/>
        <v>0.44444444444444442</v>
      </c>
      <c r="X132" s="215">
        <f t="shared" si="117"/>
        <v>0</v>
      </c>
      <c r="Y132" s="219">
        <f t="shared" si="170"/>
        <v>0.1875</v>
      </c>
      <c r="Z132" s="215">
        <f t="shared" si="156"/>
        <v>0.14673944943358574</v>
      </c>
      <c r="AA132" s="215">
        <f t="shared" si="119"/>
        <v>0.26086972471679287</v>
      </c>
      <c r="AB132" s="220">
        <f t="shared" si="157"/>
        <v>0.14327638823914843</v>
      </c>
      <c r="AC132" s="219">
        <v>0</v>
      </c>
      <c r="AD132" s="215">
        <f t="shared" si="158"/>
        <v>0.31449085089942153</v>
      </c>
      <c r="AE132" s="220">
        <f t="shared" si="120"/>
        <v>0.31449085089942153</v>
      </c>
      <c r="AF132" s="58">
        <f t="shared" si="159"/>
        <v>2.5000000000000001E-2</v>
      </c>
      <c r="AG132" s="61">
        <f t="shared" si="160"/>
        <v>2.5000000000000001E-2</v>
      </c>
      <c r="AH132" s="58">
        <f t="shared" si="161"/>
        <v>1.7859467381364013E-4</v>
      </c>
      <c r="AI132" s="49">
        <f t="shared" si="162"/>
        <v>1.3323834857400949E-2</v>
      </c>
      <c r="AJ132" s="61">
        <f t="shared" si="121"/>
        <v>1.3502429531214589E-2</v>
      </c>
      <c r="AK132" s="219">
        <f t="shared" si="163"/>
        <v>1.25</v>
      </c>
      <c r="AL132" s="215">
        <f t="shared" si="108"/>
        <v>15</v>
      </c>
      <c r="AM132" s="220">
        <f t="shared" si="171"/>
        <v>8.3333333333333329E-2</v>
      </c>
      <c r="AN132" s="219">
        <f t="shared" si="172"/>
        <v>2</v>
      </c>
      <c r="AO132" s="215">
        <f t="shared" si="173"/>
        <v>0.44444444444444442</v>
      </c>
      <c r="AP132" s="215">
        <f t="shared" si="174"/>
        <v>0.1875</v>
      </c>
      <c r="AQ132" s="215">
        <f t="shared" si="175"/>
        <v>0.14673944943358572</v>
      </c>
      <c r="AR132" s="215">
        <f t="shared" si="142"/>
        <v>0.26086972471679287</v>
      </c>
      <c r="AS132" s="220">
        <f t="shared" si="143"/>
        <v>0.12815029746935488</v>
      </c>
      <c r="AT132" s="219"/>
      <c r="AU132" s="215">
        <f t="shared" si="176"/>
        <v>0.10638888888888888</v>
      </c>
      <c r="AV132" s="220">
        <f t="shared" si="144"/>
        <v>0.10638888888888888</v>
      </c>
      <c r="AW132" s="219">
        <f t="shared" si="177"/>
        <v>6.8148E-2</v>
      </c>
      <c r="AX132" s="215">
        <f t="shared" si="178"/>
        <v>2.4999999999999998E-2</v>
      </c>
      <c r="AY132" s="220">
        <f t="shared" si="145"/>
        <v>9.3147999999999995E-2</v>
      </c>
      <c r="AZ132" s="219">
        <f t="shared" si="164"/>
        <v>0</v>
      </c>
      <c r="BA132" s="215">
        <f t="shared" si="165"/>
        <v>0</v>
      </c>
      <c r="BB132" s="215">
        <f t="shared" si="146"/>
        <v>0</v>
      </c>
      <c r="BC132" s="61">
        <f t="shared" si="179"/>
        <v>0</v>
      </c>
      <c r="BD132" s="58">
        <v>0</v>
      </c>
      <c r="BE132" s="49">
        <f t="shared" si="180"/>
        <v>0</v>
      </c>
      <c r="BF132" s="61">
        <f t="shared" si="147"/>
        <v>0</v>
      </c>
      <c r="BG132" s="58">
        <f t="shared" si="181"/>
        <v>0</v>
      </c>
      <c r="BH132" s="49">
        <f t="shared" si="182"/>
        <v>0</v>
      </c>
      <c r="BI132" s="61">
        <f t="shared" si="183"/>
        <v>0</v>
      </c>
      <c r="BK132" s="219">
        <f t="shared" si="166"/>
        <v>0</v>
      </c>
      <c r="BL132" s="215">
        <f t="shared" si="112"/>
        <v>0</v>
      </c>
      <c r="BM132" s="215">
        <f t="shared" si="167"/>
        <v>0</v>
      </c>
      <c r="BN132" s="61">
        <f t="shared" si="188"/>
        <v>0</v>
      </c>
      <c r="BO132" s="58">
        <v>0</v>
      </c>
      <c r="BP132" s="49">
        <f t="shared" si="184"/>
        <v>0</v>
      </c>
      <c r="BQ132" s="61">
        <f t="shared" si="148"/>
        <v>0</v>
      </c>
      <c r="BR132" s="58">
        <f t="shared" si="185"/>
        <v>0</v>
      </c>
      <c r="BS132" s="49">
        <f t="shared" si="186"/>
        <v>0</v>
      </c>
      <c r="BT132" s="61">
        <f t="shared" si="149"/>
        <v>0</v>
      </c>
      <c r="BU132" s="58">
        <f t="shared" si="168"/>
        <v>4.1056246853710381E-4</v>
      </c>
      <c r="BV132" s="49">
        <f t="shared" si="115"/>
        <v>5.9629500000000002E-2</v>
      </c>
      <c r="BW132" s="61">
        <f t="shared" si="169"/>
        <v>5.4000000000000003E-3</v>
      </c>
      <c r="BX132" s="49">
        <f t="shared" si="139"/>
        <v>0.33949085089942155</v>
      </c>
      <c r="BY132" s="49">
        <f t="shared" si="140"/>
        <v>0.64297023178806223</v>
      </c>
      <c r="BZ132" s="49">
        <f t="shared" si="187"/>
        <v>66.03379065392248</v>
      </c>
    </row>
    <row r="133" spans="17:78" x14ac:dyDescent="0.25">
      <c r="Q133" s="49">
        <v>126</v>
      </c>
      <c r="R133" s="219">
        <f t="shared" si="151"/>
        <v>1.26</v>
      </c>
      <c r="S133" s="215">
        <f t="shared" si="95"/>
        <v>12</v>
      </c>
      <c r="T133" s="220">
        <f t="shared" si="152"/>
        <v>0.105</v>
      </c>
      <c r="U133" s="219">
        <f t="shared" si="153"/>
        <v>2</v>
      </c>
      <c r="V133" s="215">
        <f t="shared" si="154"/>
        <v>0.55555555555555558</v>
      </c>
      <c r="W133" s="215">
        <f t="shared" si="155"/>
        <v>0.44444444444444442</v>
      </c>
      <c r="X133" s="215">
        <f t="shared" si="117"/>
        <v>0</v>
      </c>
      <c r="Y133" s="219">
        <f t="shared" si="170"/>
        <v>0.189</v>
      </c>
      <c r="Z133" s="215">
        <f t="shared" si="156"/>
        <v>0.14673944943358574</v>
      </c>
      <c r="AA133" s="215">
        <f t="shared" si="119"/>
        <v>0.26236972471679287</v>
      </c>
      <c r="AB133" s="220">
        <f t="shared" si="157"/>
        <v>0.14436714801801404</v>
      </c>
      <c r="AC133" s="219">
        <v>0</v>
      </c>
      <c r="AD133" s="215">
        <f t="shared" si="158"/>
        <v>0.31929750089942127</v>
      </c>
      <c r="AE133" s="220">
        <f t="shared" si="120"/>
        <v>0.31929750089942127</v>
      </c>
      <c r="AF133" s="58">
        <f t="shared" si="159"/>
        <v>2.52E-2</v>
      </c>
      <c r="AG133" s="61">
        <f t="shared" si="160"/>
        <v>2.52E-2</v>
      </c>
      <c r="AH133" s="58">
        <f t="shared" si="161"/>
        <v>1.8132429881364E-4</v>
      </c>
      <c r="AI133" s="49">
        <f t="shared" si="162"/>
        <v>1.3430425536260155E-2</v>
      </c>
      <c r="AJ133" s="61">
        <f t="shared" si="121"/>
        <v>1.3611749835073796E-2</v>
      </c>
      <c r="AK133" s="219">
        <f t="shared" si="163"/>
        <v>1.26</v>
      </c>
      <c r="AL133" s="215">
        <f t="shared" si="108"/>
        <v>15</v>
      </c>
      <c r="AM133" s="220">
        <f t="shared" si="171"/>
        <v>8.4000000000000005E-2</v>
      </c>
      <c r="AN133" s="219">
        <f t="shared" si="172"/>
        <v>2</v>
      </c>
      <c r="AO133" s="215">
        <f t="shared" si="173"/>
        <v>0.44444444444444448</v>
      </c>
      <c r="AP133" s="215">
        <f t="shared" si="174"/>
        <v>0.189</v>
      </c>
      <c r="AQ133" s="215">
        <f t="shared" si="175"/>
        <v>0.14673944943358574</v>
      </c>
      <c r="AR133" s="215">
        <f t="shared" si="142"/>
        <v>0.26236972471679287</v>
      </c>
      <c r="AS133" s="220">
        <f t="shared" si="143"/>
        <v>0.12912590267442137</v>
      </c>
      <c r="AT133" s="219"/>
      <c r="AU133" s="215">
        <f t="shared" si="176"/>
        <v>0.10809792000000001</v>
      </c>
      <c r="AV133" s="220">
        <f t="shared" si="144"/>
        <v>0.10809792000000001</v>
      </c>
      <c r="AW133" s="219">
        <f t="shared" si="177"/>
        <v>6.8148E-2</v>
      </c>
      <c r="AX133" s="215">
        <f t="shared" si="178"/>
        <v>2.52E-2</v>
      </c>
      <c r="AY133" s="220">
        <f t="shared" si="145"/>
        <v>9.3348E-2</v>
      </c>
      <c r="AZ133" s="219">
        <f t="shared" si="164"/>
        <v>0</v>
      </c>
      <c r="BA133" s="215">
        <f t="shared" si="165"/>
        <v>0</v>
      </c>
      <c r="BB133" s="215">
        <f t="shared" si="146"/>
        <v>0</v>
      </c>
      <c r="BC133" s="61">
        <f t="shared" si="179"/>
        <v>0</v>
      </c>
      <c r="BD133" s="58">
        <v>0</v>
      </c>
      <c r="BE133" s="49">
        <f t="shared" si="180"/>
        <v>0</v>
      </c>
      <c r="BF133" s="61">
        <f t="shared" si="147"/>
        <v>0</v>
      </c>
      <c r="BG133" s="58">
        <f t="shared" si="181"/>
        <v>0</v>
      </c>
      <c r="BH133" s="49">
        <f t="shared" si="182"/>
        <v>0</v>
      </c>
      <c r="BI133" s="61">
        <f t="shared" si="183"/>
        <v>0</v>
      </c>
      <c r="BK133" s="219">
        <f t="shared" si="166"/>
        <v>0</v>
      </c>
      <c r="BL133" s="215">
        <f t="shared" si="112"/>
        <v>0</v>
      </c>
      <c r="BM133" s="215">
        <f t="shared" si="167"/>
        <v>0</v>
      </c>
      <c r="BN133" s="61">
        <f t="shared" si="188"/>
        <v>0</v>
      </c>
      <c r="BO133" s="58">
        <v>0</v>
      </c>
      <c r="BP133" s="49">
        <f t="shared" si="184"/>
        <v>0</v>
      </c>
      <c r="BQ133" s="61">
        <f t="shared" si="148"/>
        <v>0</v>
      </c>
      <c r="BR133" s="58">
        <f t="shared" si="185"/>
        <v>0</v>
      </c>
      <c r="BS133" s="49">
        <f t="shared" si="186"/>
        <v>0</v>
      </c>
      <c r="BT133" s="61">
        <f t="shared" si="149"/>
        <v>0</v>
      </c>
      <c r="BU133" s="58">
        <f t="shared" si="168"/>
        <v>4.1683746853710346E-4</v>
      </c>
      <c r="BV133" s="49">
        <f t="shared" si="115"/>
        <v>5.9629500000000002E-2</v>
      </c>
      <c r="BW133" s="61">
        <f t="shared" si="169"/>
        <v>5.4000000000000003E-3</v>
      </c>
      <c r="BX133" s="49">
        <f t="shared" si="139"/>
        <v>0.34449750089942127</v>
      </c>
      <c r="BY133" s="49">
        <f t="shared" si="140"/>
        <v>0.65020150820303224</v>
      </c>
      <c r="BZ133" s="49">
        <f t="shared" si="187"/>
        <v>65.96162732513541</v>
      </c>
    </row>
    <row r="134" spans="17:78" x14ac:dyDescent="0.25">
      <c r="Q134" s="49">
        <v>127</v>
      </c>
      <c r="R134" s="219">
        <f t="shared" si="151"/>
        <v>1.27</v>
      </c>
      <c r="S134" s="215">
        <f t="shared" si="95"/>
        <v>12</v>
      </c>
      <c r="T134" s="220">
        <f t="shared" si="152"/>
        <v>0.10583333333333333</v>
      </c>
      <c r="U134" s="219">
        <f t="shared" si="153"/>
        <v>2</v>
      </c>
      <c r="V134" s="215">
        <f t="shared" si="154"/>
        <v>0.55555555555555558</v>
      </c>
      <c r="W134" s="215">
        <f t="shared" si="155"/>
        <v>0.44444444444444442</v>
      </c>
      <c r="X134" s="215">
        <f t="shared" si="117"/>
        <v>0</v>
      </c>
      <c r="Y134" s="219">
        <f t="shared" si="170"/>
        <v>0.1905</v>
      </c>
      <c r="Z134" s="215">
        <f t="shared" si="156"/>
        <v>0.14673944943358574</v>
      </c>
      <c r="AA134" s="215">
        <f t="shared" si="119"/>
        <v>0.26386972471679287</v>
      </c>
      <c r="AB134" s="220">
        <f t="shared" si="157"/>
        <v>0.14545832195806183</v>
      </c>
      <c r="AC134" s="219">
        <v>0</v>
      </c>
      <c r="AD134" s="215">
        <f t="shared" si="158"/>
        <v>0.32414245089942123</v>
      </c>
      <c r="AE134" s="220">
        <f t="shared" si="120"/>
        <v>0.32414245089942123</v>
      </c>
      <c r="AF134" s="58">
        <f t="shared" si="159"/>
        <v>2.5400000000000002E-2</v>
      </c>
      <c r="AG134" s="61">
        <f t="shared" si="160"/>
        <v>2.5400000000000002E-2</v>
      </c>
      <c r="AH134" s="58">
        <f t="shared" si="161"/>
        <v>1.8407567381363996E-4</v>
      </c>
      <c r="AI134" s="49">
        <f t="shared" si="162"/>
        <v>1.3537016215119366E-2</v>
      </c>
      <c r="AJ134" s="61">
        <f t="shared" si="121"/>
        <v>1.3721091888933005E-2</v>
      </c>
      <c r="AK134" s="219">
        <f t="shared" si="163"/>
        <v>1.27</v>
      </c>
      <c r="AL134" s="215">
        <f t="shared" si="108"/>
        <v>15</v>
      </c>
      <c r="AM134" s="220">
        <f t="shared" si="171"/>
        <v>8.4666666666666668E-2</v>
      </c>
      <c r="AN134" s="219">
        <f t="shared" si="172"/>
        <v>2</v>
      </c>
      <c r="AO134" s="215">
        <f t="shared" si="173"/>
        <v>0.44444444444444442</v>
      </c>
      <c r="AP134" s="215">
        <f t="shared" si="174"/>
        <v>0.1905</v>
      </c>
      <c r="AQ134" s="215">
        <f t="shared" si="175"/>
        <v>0.14673944943358572</v>
      </c>
      <c r="AR134" s="215">
        <f t="shared" si="142"/>
        <v>0.26386972471679287</v>
      </c>
      <c r="AS134" s="220">
        <f t="shared" si="143"/>
        <v>0.13010187831651066</v>
      </c>
      <c r="AT134" s="219"/>
      <c r="AU134" s="215">
        <f t="shared" si="176"/>
        <v>0.10982056888888889</v>
      </c>
      <c r="AV134" s="220">
        <f t="shared" si="144"/>
        <v>0.10982056888888889</v>
      </c>
      <c r="AW134" s="219">
        <f t="shared" si="177"/>
        <v>6.8148E-2</v>
      </c>
      <c r="AX134" s="215">
        <f t="shared" si="178"/>
        <v>2.5399999999999999E-2</v>
      </c>
      <c r="AY134" s="220">
        <f t="shared" si="145"/>
        <v>9.3547999999999992E-2</v>
      </c>
      <c r="AZ134" s="219">
        <f t="shared" si="164"/>
        <v>0</v>
      </c>
      <c r="BA134" s="215">
        <f t="shared" si="165"/>
        <v>0</v>
      </c>
      <c r="BB134" s="215">
        <f t="shared" si="146"/>
        <v>0</v>
      </c>
      <c r="BC134" s="61">
        <f t="shared" si="179"/>
        <v>0</v>
      </c>
      <c r="BD134" s="58">
        <v>0</v>
      </c>
      <c r="BE134" s="49">
        <f t="shared" si="180"/>
        <v>0</v>
      </c>
      <c r="BF134" s="61">
        <f t="shared" si="147"/>
        <v>0</v>
      </c>
      <c r="BG134" s="58">
        <f t="shared" si="181"/>
        <v>0</v>
      </c>
      <c r="BH134" s="49">
        <f t="shared" si="182"/>
        <v>0</v>
      </c>
      <c r="BI134" s="61">
        <f t="shared" si="183"/>
        <v>0</v>
      </c>
      <c r="BK134" s="219">
        <f t="shared" si="166"/>
        <v>0</v>
      </c>
      <c r="BL134" s="215">
        <f t="shared" si="112"/>
        <v>0</v>
      </c>
      <c r="BM134" s="215">
        <f t="shared" si="167"/>
        <v>0</v>
      </c>
      <c r="BN134" s="61">
        <f t="shared" si="188"/>
        <v>0</v>
      </c>
      <c r="BO134" s="58">
        <v>0</v>
      </c>
      <c r="BP134" s="49">
        <f t="shared" si="184"/>
        <v>0</v>
      </c>
      <c r="BQ134" s="61">
        <f t="shared" si="148"/>
        <v>0</v>
      </c>
      <c r="BR134" s="58">
        <f t="shared" si="185"/>
        <v>0</v>
      </c>
      <c r="BS134" s="49">
        <f t="shared" si="186"/>
        <v>0</v>
      </c>
      <c r="BT134" s="61">
        <f t="shared" si="149"/>
        <v>0</v>
      </c>
      <c r="BU134" s="58">
        <f t="shared" si="168"/>
        <v>4.2316246853710341E-4</v>
      </c>
      <c r="BV134" s="49">
        <f t="shared" si="115"/>
        <v>5.9629500000000002E-2</v>
      </c>
      <c r="BW134" s="61">
        <f t="shared" si="169"/>
        <v>5.4000000000000003E-3</v>
      </c>
      <c r="BX134" s="49">
        <f t="shared" si="139"/>
        <v>0.34954245089942121</v>
      </c>
      <c r="BY134" s="49">
        <f t="shared" si="140"/>
        <v>0.65748477414578022</v>
      </c>
      <c r="BZ134" s="49">
        <f t="shared" si="187"/>
        <v>65.88897702514079</v>
      </c>
    </row>
    <row r="135" spans="17:78" x14ac:dyDescent="0.25">
      <c r="Q135" s="49">
        <v>128</v>
      </c>
      <c r="R135" s="219">
        <f t="shared" ref="R135:R157" si="189">AK135+AZ135+BK135</f>
        <v>1.28</v>
      </c>
      <c r="S135" s="215">
        <f t="shared" ref="S135:S157" si="190">VIN_var</f>
        <v>12</v>
      </c>
      <c r="T135" s="220">
        <f t="shared" ref="T135:T157" si="191">(R135)/(S135*EFF_est)</f>
        <v>0.10666666666666667</v>
      </c>
      <c r="U135" s="219">
        <f t="shared" ref="U135:U157" si="192">IF(R135&lt;((((Np/NS1_)*(AL135)/((S135+((Np/NS1_)*(AL135)))))^2)*(S135^2))/(2*Lm*Fsw),1,2)</f>
        <v>2</v>
      </c>
      <c r="V135" s="215">
        <f t="shared" ref="V135:V157" si="193">CHOOSE(U135,SQRT((2*Lm*R135*Fsw)/((S135^2)*EFF_est)),(((Np/NS1_)*(AL135))/(S135+((Np/NS1_)*(AL135)))))</f>
        <v>0.55555555555555558</v>
      </c>
      <c r="W135" s="215">
        <f t="shared" ref="W135:W157" si="194">CHOOSE(U135,(NS1_*S135*V135)/(Np*AL135),1-V135)</f>
        <v>0.44444444444444442</v>
      </c>
      <c r="X135" s="215">
        <f t="shared" si="117"/>
        <v>0</v>
      </c>
      <c r="Y135" s="219">
        <f t="shared" si="170"/>
        <v>0.192</v>
      </c>
      <c r="Z135" s="215">
        <f t="shared" ref="Z135:Z157" si="195">(S135*V135)/(Lm*Fsw)</f>
        <v>0.14673944943358574</v>
      </c>
      <c r="AA135" s="215">
        <f t="shared" si="119"/>
        <v>0.26536972471679288</v>
      </c>
      <c r="AB135" s="220">
        <f t="shared" ref="AB135:AB157" si="196">CHOOSE(U135,AA135*SQRT(V135/3),SQRT(V135*((AA135^2)+((Z135^2)/(3))-(AA135*Z135))))</f>
        <v>0.14654990080807009</v>
      </c>
      <c r="AC135" s="219">
        <v>0</v>
      </c>
      <c r="AD135" s="215">
        <f t="shared" ref="AD135:AD157" si="197">(AB135^2)*Rdcr</f>
        <v>0.3290257008994214</v>
      </c>
      <c r="AE135" s="220">
        <f t="shared" si="120"/>
        <v>0.3290257008994214</v>
      </c>
      <c r="AF135" s="58">
        <f t="shared" ref="AF135:AF157" si="198">R135*0.02</f>
        <v>2.5600000000000001E-2</v>
      </c>
      <c r="AG135" s="61">
        <f t="shared" ref="AG135:AG157" si="199">R135*0.02</f>
        <v>2.5600000000000001E-2</v>
      </c>
      <c r="AH135" s="58">
        <f t="shared" ref="AH135:AH157" si="200">(AB135^2)*RDS_on</f>
        <v>1.8684879881364008E-4</v>
      </c>
      <c r="AI135" s="49">
        <f t="shared" ref="AI135:AI157" si="201">((Y135*(S135+((Np/NS1_)*VOUT1)))/2)*Fsw*(tr_sw+tf_sw)</f>
        <v>1.3643606893978573E-2</v>
      </c>
      <c r="AJ135" s="61">
        <f t="shared" si="121"/>
        <v>1.3830455692792213E-2</v>
      </c>
      <c r="AK135" s="219">
        <f t="shared" ref="AK135:AK157" si="202">Q135*$B$11</f>
        <v>1.28</v>
      </c>
      <c r="AL135" s="215">
        <f t="shared" ref="AL135:AL157" si="203">VOUT1</f>
        <v>15</v>
      </c>
      <c r="AM135" s="220">
        <f t="shared" si="171"/>
        <v>8.533333333333333E-2</v>
      </c>
      <c r="AN135" s="219">
        <f t="shared" si="172"/>
        <v>2</v>
      </c>
      <c r="AO135" s="215">
        <f t="shared" si="173"/>
        <v>0.44444444444444442</v>
      </c>
      <c r="AP135" s="215">
        <f t="shared" si="174"/>
        <v>0.192</v>
      </c>
      <c r="AQ135" s="215">
        <f t="shared" si="175"/>
        <v>0.14673944943358572</v>
      </c>
      <c r="AR135" s="215">
        <f t="shared" si="142"/>
        <v>0.26536972471679288</v>
      </c>
      <c r="AS135" s="220">
        <f t="shared" si="143"/>
        <v>0.13107821612107842</v>
      </c>
      <c r="AT135" s="219"/>
      <c r="AU135" s="215">
        <f t="shared" si="176"/>
        <v>0.11155683555555555</v>
      </c>
      <c r="AV135" s="220">
        <f t="shared" si="144"/>
        <v>0.11155683555555555</v>
      </c>
      <c r="AW135" s="219">
        <f t="shared" si="177"/>
        <v>6.8148E-2</v>
      </c>
      <c r="AX135" s="215">
        <f t="shared" si="178"/>
        <v>2.5599999999999998E-2</v>
      </c>
      <c r="AY135" s="220">
        <f t="shared" si="145"/>
        <v>9.3747999999999998E-2</v>
      </c>
      <c r="AZ135" s="219">
        <f t="shared" ref="AZ135:AZ157" si="204">IF(EN_OUT_2=1,Q135*$B$15,0)</f>
        <v>0</v>
      </c>
      <c r="BA135" s="215">
        <f t="shared" ref="BA135:BA157" si="205">IF(EN_OUT_2=1,VOUT2,0)</f>
        <v>0</v>
      </c>
      <c r="BB135" s="215">
        <f t="shared" si="146"/>
        <v>0</v>
      </c>
      <c r="BC135" s="61">
        <f t="shared" si="179"/>
        <v>0</v>
      </c>
      <c r="BD135" s="58">
        <v>0</v>
      </c>
      <c r="BE135" s="49">
        <f t="shared" si="180"/>
        <v>0</v>
      </c>
      <c r="BF135" s="61">
        <f t="shared" si="147"/>
        <v>0</v>
      </c>
      <c r="BG135" s="58">
        <f t="shared" si="181"/>
        <v>0</v>
      </c>
      <c r="BH135" s="49">
        <f t="shared" si="182"/>
        <v>0</v>
      </c>
      <c r="BI135" s="61">
        <f t="shared" si="183"/>
        <v>0</v>
      </c>
      <c r="BK135" s="219">
        <f t="shared" ref="BK135:BK157" si="206">IF(EN_OUT_3=1,Q135*$B$19,0)</f>
        <v>0</v>
      </c>
      <c r="BL135" s="215">
        <f t="shared" ref="BL135:BL157" si="207">IF(EN_OUT_3=1,VOUT3,0)</f>
        <v>0</v>
      </c>
      <c r="BM135" s="215">
        <f t="shared" ref="BM135:BM157" si="208">IF(EN_OUT_3=1,BK135/BL135,0)</f>
        <v>0</v>
      </c>
      <c r="BN135" s="61">
        <f t="shared" si="188"/>
        <v>0</v>
      </c>
      <c r="BO135" s="58">
        <v>0</v>
      </c>
      <c r="BP135" s="49">
        <f t="shared" si="184"/>
        <v>0</v>
      </c>
      <c r="BQ135" s="61">
        <f t="shared" si="148"/>
        <v>0</v>
      </c>
      <c r="BR135" s="58">
        <f t="shared" si="185"/>
        <v>0</v>
      </c>
      <c r="BS135" s="49">
        <f t="shared" si="186"/>
        <v>0</v>
      </c>
      <c r="BT135" s="61">
        <f t="shared" si="149"/>
        <v>0</v>
      </c>
      <c r="BU135" s="58">
        <f t="shared" ref="BU135:BU157" si="209">(AB135^2)*R_cs</f>
        <v>4.2953746853710366E-4</v>
      </c>
      <c r="BV135" s="49">
        <f t="shared" ref="BV135:BV157" si="210">Qg_tot*Vcc*Fsw</f>
        <v>5.9629500000000002E-2</v>
      </c>
      <c r="BW135" s="61">
        <f t="shared" ref="BW135:BW157" si="211">IQ*S135</f>
        <v>5.4000000000000003E-3</v>
      </c>
      <c r="BX135" s="49">
        <f t="shared" si="139"/>
        <v>0.35462570089942141</v>
      </c>
      <c r="BY135" s="49">
        <f t="shared" si="140"/>
        <v>0.66482002961630626</v>
      </c>
      <c r="BZ135" s="49">
        <f t="shared" si="187"/>
        <v>65.815858563145881</v>
      </c>
    </row>
    <row r="136" spans="17:78" x14ac:dyDescent="0.25">
      <c r="Q136" s="49">
        <v>129</v>
      </c>
      <c r="R136" s="219">
        <f t="shared" si="189"/>
        <v>1.29</v>
      </c>
      <c r="S136" s="215">
        <f t="shared" si="190"/>
        <v>12</v>
      </c>
      <c r="T136" s="220">
        <f t="shared" si="191"/>
        <v>0.1075</v>
      </c>
      <c r="U136" s="219">
        <f t="shared" si="192"/>
        <v>2</v>
      </c>
      <c r="V136" s="215">
        <f t="shared" si="193"/>
        <v>0.55555555555555558</v>
      </c>
      <c r="W136" s="215">
        <f t="shared" si="194"/>
        <v>0.44444444444444442</v>
      </c>
      <c r="X136" s="215">
        <f t="shared" ref="X136:X157" si="212">CHOOSE(U136,1-V136-W136,0)</f>
        <v>0</v>
      </c>
      <c r="Y136" s="219">
        <f t="shared" ref="Y136:Y157" si="213">R136/(S136*EFF_est*V136)</f>
        <v>0.19350000000000001</v>
      </c>
      <c r="Z136" s="215">
        <f t="shared" si="195"/>
        <v>0.14673944943358574</v>
      </c>
      <c r="AA136" s="215">
        <f t="shared" ref="AA136:AA156" si="214">Y136+(Z136/2)</f>
        <v>0.26686972471679288</v>
      </c>
      <c r="AB136" s="220">
        <f t="shared" si="196"/>
        <v>0.14764187558702704</v>
      </c>
      <c r="AC136" s="219">
        <v>0</v>
      </c>
      <c r="AD136" s="215">
        <f t="shared" si="197"/>
        <v>0.33394725089942123</v>
      </c>
      <c r="AE136" s="220">
        <f t="shared" ref="AE136:AE157" si="215">AC136+AD136</f>
        <v>0.33394725089942123</v>
      </c>
      <c r="AF136" s="58">
        <f t="shared" si="198"/>
        <v>2.58E-2</v>
      </c>
      <c r="AG136" s="61">
        <f t="shared" si="199"/>
        <v>2.58E-2</v>
      </c>
      <c r="AH136" s="58">
        <f t="shared" si="200"/>
        <v>1.8964367381363998E-4</v>
      </c>
      <c r="AI136" s="49">
        <f t="shared" si="201"/>
        <v>1.3750197572837779E-2</v>
      </c>
      <c r="AJ136" s="61">
        <f t="shared" ref="AJ136:AJ157" si="216">AH136+AI136</f>
        <v>1.3939841246651419E-2</v>
      </c>
      <c r="AK136" s="219">
        <f t="shared" si="202"/>
        <v>1.29</v>
      </c>
      <c r="AL136" s="215">
        <f t="shared" si="203"/>
        <v>15</v>
      </c>
      <c r="AM136" s="220">
        <f t="shared" ref="AM136:AM157" si="217">AK136/AL136</f>
        <v>8.6000000000000007E-2</v>
      </c>
      <c r="AN136" s="219">
        <f t="shared" ref="AN136:AN157" si="218">IF(((AL136*AO136)/(Fsw*$AO$2))/2&gt;AP136,1,2)</f>
        <v>2</v>
      </c>
      <c r="AO136" s="215">
        <f t="shared" ref="AO136:AO157" si="219">AM136/AP136</f>
        <v>0.44444444444444448</v>
      </c>
      <c r="AP136" s="215">
        <f t="shared" ref="AP136:AP157" si="220">Np*$Y136*AK136/(R136*NS1_)</f>
        <v>0.19350000000000001</v>
      </c>
      <c r="AQ136" s="215">
        <f t="shared" ref="AQ136:AQ157" si="221">(AL136*AO136)/(Fsw*$AO$2)</f>
        <v>0.14673944943358574</v>
      </c>
      <c r="AR136" s="215">
        <f t="shared" si="142"/>
        <v>0.26686972471679288</v>
      </c>
      <c r="AS136" s="220">
        <f t="shared" si="143"/>
        <v>0.13205490805526368</v>
      </c>
      <c r="AT136" s="219"/>
      <c r="AU136" s="215">
        <f t="shared" ref="AU136:AU157" si="222">(AM136^2)*Rdcr1</f>
        <v>0.11330672000000003</v>
      </c>
      <c r="AV136" s="220">
        <f t="shared" si="144"/>
        <v>0.11330672000000003</v>
      </c>
      <c r="AW136" s="219">
        <f t="shared" ref="AW136:AW157" si="223">(VOUT1+((NS1_/Np)*S136))*QRR1_*Fsw</f>
        <v>6.8148E-2</v>
      </c>
      <c r="AX136" s="215">
        <f t="shared" ref="AX136:AX157" si="224">AM136*VD1_</f>
        <v>2.58E-2</v>
      </c>
      <c r="AY136" s="220">
        <f t="shared" si="145"/>
        <v>9.3948000000000004E-2</v>
      </c>
      <c r="AZ136" s="219">
        <f t="shared" si="204"/>
        <v>0</v>
      </c>
      <c r="BA136" s="215">
        <f t="shared" si="205"/>
        <v>0</v>
      </c>
      <c r="BB136" s="215">
        <f t="shared" si="146"/>
        <v>0</v>
      </c>
      <c r="BC136" s="61">
        <f t="shared" ref="BC136:BC157" si="225">IF(EN_OUT_2=1,AZ136/BA136,0)</f>
        <v>0</v>
      </c>
      <c r="BD136" s="58">
        <v>0</v>
      </c>
      <c r="BE136" s="49">
        <f t="shared" ref="BE136:BE157" si="226">(BB136^2)*Rdcr2</f>
        <v>0</v>
      </c>
      <c r="BF136" s="61">
        <f t="shared" si="147"/>
        <v>0</v>
      </c>
      <c r="BG136" s="58">
        <f t="shared" ref="BG136:BG157" si="227">(VOUT2+((NS2_/Np)*S136))*QRR2_*Fsw</f>
        <v>0</v>
      </c>
      <c r="BH136" s="49">
        <f t="shared" ref="BH136:BH157" si="228">BB136*VD2_</f>
        <v>0</v>
      </c>
      <c r="BI136" s="61">
        <f t="shared" ref="BI136:BI157" si="229">BH136+BG136</f>
        <v>0</v>
      </c>
      <c r="BK136" s="219">
        <f t="shared" si="206"/>
        <v>0</v>
      </c>
      <c r="BL136" s="215">
        <f t="shared" si="207"/>
        <v>0</v>
      </c>
      <c r="BM136" s="215">
        <f t="shared" si="208"/>
        <v>0</v>
      </c>
      <c r="BN136" s="61">
        <f t="shared" si="188"/>
        <v>0</v>
      </c>
      <c r="BO136" s="58">
        <v>0</v>
      </c>
      <c r="BP136" s="49">
        <f t="shared" ref="BP136:BP157" si="230">(BM136^2)*Rdcr3</f>
        <v>0</v>
      </c>
      <c r="BQ136" s="61">
        <f t="shared" si="148"/>
        <v>0</v>
      </c>
      <c r="BR136" s="58">
        <f t="shared" ref="BR136:BR157" si="231">(VOUT3+((NS3_/Np)*S136))*QRR3_*Fsw</f>
        <v>0</v>
      </c>
      <c r="BS136" s="49">
        <f t="shared" ref="BS136:BS157" si="232">BM136*VD3_</f>
        <v>0</v>
      </c>
      <c r="BT136" s="61">
        <f t="shared" si="149"/>
        <v>0</v>
      </c>
      <c r="BU136" s="58">
        <f t="shared" si="209"/>
        <v>4.3596246853710345E-4</v>
      </c>
      <c r="BV136" s="49">
        <f t="shared" si="210"/>
        <v>5.9629500000000002E-2</v>
      </c>
      <c r="BW136" s="61">
        <f t="shared" si="211"/>
        <v>5.4000000000000003E-3</v>
      </c>
      <c r="BX136" s="49">
        <f t="shared" ref="BX136:BX157" si="233">BF136+BQ136+AE136+AG136</f>
        <v>0.35974725089942122</v>
      </c>
      <c r="BY136" s="49">
        <f t="shared" ref="BY136:BY157" si="234">BW136+BV136+BU136+BT136+BQ136+BI136+BF136++AY136+AV136+AJ136+AF136+AE136+AG136</f>
        <v>0.67220727461460983</v>
      </c>
      <c r="BZ136" s="49">
        <f t="shared" ref="BZ136:BZ157" si="235">(R136/(R136+BY136))*100</f>
        <v>65.742290159094651</v>
      </c>
    </row>
    <row r="137" spans="17:78" x14ac:dyDescent="0.25">
      <c r="Q137" s="49">
        <v>130</v>
      </c>
      <c r="R137" s="219">
        <f t="shared" si="189"/>
        <v>1.3</v>
      </c>
      <c r="S137" s="215">
        <f t="shared" si="190"/>
        <v>12</v>
      </c>
      <c r="T137" s="220">
        <f t="shared" si="191"/>
        <v>0.10833333333333334</v>
      </c>
      <c r="U137" s="219">
        <f t="shared" si="192"/>
        <v>2</v>
      </c>
      <c r="V137" s="215">
        <f t="shared" si="193"/>
        <v>0.55555555555555558</v>
      </c>
      <c r="W137" s="215">
        <f t="shared" si="194"/>
        <v>0.44444444444444442</v>
      </c>
      <c r="X137" s="215">
        <f t="shared" si="212"/>
        <v>0</v>
      </c>
      <c r="Y137" s="219">
        <f t="shared" si="213"/>
        <v>0.19500000000000001</v>
      </c>
      <c r="Z137" s="215">
        <f t="shared" si="195"/>
        <v>0.14673944943358574</v>
      </c>
      <c r="AA137" s="215">
        <f t="shared" si="214"/>
        <v>0.26836972471679288</v>
      </c>
      <c r="AB137" s="220">
        <f t="shared" si="196"/>
        <v>0.14873423757445753</v>
      </c>
      <c r="AC137" s="219">
        <v>0</v>
      </c>
      <c r="AD137" s="215">
        <f t="shared" si="197"/>
        <v>0.33890710089942128</v>
      </c>
      <c r="AE137" s="220">
        <f t="shared" si="215"/>
        <v>0.33890710089942128</v>
      </c>
      <c r="AF137" s="58">
        <f t="shared" si="198"/>
        <v>2.6000000000000002E-2</v>
      </c>
      <c r="AG137" s="61">
        <f t="shared" si="199"/>
        <v>2.6000000000000002E-2</v>
      </c>
      <c r="AH137" s="58">
        <f t="shared" si="200"/>
        <v>1.9246029881363999E-4</v>
      </c>
      <c r="AI137" s="49">
        <f t="shared" si="201"/>
        <v>1.385678825169699E-2</v>
      </c>
      <c r="AJ137" s="61">
        <f t="shared" si="216"/>
        <v>1.404924855051063E-2</v>
      </c>
      <c r="AK137" s="219">
        <f t="shared" si="202"/>
        <v>1.3</v>
      </c>
      <c r="AL137" s="215">
        <f t="shared" si="203"/>
        <v>15</v>
      </c>
      <c r="AM137" s="220">
        <f t="shared" si="217"/>
        <v>8.666666666666667E-2</v>
      </c>
      <c r="AN137" s="219">
        <f t="shared" si="218"/>
        <v>2</v>
      </c>
      <c r="AO137" s="215">
        <f t="shared" si="219"/>
        <v>0.44444444444444442</v>
      </c>
      <c r="AP137" s="215">
        <f t="shared" si="220"/>
        <v>0.19500000000000001</v>
      </c>
      <c r="AQ137" s="215">
        <f t="shared" si="221"/>
        <v>0.14673944943358572</v>
      </c>
      <c r="AR137" s="215">
        <f t="shared" ref="AR137:AR157" si="236">AP137+(AQ137/2)</f>
        <v>0.26836972471679288</v>
      </c>
      <c r="AS137" s="220">
        <f t="shared" ref="AS137:AS157" si="237">CHOOSE(AN137,AR137*SQRT(AO137/3),SQRT(AO137*((AR137^2)+((AQ137^2)/(3))-(AQ137*AR137))))</f>
        <v>0.13303194631923621</v>
      </c>
      <c r="AT137" s="219"/>
      <c r="AU137" s="215">
        <f t="shared" si="222"/>
        <v>0.11507022222222223</v>
      </c>
      <c r="AV137" s="220">
        <f t="shared" ref="AV137:AV157" si="238">AT137+AU137</f>
        <v>0.11507022222222223</v>
      </c>
      <c r="AW137" s="219">
        <f t="shared" si="223"/>
        <v>6.8148E-2</v>
      </c>
      <c r="AX137" s="215">
        <f t="shared" si="224"/>
        <v>2.5999999999999999E-2</v>
      </c>
      <c r="AY137" s="220">
        <f t="shared" ref="AY137:AY157" si="239">AW137+AX137</f>
        <v>9.4147999999999996E-2</v>
      </c>
      <c r="AZ137" s="219">
        <f t="shared" si="204"/>
        <v>0</v>
      </c>
      <c r="BA137" s="215">
        <f t="shared" si="205"/>
        <v>0</v>
      </c>
      <c r="BB137" s="215">
        <f t="shared" ref="BB137:BB157" si="240">IF(EN_OUT_2=1,AZ137/BA137,0)</f>
        <v>0</v>
      </c>
      <c r="BC137" s="61">
        <f t="shared" si="225"/>
        <v>0</v>
      </c>
      <c r="BD137" s="58">
        <v>0</v>
      </c>
      <c r="BE137" s="49">
        <f t="shared" si="226"/>
        <v>0</v>
      </c>
      <c r="BF137" s="61">
        <f t="shared" ref="BF137:BF157" si="241">BD137+BE137</f>
        <v>0</v>
      </c>
      <c r="BG137" s="58">
        <f t="shared" si="227"/>
        <v>0</v>
      </c>
      <c r="BH137" s="49">
        <f t="shared" si="228"/>
        <v>0</v>
      </c>
      <c r="BI137" s="61">
        <f t="shared" si="229"/>
        <v>0</v>
      </c>
      <c r="BK137" s="219">
        <f t="shared" si="206"/>
        <v>0</v>
      </c>
      <c r="BL137" s="215">
        <f t="shared" si="207"/>
        <v>0</v>
      </c>
      <c r="BM137" s="215">
        <f t="shared" si="208"/>
        <v>0</v>
      </c>
      <c r="BN137" s="61">
        <f t="shared" si="188"/>
        <v>0</v>
      </c>
      <c r="BO137" s="58">
        <v>0</v>
      </c>
      <c r="BP137" s="49">
        <f t="shared" si="230"/>
        <v>0</v>
      </c>
      <c r="BQ137" s="61">
        <f t="shared" ref="BQ137:BQ157" si="242">BO137+BP137</f>
        <v>0</v>
      </c>
      <c r="BR137" s="58">
        <f t="shared" si="231"/>
        <v>0</v>
      </c>
      <c r="BS137" s="49">
        <f t="shared" si="232"/>
        <v>0</v>
      </c>
      <c r="BT137" s="61">
        <f t="shared" ref="BT137:BT157" si="243">BS137+BR137</f>
        <v>0</v>
      </c>
      <c r="BU137" s="58">
        <f t="shared" si="209"/>
        <v>4.4243746853710349E-4</v>
      </c>
      <c r="BV137" s="49">
        <f t="shared" si="210"/>
        <v>5.9629500000000002E-2</v>
      </c>
      <c r="BW137" s="61">
        <f t="shared" si="211"/>
        <v>5.4000000000000003E-3</v>
      </c>
      <c r="BX137" s="49">
        <f t="shared" si="233"/>
        <v>0.3649071008994213</v>
      </c>
      <c r="BY137" s="49">
        <f t="shared" si="234"/>
        <v>0.67964650914069136</v>
      </c>
      <c r="BZ137" s="49">
        <f t="shared" si="235"/>
        <v>65.668289464682928</v>
      </c>
    </row>
    <row r="138" spans="17:78" x14ac:dyDescent="0.25">
      <c r="Q138" s="49">
        <v>131</v>
      </c>
      <c r="R138" s="219">
        <f t="shared" si="189"/>
        <v>1.31</v>
      </c>
      <c r="S138" s="215">
        <f t="shared" si="190"/>
        <v>12</v>
      </c>
      <c r="T138" s="220">
        <f t="shared" si="191"/>
        <v>0.10916666666666668</v>
      </c>
      <c r="U138" s="219">
        <f t="shared" si="192"/>
        <v>2</v>
      </c>
      <c r="V138" s="215">
        <f t="shared" si="193"/>
        <v>0.55555555555555558</v>
      </c>
      <c r="W138" s="215">
        <f t="shared" si="194"/>
        <v>0.44444444444444442</v>
      </c>
      <c r="X138" s="215">
        <f t="shared" si="212"/>
        <v>0</v>
      </c>
      <c r="Y138" s="219">
        <f t="shared" si="213"/>
        <v>0.19650000000000001</v>
      </c>
      <c r="Z138" s="215">
        <f t="shared" si="195"/>
        <v>0.14673944943358574</v>
      </c>
      <c r="AA138" s="215">
        <f t="shared" si="214"/>
        <v>0.26986972471679288</v>
      </c>
      <c r="AB138" s="220">
        <f t="shared" si="196"/>
        <v>0.14982697830115638</v>
      </c>
      <c r="AC138" s="219">
        <v>0</v>
      </c>
      <c r="AD138" s="215">
        <f t="shared" si="197"/>
        <v>0.34390525089942142</v>
      </c>
      <c r="AE138" s="220">
        <f t="shared" si="215"/>
        <v>0.34390525089942142</v>
      </c>
      <c r="AF138" s="58">
        <f t="shared" si="198"/>
        <v>2.6200000000000001E-2</v>
      </c>
      <c r="AG138" s="61">
        <f t="shared" si="199"/>
        <v>2.6200000000000001E-2</v>
      </c>
      <c r="AH138" s="58">
        <f t="shared" si="200"/>
        <v>1.9529867381364008E-4</v>
      </c>
      <c r="AI138" s="49">
        <f t="shared" si="201"/>
        <v>1.3963378930556197E-2</v>
      </c>
      <c r="AJ138" s="61">
        <f t="shared" si="216"/>
        <v>1.4158677604369837E-2</v>
      </c>
      <c r="AK138" s="219">
        <f t="shared" si="202"/>
        <v>1.31</v>
      </c>
      <c r="AL138" s="215">
        <f t="shared" si="203"/>
        <v>15</v>
      </c>
      <c r="AM138" s="220">
        <f t="shared" si="217"/>
        <v>8.7333333333333332E-2</v>
      </c>
      <c r="AN138" s="219">
        <f t="shared" si="218"/>
        <v>2</v>
      </c>
      <c r="AO138" s="215">
        <f t="shared" si="219"/>
        <v>0.44444444444444442</v>
      </c>
      <c r="AP138" s="215">
        <f t="shared" si="220"/>
        <v>0.19650000000000001</v>
      </c>
      <c r="AQ138" s="215">
        <f t="shared" si="221"/>
        <v>0.14673944943358572</v>
      </c>
      <c r="AR138" s="215">
        <f t="shared" si="236"/>
        <v>0.26986972471679288</v>
      </c>
      <c r="AS138" s="220">
        <f t="shared" si="237"/>
        <v>0.13400932333790863</v>
      </c>
      <c r="AT138" s="219"/>
      <c r="AU138" s="215">
        <f t="shared" si="222"/>
        <v>0.11684734222222222</v>
      </c>
      <c r="AV138" s="220">
        <f t="shared" si="238"/>
        <v>0.11684734222222222</v>
      </c>
      <c r="AW138" s="219">
        <f t="shared" si="223"/>
        <v>6.8148E-2</v>
      </c>
      <c r="AX138" s="215">
        <f t="shared" si="224"/>
        <v>2.6199999999999998E-2</v>
      </c>
      <c r="AY138" s="220">
        <f t="shared" si="239"/>
        <v>9.4348000000000001E-2</v>
      </c>
      <c r="AZ138" s="219">
        <f t="shared" si="204"/>
        <v>0</v>
      </c>
      <c r="BA138" s="215">
        <f t="shared" si="205"/>
        <v>0</v>
      </c>
      <c r="BB138" s="215">
        <f t="shared" si="240"/>
        <v>0</v>
      </c>
      <c r="BC138" s="61">
        <f t="shared" si="225"/>
        <v>0</v>
      </c>
      <c r="BD138" s="58">
        <v>0</v>
      </c>
      <c r="BE138" s="49">
        <f t="shared" si="226"/>
        <v>0</v>
      </c>
      <c r="BF138" s="61">
        <f t="shared" si="241"/>
        <v>0</v>
      </c>
      <c r="BG138" s="58">
        <f t="shared" si="227"/>
        <v>0</v>
      </c>
      <c r="BH138" s="49">
        <f t="shared" si="228"/>
        <v>0</v>
      </c>
      <c r="BI138" s="61">
        <f t="shared" si="229"/>
        <v>0</v>
      </c>
      <c r="BK138" s="219">
        <f t="shared" si="206"/>
        <v>0</v>
      </c>
      <c r="BL138" s="215">
        <f t="shared" si="207"/>
        <v>0</v>
      </c>
      <c r="BM138" s="215">
        <f t="shared" si="208"/>
        <v>0</v>
      </c>
      <c r="BN138" s="61">
        <f t="shared" si="188"/>
        <v>0</v>
      </c>
      <c r="BO138" s="58">
        <v>0</v>
      </c>
      <c r="BP138" s="49">
        <f t="shared" si="230"/>
        <v>0</v>
      </c>
      <c r="BQ138" s="61">
        <f t="shared" si="242"/>
        <v>0</v>
      </c>
      <c r="BR138" s="58">
        <f t="shared" si="231"/>
        <v>0</v>
      </c>
      <c r="BS138" s="49">
        <f t="shared" si="232"/>
        <v>0</v>
      </c>
      <c r="BT138" s="61">
        <f t="shared" si="243"/>
        <v>0</v>
      </c>
      <c r="BU138" s="58">
        <f t="shared" si="209"/>
        <v>4.4896246853710366E-4</v>
      </c>
      <c r="BV138" s="49">
        <f t="shared" si="210"/>
        <v>5.9629500000000002E-2</v>
      </c>
      <c r="BW138" s="61">
        <f t="shared" si="211"/>
        <v>5.4000000000000003E-3</v>
      </c>
      <c r="BX138" s="49">
        <f t="shared" si="233"/>
        <v>0.37010525089942142</v>
      </c>
      <c r="BY138" s="49">
        <f t="shared" si="234"/>
        <v>0.68713773319455052</v>
      </c>
      <c r="BZ138" s="49">
        <f t="shared" si="235"/>
        <v>65.593873583499445</v>
      </c>
    </row>
    <row r="139" spans="17:78" x14ac:dyDescent="0.25">
      <c r="Q139" s="49">
        <v>132</v>
      </c>
      <c r="R139" s="219">
        <f t="shared" si="189"/>
        <v>1.32</v>
      </c>
      <c r="S139" s="215">
        <f t="shared" si="190"/>
        <v>12</v>
      </c>
      <c r="T139" s="220">
        <f t="shared" si="191"/>
        <v>0.11</v>
      </c>
      <c r="U139" s="219">
        <f t="shared" si="192"/>
        <v>2</v>
      </c>
      <c r="V139" s="215">
        <f t="shared" si="193"/>
        <v>0.55555555555555558</v>
      </c>
      <c r="W139" s="215">
        <f t="shared" si="194"/>
        <v>0.44444444444444442</v>
      </c>
      <c r="X139" s="215">
        <f t="shared" si="212"/>
        <v>0</v>
      </c>
      <c r="Y139" s="219">
        <f t="shared" si="213"/>
        <v>0.19800000000000001</v>
      </c>
      <c r="Z139" s="215">
        <f t="shared" si="195"/>
        <v>0.14673944943358574</v>
      </c>
      <c r="AA139" s="215">
        <f t="shared" si="214"/>
        <v>0.27136972471679288</v>
      </c>
      <c r="AB139" s="220">
        <f t="shared" si="196"/>
        <v>0.15092008954031</v>
      </c>
      <c r="AC139" s="219">
        <v>0</v>
      </c>
      <c r="AD139" s="215">
        <f t="shared" si="197"/>
        <v>0.34894170089942145</v>
      </c>
      <c r="AE139" s="220">
        <f t="shared" si="215"/>
        <v>0.34894170089942145</v>
      </c>
      <c r="AF139" s="58">
        <f t="shared" si="198"/>
        <v>2.6400000000000003E-2</v>
      </c>
      <c r="AG139" s="61">
        <f t="shared" si="199"/>
        <v>2.6400000000000003E-2</v>
      </c>
      <c r="AH139" s="58">
        <f t="shared" si="200"/>
        <v>1.9815879881364011E-4</v>
      </c>
      <c r="AI139" s="49">
        <f t="shared" si="201"/>
        <v>1.40699696094154E-2</v>
      </c>
      <c r="AJ139" s="61">
        <f t="shared" si="216"/>
        <v>1.4268128408229041E-2</v>
      </c>
      <c r="AK139" s="219">
        <f t="shared" si="202"/>
        <v>1.32</v>
      </c>
      <c r="AL139" s="215">
        <f t="shared" si="203"/>
        <v>15</v>
      </c>
      <c r="AM139" s="220">
        <f t="shared" si="217"/>
        <v>8.8000000000000009E-2</v>
      </c>
      <c r="AN139" s="219">
        <f t="shared" si="218"/>
        <v>2</v>
      </c>
      <c r="AO139" s="215">
        <f t="shared" si="219"/>
        <v>0.44444444444444448</v>
      </c>
      <c r="AP139" s="215">
        <f t="shared" si="220"/>
        <v>0.19800000000000001</v>
      </c>
      <c r="AQ139" s="215">
        <f t="shared" si="221"/>
        <v>0.14673944943358574</v>
      </c>
      <c r="AR139" s="215">
        <f t="shared" si="236"/>
        <v>0.27136972471679288</v>
      </c>
      <c r="AS139" s="220">
        <f t="shared" si="237"/>
        <v>0.13498703175299526</v>
      </c>
      <c r="AT139" s="219"/>
      <c r="AU139" s="215">
        <f t="shared" si="222"/>
        <v>0.11863808000000003</v>
      </c>
      <c r="AV139" s="220">
        <f t="shared" si="238"/>
        <v>0.11863808000000003</v>
      </c>
      <c r="AW139" s="219">
        <f t="shared" si="223"/>
        <v>6.8148E-2</v>
      </c>
      <c r="AX139" s="215">
        <f t="shared" si="224"/>
        <v>2.6400000000000003E-2</v>
      </c>
      <c r="AY139" s="220">
        <f t="shared" si="239"/>
        <v>9.4548000000000007E-2</v>
      </c>
      <c r="AZ139" s="219">
        <f t="shared" si="204"/>
        <v>0</v>
      </c>
      <c r="BA139" s="215">
        <f t="shared" si="205"/>
        <v>0</v>
      </c>
      <c r="BB139" s="215">
        <f t="shared" si="240"/>
        <v>0</v>
      </c>
      <c r="BC139" s="61">
        <f t="shared" si="225"/>
        <v>0</v>
      </c>
      <c r="BD139" s="58">
        <v>0</v>
      </c>
      <c r="BE139" s="49">
        <f t="shared" si="226"/>
        <v>0</v>
      </c>
      <c r="BF139" s="61">
        <f t="shared" si="241"/>
        <v>0</v>
      </c>
      <c r="BG139" s="58">
        <f t="shared" si="227"/>
        <v>0</v>
      </c>
      <c r="BH139" s="49">
        <f t="shared" si="228"/>
        <v>0</v>
      </c>
      <c r="BI139" s="61">
        <f t="shared" si="229"/>
        <v>0</v>
      </c>
      <c r="BK139" s="219">
        <f t="shared" si="206"/>
        <v>0</v>
      </c>
      <c r="BL139" s="215">
        <f t="shared" si="207"/>
        <v>0</v>
      </c>
      <c r="BM139" s="215">
        <f t="shared" si="208"/>
        <v>0</v>
      </c>
      <c r="BN139" s="61">
        <f t="shared" si="188"/>
        <v>0</v>
      </c>
      <c r="BO139" s="58">
        <v>0</v>
      </c>
      <c r="BP139" s="49">
        <f t="shared" si="230"/>
        <v>0</v>
      </c>
      <c r="BQ139" s="61">
        <f t="shared" si="242"/>
        <v>0</v>
      </c>
      <c r="BR139" s="58">
        <f t="shared" si="231"/>
        <v>0</v>
      </c>
      <c r="BS139" s="49">
        <f t="shared" si="232"/>
        <v>0</v>
      </c>
      <c r="BT139" s="61">
        <f t="shared" si="243"/>
        <v>0</v>
      </c>
      <c r="BU139" s="58">
        <f t="shared" si="209"/>
        <v>4.5553746853710375E-4</v>
      </c>
      <c r="BV139" s="49">
        <f t="shared" si="210"/>
        <v>5.9629500000000002E-2</v>
      </c>
      <c r="BW139" s="61">
        <f t="shared" si="211"/>
        <v>5.4000000000000003E-3</v>
      </c>
      <c r="BX139" s="49">
        <f t="shared" si="233"/>
        <v>0.37534170089942143</v>
      </c>
      <c r="BY139" s="49">
        <f t="shared" si="234"/>
        <v>0.69468094677618764</v>
      </c>
      <c r="BZ139" s="49">
        <f t="shared" si="235"/>
        <v>65.519059090334466</v>
      </c>
    </row>
    <row r="140" spans="17:78" x14ac:dyDescent="0.25">
      <c r="Q140" s="49">
        <v>133</v>
      </c>
      <c r="R140" s="219">
        <f t="shared" si="189"/>
        <v>1.33</v>
      </c>
      <c r="S140" s="215">
        <f t="shared" si="190"/>
        <v>12</v>
      </c>
      <c r="T140" s="220">
        <f t="shared" si="191"/>
        <v>0.11083333333333334</v>
      </c>
      <c r="U140" s="219">
        <f t="shared" si="192"/>
        <v>2</v>
      </c>
      <c r="V140" s="215">
        <f t="shared" si="193"/>
        <v>0.55555555555555558</v>
      </c>
      <c r="W140" s="215">
        <f t="shared" si="194"/>
        <v>0.44444444444444442</v>
      </c>
      <c r="X140" s="215">
        <f t="shared" si="212"/>
        <v>0</v>
      </c>
      <c r="Y140" s="219">
        <f t="shared" si="213"/>
        <v>0.19950000000000001</v>
      </c>
      <c r="Z140" s="215">
        <f t="shared" si="195"/>
        <v>0.14673944943358574</v>
      </c>
      <c r="AA140" s="215">
        <f t="shared" si="214"/>
        <v>0.27286972471679288</v>
      </c>
      <c r="AB140" s="220">
        <f t="shared" si="196"/>
        <v>0.15201356329898719</v>
      </c>
      <c r="AC140" s="219">
        <v>0</v>
      </c>
      <c r="AD140" s="215">
        <f t="shared" si="197"/>
        <v>0.35401645089942141</v>
      </c>
      <c r="AE140" s="220">
        <f t="shared" si="215"/>
        <v>0.35401645089942141</v>
      </c>
      <c r="AF140" s="58">
        <f t="shared" si="198"/>
        <v>2.6600000000000002E-2</v>
      </c>
      <c r="AG140" s="61">
        <f t="shared" si="199"/>
        <v>2.6600000000000002E-2</v>
      </c>
      <c r="AH140" s="58">
        <f t="shared" si="200"/>
        <v>2.010406738136401E-4</v>
      </c>
      <c r="AI140" s="49">
        <f t="shared" si="201"/>
        <v>1.4176560288274609E-2</v>
      </c>
      <c r="AJ140" s="61">
        <f t="shared" si="216"/>
        <v>1.4377600962088248E-2</v>
      </c>
      <c r="AK140" s="219">
        <f t="shared" si="202"/>
        <v>1.33</v>
      </c>
      <c r="AL140" s="215">
        <f t="shared" si="203"/>
        <v>15</v>
      </c>
      <c r="AM140" s="220">
        <f t="shared" si="217"/>
        <v>8.8666666666666671E-2</v>
      </c>
      <c r="AN140" s="219">
        <f t="shared" si="218"/>
        <v>2</v>
      </c>
      <c r="AO140" s="215">
        <f t="shared" si="219"/>
        <v>0.44444444444444442</v>
      </c>
      <c r="AP140" s="215">
        <f t="shared" si="220"/>
        <v>0.19950000000000001</v>
      </c>
      <c r="AQ140" s="215">
        <f t="shared" si="221"/>
        <v>0.14673944943358572</v>
      </c>
      <c r="AR140" s="215">
        <f t="shared" si="236"/>
        <v>0.27286972471679288</v>
      </c>
      <c r="AS140" s="220">
        <f t="shared" si="237"/>
        <v>0.13596506441540102</v>
      </c>
      <c r="AT140" s="219"/>
      <c r="AU140" s="215">
        <f t="shared" si="222"/>
        <v>0.12044243555555556</v>
      </c>
      <c r="AV140" s="220">
        <f t="shared" si="238"/>
        <v>0.12044243555555556</v>
      </c>
      <c r="AW140" s="219">
        <f t="shared" si="223"/>
        <v>6.8148E-2</v>
      </c>
      <c r="AX140" s="215">
        <f t="shared" si="224"/>
        <v>2.6600000000000002E-2</v>
      </c>
      <c r="AY140" s="220">
        <f t="shared" si="239"/>
        <v>9.4747999999999999E-2</v>
      </c>
      <c r="AZ140" s="219">
        <f t="shared" si="204"/>
        <v>0</v>
      </c>
      <c r="BA140" s="215">
        <f t="shared" si="205"/>
        <v>0</v>
      </c>
      <c r="BB140" s="215">
        <f t="shared" si="240"/>
        <v>0</v>
      </c>
      <c r="BC140" s="61">
        <f t="shared" si="225"/>
        <v>0</v>
      </c>
      <c r="BD140" s="58">
        <v>0</v>
      </c>
      <c r="BE140" s="49">
        <f t="shared" si="226"/>
        <v>0</v>
      </c>
      <c r="BF140" s="61">
        <f t="shared" si="241"/>
        <v>0</v>
      </c>
      <c r="BG140" s="58">
        <f t="shared" si="227"/>
        <v>0</v>
      </c>
      <c r="BH140" s="49">
        <f t="shared" si="228"/>
        <v>0</v>
      </c>
      <c r="BI140" s="61">
        <f t="shared" si="229"/>
        <v>0</v>
      </c>
      <c r="BK140" s="219">
        <f t="shared" si="206"/>
        <v>0</v>
      </c>
      <c r="BL140" s="215">
        <f t="shared" si="207"/>
        <v>0</v>
      </c>
      <c r="BM140" s="215">
        <f t="shared" si="208"/>
        <v>0</v>
      </c>
      <c r="BN140" s="61">
        <f t="shared" si="188"/>
        <v>0</v>
      </c>
      <c r="BO140" s="58">
        <v>0</v>
      </c>
      <c r="BP140" s="49">
        <f t="shared" si="230"/>
        <v>0</v>
      </c>
      <c r="BQ140" s="61">
        <f t="shared" si="242"/>
        <v>0</v>
      </c>
      <c r="BR140" s="58">
        <f t="shared" si="231"/>
        <v>0</v>
      </c>
      <c r="BS140" s="49">
        <f t="shared" si="232"/>
        <v>0</v>
      </c>
      <c r="BT140" s="61">
        <f t="shared" si="243"/>
        <v>0</v>
      </c>
      <c r="BU140" s="58">
        <f t="shared" si="209"/>
        <v>4.6216246853710371E-4</v>
      </c>
      <c r="BV140" s="49">
        <f t="shared" si="210"/>
        <v>5.9629500000000002E-2</v>
      </c>
      <c r="BW140" s="61">
        <f t="shared" si="211"/>
        <v>5.4000000000000003E-3</v>
      </c>
      <c r="BX140" s="49">
        <f t="shared" si="233"/>
        <v>0.38061645089942142</v>
      </c>
      <c r="BY140" s="49">
        <f t="shared" si="234"/>
        <v>0.70227614988560227</v>
      </c>
      <c r="BZ140" s="49">
        <f t="shared" si="235"/>
        <v>65.443862049695682</v>
      </c>
    </row>
    <row r="141" spans="17:78" x14ac:dyDescent="0.25">
      <c r="Q141" s="49">
        <v>134</v>
      </c>
      <c r="R141" s="219">
        <f t="shared" si="189"/>
        <v>1.34</v>
      </c>
      <c r="S141" s="215">
        <f t="shared" si="190"/>
        <v>12</v>
      </c>
      <c r="T141" s="220">
        <f t="shared" si="191"/>
        <v>0.11166666666666668</v>
      </c>
      <c r="U141" s="219">
        <f t="shared" si="192"/>
        <v>2</v>
      </c>
      <c r="V141" s="215">
        <f t="shared" si="193"/>
        <v>0.55555555555555558</v>
      </c>
      <c r="W141" s="215">
        <f t="shared" si="194"/>
        <v>0.44444444444444442</v>
      </c>
      <c r="X141" s="215">
        <f t="shared" si="212"/>
        <v>0</v>
      </c>
      <c r="Y141" s="219">
        <f t="shared" si="213"/>
        <v>0.20100000000000001</v>
      </c>
      <c r="Z141" s="215">
        <f t="shared" si="195"/>
        <v>0.14673944943358574</v>
      </c>
      <c r="AA141" s="215">
        <f t="shared" si="214"/>
        <v>0.27436972471679288</v>
      </c>
      <c r="AB141" s="220">
        <f t="shared" si="196"/>
        <v>0.15310739180998148</v>
      </c>
      <c r="AC141" s="219">
        <v>0</v>
      </c>
      <c r="AD141" s="215">
        <f t="shared" si="197"/>
        <v>0.35912950089942142</v>
      </c>
      <c r="AE141" s="220">
        <f t="shared" si="215"/>
        <v>0.35912950089942142</v>
      </c>
      <c r="AF141" s="58">
        <f t="shared" si="198"/>
        <v>2.6800000000000001E-2</v>
      </c>
      <c r="AG141" s="61">
        <f t="shared" si="199"/>
        <v>2.6800000000000001E-2</v>
      </c>
      <c r="AH141" s="58">
        <f t="shared" si="200"/>
        <v>2.039442988136401E-4</v>
      </c>
      <c r="AI141" s="49">
        <f t="shared" si="201"/>
        <v>1.4283150967133817E-2</v>
      </c>
      <c r="AJ141" s="61">
        <f t="shared" si="216"/>
        <v>1.4487095265947457E-2</v>
      </c>
      <c r="AK141" s="219">
        <f t="shared" si="202"/>
        <v>1.34</v>
      </c>
      <c r="AL141" s="215">
        <f t="shared" si="203"/>
        <v>15</v>
      </c>
      <c r="AM141" s="220">
        <f t="shared" si="217"/>
        <v>8.9333333333333334E-2</v>
      </c>
      <c r="AN141" s="219">
        <f t="shared" si="218"/>
        <v>2</v>
      </c>
      <c r="AO141" s="215">
        <f t="shared" si="219"/>
        <v>0.44444444444444442</v>
      </c>
      <c r="AP141" s="215">
        <f t="shared" si="220"/>
        <v>0.20100000000000001</v>
      </c>
      <c r="AQ141" s="215">
        <f t="shared" si="221"/>
        <v>0.14673944943358572</v>
      </c>
      <c r="AR141" s="215">
        <f t="shared" si="236"/>
        <v>0.27436972471679288</v>
      </c>
      <c r="AS141" s="220">
        <f t="shared" si="237"/>
        <v>0.13694341437792526</v>
      </c>
      <c r="AT141" s="219"/>
      <c r="AU141" s="215">
        <f t="shared" si="222"/>
        <v>0.12226040888888889</v>
      </c>
      <c r="AV141" s="220">
        <f t="shared" si="238"/>
        <v>0.12226040888888889</v>
      </c>
      <c r="AW141" s="219">
        <f t="shared" si="223"/>
        <v>6.8148E-2</v>
      </c>
      <c r="AX141" s="215">
        <f t="shared" si="224"/>
        <v>2.6800000000000001E-2</v>
      </c>
      <c r="AY141" s="220">
        <f t="shared" si="239"/>
        <v>9.4948000000000005E-2</v>
      </c>
      <c r="AZ141" s="219">
        <f t="shared" si="204"/>
        <v>0</v>
      </c>
      <c r="BA141" s="215">
        <f t="shared" si="205"/>
        <v>0</v>
      </c>
      <c r="BB141" s="215">
        <f t="shared" si="240"/>
        <v>0</v>
      </c>
      <c r="BC141" s="61">
        <f t="shared" si="225"/>
        <v>0</v>
      </c>
      <c r="BD141" s="58">
        <v>0</v>
      </c>
      <c r="BE141" s="49">
        <f t="shared" si="226"/>
        <v>0</v>
      </c>
      <c r="BF141" s="61">
        <f t="shared" si="241"/>
        <v>0</v>
      </c>
      <c r="BG141" s="58">
        <f t="shared" si="227"/>
        <v>0</v>
      </c>
      <c r="BH141" s="49">
        <f t="shared" si="228"/>
        <v>0</v>
      </c>
      <c r="BI141" s="61">
        <f t="shared" si="229"/>
        <v>0</v>
      </c>
      <c r="BK141" s="219">
        <f t="shared" si="206"/>
        <v>0</v>
      </c>
      <c r="BL141" s="215">
        <f t="shared" si="207"/>
        <v>0</v>
      </c>
      <c r="BM141" s="215">
        <f t="shared" si="208"/>
        <v>0</v>
      </c>
      <c r="BN141" s="61">
        <f t="shared" si="188"/>
        <v>0</v>
      </c>
      <c r="BO141" s="58">
        <v>0</v>
      </c>
      <c r="BP141" s="49">
        <f t="shared" si="230"/>
        <v>0</v>
      </c>
      <c r="BQ141" s="61">
        <f t="shared" si="242"/>
        <v>0</v>
      </c>
      <c r="BR141" s="58">
        <f t="shared" si="231"/>
        <v>0</v>
      </c>
      <c r="BS141" s="49">
        <f t="shared" si="232"/>
        <v>0</v>
      </c>
      <c r="BT141" s="61">
        <f t="shared" si="243"/>
        <v>0</v>
      </c>
      <c r="BU141" s="58">
        <f t="shared" si="209"/>
        <v>4.688374685371037E-4</v>
      </c>
      <c r="BV141" s="49">
        <f t="shared" si="210"/>
        <v>5.9629500000000002E-2</v>
      </c>
      <c r="BW141" s="61">
        <f t="shared" si="211"/>
        <v>5.4000000000000003E-3</v>
      </c>
      <c r="BX141" s="49">
        <f t="shared" si="233"/>
        <v>0.38592950089942141</v>
      </c>
      <c r="BY141" s="49">
        <f t="shared" si="234"/>
        <v>0.70992334252279488</v>
      </c>
      <c r="BZ141" s="49">
        <f t="shared" si="235"/>
        <v>65.368298033569005</v>
      </c>
    </row>
    <row r="142" spans="17:78" x14ac:dyDescent="0.25">
      <c r="Q142" s="49">
        <v>135</v>
      </c>
      <c r="R142" s="219">
        <f t="shared" si="189"/>
        <v>1.35</v>
      </c>
      <c r="S142" s="215">
        <f t="shared" si="190"/>
        <v>12</v>
      </c>
      <c r="T142" s="220">
        <f t="shared" si="191"/>
        <v>0.1125</v>
      </c>
      <c r="U142" s="219">
        <f t="shared" si="192"/>
        <v>2</v>
      </c>
      <c r="V142" s="215">
        <f t="shared" si="193"/>
        <v>0.55555555555555558</v>
      </c>
      <c r="W142" s="215">
        <f t="shared" si="194"/>
        <v>0.44444444444444442</v>
      </c>
      <c r="X142" s="215">
        <f t="shared" si="212"/>
        <v>0</v>
      </c>
      <c r="Y142" s="219">
        <f t="shared" si="213"/>
        <v>0.20250000000000001</v>
      </c>
      <c r="Z142" s="215">
        <f t="shared" si="195"/>
        <v>0.14673944943358574</v>
      </c>
      <c r="AA142" s="215">
        <f t="shared" si="214"/>
        <v>0.27586972471679289</v>
      </c>
      <c r="AB142" s="220">
        <f t="shared" si="196"/>
        <v>0.1542015675239885</v>
      </c>
      <c r="AC142" s="219">
        <v>0</v>
      </c>
      <c r="AD142" s="215">
        <f t="shared" si="197"/>
        <v>0.36428085089942142</v>
      </c>
      <c r="AE142" s="220">
        <f t="shared" si="215"/>
        <v>0.36428085089942142</v>
      </c>
      <c r="AF142" s="58">
        <f t="shared" si="198"/>
        <v>2.7000000000000003E-2</v>
      </c>
      <c r="AG142" s="61">
        <f t="shared" si="199"/>
        <v>2.7000000000000003E-2</v>
      </c>
      <c r="AH142" s="58">
        <f t="shared" si="200"/>
        <v>2.068696738136401E-4</v>
      </c>
      <c r="AI142" s="49">
        <f t="shared" si="201"/>
        <v>1.4389741645993024E-2</v>
      </c>
      <c r="AJ142" s="61">
        <f t="shared" si="216"/>
        <v>1.4596611319806664E-2</v>
      </c>
      <c r="AK142" s="219">
        <f t="shared" si="202"/>
        <v>1.35</v>
      </c>
      <c r="AL142" s="215">
        <f t="shared" si="203"/>
        <v>15</v>
      </c>
      <c r="AM142" s="220">
        <f t="shared" si="217"/>
        <v>9.0000000000000011E-2</v>
      </c>
      <c r="AN142" s="219">
        <f t="shared" si="218"/>
        <v>2</v>
      </c>
      <c r="AO142" s="215">
        <f t="shared" si="219"/>
        <v>0.44444444444444448</v>
      </c>
      <c r="AP142" s="215">
        <f t="shared" si="220"/>
        <v>0.20250000000000001</v>
      </c>
      <c r="AQ142" s="215">
        <f t="shared" si="221"/>
        <v>0.14673944943358574</v>
      </c>
      <c r="AR142" s="215">
        <f t="shared" si="236"/>
        <v>0.27586972471679289</v>
      </c>
      <c r="AS142" s="220">
        <f t="shared" si="237"/>
        <v>0.13792207488826488</v>
      </c>
      <c r="AT142" s="219"/>
      <c r="AU142" s="215">
        <f t="shared" si="222"/>
        <v>0.12409200000000002</v>
      </c>
      <c r="AV142" s="220">
        <f t="shared" si="238"/>
        <v>0.12409200000000002</v>
      </c>
      <c r="AW142" s="219">
        <f t="shared" si="223"/>
        <v>6.8148E-2</v>
      </c>
      <c r="AX142" s="215">
        <f t="shared" si="224"/>
        <v>2.7000000000000003E-2</v>
      </c>
      <c r="AY142" s="220">
        <f t="shared" si="239"/>
        <v>9.514800000000001E-2</v>
      </c>
      <c r="AZ142" s="219">
        <f t="shared" si="204"/>
        <v>0</v>
      </c>
      <c r="BA142" s="215">
        <f t="shared" si="205"/>
        <v>0</v>
      </c>
      <c r="BB142" s="215">
        <f t="shared" si="240"/>
        <v>0</v>
      </c>
      <c r="BC142" s="61">
        <f t="shared" si="225"/>
        <v>0</v>
      </c>
      <c r="BD142" s="58">
        <v>0</v>
      </c>
      <c r="BE142" s="49">
        <f t="shared" si="226"/>
        <v>0</v>
      </c>
      <c r="BF142" s="61">
        <f t="shared" si="241"/>
        <v>0</v>
      </c>
      <c r="BG142" s="58">
        <f t="shared" si="227"/>
        <v>0</v>
      </c>
      <c r="BH142" s="49">
        <f t="shared" si="228"/>
        <v>0</v>
      </c>
      <c r="BI142" s="61">
        <f t="shared" si="229"/>
        <v>0</v>
      </c>
      <c r="BK142" s="219">
        <f t="shared" si="206"/>
        <v>0</v>
      </c>
      <c r="BL142" s="215">
        <f t="shared" si="207"/>
        <v>0</v>
      </c>
      <c r="BM142" s="215">
        <f t="shared" si="208"/>
        <v>0</v>
      </c>
      <c r="BN142" s="61">
        <f t="shared" si="188"/>
        <v>0</v>
      </c>
      <c r="BO142" s="58">
        <v>0</v>
      </c>
      <c r="BP142" s="49">
        <f t="shared" si="230"/>
        <v>0</v>
      </c>
      <c r="BQ142" s="61">
        <f t="shared" si="242"/>
        <v>0</v>
      </c>
      <c r="BR142" s="58">
        <f t="shared" si="231"/>
        <v>0</v>
      </c>
      <c r="BS142" s="49">
        <f t="shared" si="232"/>
        <v>0</v>
      </c>
      <c r="BT142" s="61">
        <f t="shared" si="243"/>
        <v>0</v>
      </c>
      <c r="BU142" s="58">
        <f t="shared" si="209"/>
        <v>4.7556246853710371E-4</v>
      </c>
      <c r="BV142" s="49">
        <f t="shared" si="210"/>
        <v>5.9629500000000002E-2</v>
      </c>
      <c r="BW142" s="61">
        <f t="shared" si="211"/>
        <v>5.4000000000000003E-3</v>
      </c>
      <c r="BX142" s="49">
        <f t="shared" si="233"/>
        <v>0.39128085089942144</v>
      </c>
      <c r="BY142" s="49">
        <f t="shared" si="234"/>
        <v>0.71762252468776533</v>
      </c>
      <c r="BZ142" s="49">
        <f t="shared" si="235"/>
        <v>65.292382138459516</v>
      </c>
    </row>
    <row r="143" spans="17:78" x14ac:dyDescent="0.25">
      <c r="Q143" s="49">
        <v>136</v>
      </c>
      <c r="R143" s="219">
        <f t="shared" si="189"/>
        <v>1.36</v>
      </c>
      <c r="S143" s="215">
        <f t="shared" si="190"/>
        <v>12</v>
      </c>
      <c r="T143" s="220">
        <f t="shared" si="191"/>
        <v>0.11333333333333334</v>
      </c>
      <c r="U143" s="219">
        <f t="shared" si="192"/>
        <v>2</v>
      </c>
      <c r="V143" s="215">
        <f t="shared" si="193"/>
        <v>0.55555555555555558</v>
      </c>
      <c r="W143" s="215">
        <f t="shared" si="194"/>
        <v>0.44444444444444442</v>
      </c>
      <c r="X143" s="215">
        <f t="shared" si="212"/>
        <v>0</v>
      </c>
      <c r="Y143" s="219">
        <f t="shared" si="213"/>
        <v>0.20400000000000001</v>
      </c>
      <c r="Z143" s="215">
        <f t="shared" si="195"/>
        <v>0.14673944943358574</v>
      </c>
      <c r="AA143" s="215">
        <f t="shared" si="214"/>
        <v>0.27736972471679289</v>
      </c>
      <c r="AB143" s="220">
        <f t="shared" si="196"/>
        <v>0.15529608310210269</v>
      </c>
      <c r="AC143" s="219">
        <v>0</v>
      </c>
      <c r="AD143" s="215">
        <f t="shared" si="197"/>
        <v>0.36947050089942141</v>
      </c>
      <c r="AE143" s="220">
        <f t="shared" si="215"/>
        <v>0.36947050089942141</v>
      </c>
      <c r="AF143" s="58">
        <f t="shared" si="198"/>
        <v>2.7200000000000002E-2</v>
      </c>
      <c r="AG143" s="61">
        <f t="shared" si="199"/>
        <v>2.7200000000000002E-2</v>
      </c>
      <c r="AH143" s="58">
        <f t="shared" si="200"/>
        <v>2.0981679881364008E-4</v>
      </c>
      <c r="AI143" s="49">
        <f t="shared" si="201"/>
        <v>1.4496332324852231E-2</v>
      </c>
      <c r="AJ143" s="61">
        <f t="shared" si="216"/>
        <v>1.4706149123665871E-2</v>
      </c>
      <c r="AK143" s="219">
        <f t="shared" si="202"/>
        <v>1.36</v>
      </c>
      <c r="AL143" s="215">
        <f t="shared" si="203"/>
        <v>15</v>
      </c>
      <c r="AM143" s="220">
        <f t="shared" si="217"/>
        <v>9.0666666666666673E-2</v>
      </c>
      <c r="AN143" s="219">
        <f t="shared" si="218"/>
        <v>2</v>
      </c>
      <c r="AO143" s="215">
        <f t="shared" si="219"/>
        <v>0.44444444444444453</v>
      </c>
      <c r="AP143" s="215">
        <f t="shared" si="220"/>
        <v>0.20399999999999999</v>
      </c>
      <c r="AQ143" s="215">
        <f t="shared" si="221"/>
        <v>0.14673944943358577</v>
      </c>
      <c r="AR143" s="215">
        <f t="shared" si="236"/>
        <v>0.27736972471679289</v>
      </c>
      <c r="AS143" s="220">
        <f t="shared" si="237"/>
        <v>0.13890103938230322</v>
      </c>
      <c r="AT143" s="219"/>
      <c r="AU143" s="215">
        <f t="shared" si="222"/>
        <v>0.1259372088888889</v>
      </c>
      <c r="AV143" s="220">
        <f t="shared" si="238"/>
        <v>0.1259372088888889</v>
      </c>
      <c r="AW143" s="219">
        <f t="shared" si="223"/>
        <v>6.8148E-2</v>
      </c>
      <c r="AX143" s="215">
        <f t="shared" si="224"/>
        <v>2.7200000000000002E-2</v>
      </c>
      <c r="AY143" s="220">
        <f t="shared" si="239"/>
        <v>9.5348000000000002E-2</v>
      </c>
      <c r="AZ143" s="219">
        <f t="shared" si="204"/>
        <v>0</v>
      </c>
      <c r="BA143" s="215">
        <f t="shared" si="205"/>
        <v>0</v>
      </c>
      <c r="BB143" s="215">
        <f t="shared" si="240"/>
        <v>0</v>
      </c>
      <c r="BC143" s="61">
        <f t="shared" si="225"/>
        <v>0</v>
      </c>
      <c r="BD143" s="58">
        <v>0</v>
      </c>
      <c r="BE143" s="49">
        <f t="shared" si="226"/>
        <v>0</v>
      </c>
      <c r="BF143" s="61">
        <f t="shared" si="241"/>
        <v>0</v>
      </c>
      <c r="BG143" s="58">
        <f t="shared" si="227"/>
        <v>0</v>
      </c>
      <c r="BH143" s="49">
        <f t="shared" si="228"/>
        <v>0</v>
      </c>
      <c r="BI143" s="61">
        <f t="shared" si="229"/>
        <v>0</v>
      </c>
      <c r="BK143" s="219">
        <f t="shared" si="206"/>
        <v>0</v>
      </c>
      <c r="BL143" s="215">
        <f t="shared" si="207"/>
        <v>0</v>
      </c>
      <c r="BM143" s="215">
        <f t="shared" si="208"/>
        <v>0</v>
      </c>
      <c r="BN143" s="61">
        <f t="shared" si="188"/>
        <v>0</v>
      </c>
      <c r="BO143" s="58">
        <v>0</v>
      </c>
      <c r="BP143" s="49">
        <f t="shared" si="230"/>
        <v>0</v>
      </c>
      <c r="BQ143" s="61">
        <f t="shared" si="242"/>
        <v>0</v>
      </c>
      <c r="BR143" s="58">
        <f t="shared" si="231"/>
        <v>0</v>
      </c>
      <c r="BS143" s="49">
        <f t="shared" si="232"/>
        <v>0</v>
      </c>
      <c r="BT143" s="61">
        <f t="shared" si="243"/>
        <v>0</v>
      </c>
      <c r="BU143" s="58">
        <f t="shared" si="209"/>
        <v>4.823374685371037E-4</v>
      </c>
      <c r="BV143" s="49">
        <f t="shared" si="210"/>
        <v>5.9629500000000002E-2</v>
      </c>
      <c r="BW143" s="61">
        <f t="shared" si="211"/>
        <v>5.4000000000000003E-3</v>
      </c>
      <c r="BX143" s="49">
        <f t="shared" si="233"/>
        <v>0.39667050089942141</v>
      </c>
      <c r="BY143" s="49">
        <f t="shared" si="234"/>
        <v>0.72537369638051319</v>
      </c>
      <c r="BZ143" s="49">
        <f t="shared" si="235"/>
        <v>65.216129001746268</v>
      </c>
    </row>
    <row r="144" spans="17:78" x14ac:dyDescent="0.25">
      <c r="Q144" s="49">
        <v>137</v>
      </c>
      <c r="R144" s="219">
        <f t="shared" si="189"/>
        <v>1.37</v>
      </c>
      <c r="S144" s="215">
        <f t="shared" si="190"/>
        <v>12</v>
      </c>
      <c r="T144" s="220">
        <f t="shared" si="191"/>
        <v>0.11416666666666668</v>
      </c>
      <c r="U144" s="219">
        <f t="shared" si="192"/>
        <v>2</v>
      </c>
      <c r="V144" s="215">
        <f t="shared" si="193"/>
        <v>0.55555555555555558</v>
      </c>
      <c r="W144" s="215">
        <f t="shared" si="194"/>
        <v>0.44444444444444442</v>
      </c>
      <c r="X144" s="215">
        <f t="shared" si="212"/>
        <v>0</v>
      </c>
      <c r="Y144" s="219">
        <f t="shared" si="213"/>
        <v>0.20550000000000002</v>
      </c>
      <c r="Z144" s="215">
        <f t="shared" si="195"/>
        <v>0.14673944943358574</v>
      </c>
      <c r="AA144" s="215">
        <f t="shared" si="214"/>
        <v>0.27886972471679289</v>
      </c>
      <c r="AB144" s="220">
        <f t="shared" si="196"/>
        <v>0.15639093140861837</v>
      </c>
      <c r="AC144" s="219">
        <v>0</v>
      </c>
      <c r="AD144" s="215">
        <f t="shared" si="197"/>
        <v>0.37469845089942133</v>
      </c>
      <c r="AE144" s="220">
        <f t="shared" si="215"/>
        <v>0.37469845089942133</v>
      </c>
      <c r="AF144" s="58">
        <f t="shared" si="198"/>
        <v>2.7400000000000004E-2</v>
      </c>
      <c r="AG144" s="61">
        <f t="shared" si="199"/>
        <v>2.7400000000000004E-2</v>
      </c>
      <c r="AH144" s="58">
        <f t="shared" si="200"/>
        <v>2.1278567381364003E-4</v>
      </c>
      <c r="AI144" s="49">
        <f t="shared" si="201"/>
        <v>1.4602923003711441E-2</v>
      </c>
      <c r="AJ144" s="61">
        <f t="shared" si="216"/>
        <v>1.4815708677525082E-2</v>
      </c>
      <c r="AK144" s="219">
        <f t="shared" si="202"/>
        <v>1.37</v>
      </c>
      <c r="AL144" s="215">
        <f t="shared" si="203"/>
        <v>15</v>
      </c>
      <c r="AM144" s="220">
        <f t="shared" si="217"/>
        <v>9.1333333333333336E-2</v>
      </c>
      <c r="AN144" s="219">
        <f t="shared" si="218"/>
        <v>2</v>
      </c>
      <c r="AO144" s="215">
        <f t="shared" si="219"/>
        <v>0.44444444444444442</v>
      </c>
      <c r="AP144" s="215">
        <f t="shared" si="220"/>
        <v>0.20550000000000002</v>
      </c>
      <c r="AQ144" s="215">
        <f t="shared" si="221"/>
        <v>0.14673944943358572</v>
      </c>
      <c r="AR144" s="215">
        <f t="shared" si="236"/>
        <v>0.27886972471679289</v>
      </c>
      <c r="AS144" s="220">
        <f t="shared" si="237"/>
        <v>0.13988030147767105</v>
      </c>
      <c r="AT144" s="219"/>
      <c r="AU144" s="215">
        <f t="shared" si="222"/>
        <v>0.12779603555555555</v>
      </c>
      <c r="AV144" s="220">
        <f t="shared" si="238"/>
        <v>0.12779603555555555</v>
      </c>
      <c r="AW144" s="219">
        <f t="shared" si="223"/>
        <v>6.8148E-2</v>
      </c>
      <c r="AX144" s="215">
        <f t="shared" si="224"/>
        <v>2.7400000000000001E-2</v>
      </c>
      <c r="AY144" s="220">
        <f t="shared" si="239"/>
        <v>9.5547999999999994E-2</v>
      </c>
      <c r="AZ144" s="219">
        <f t="shared" si="204"/>
        <v>0</v>
      </c>
      <c r="BA144" s="215">
        <f t="shared" si="205"/>
        <v>0</v>
      </c>
      <c r="BB144" s="215">
        <f t="shared" si="240"/>
        <v>0</v>
      </c>
      <c r="BC144" s="61">
        <f t="shared" si="225"/>
        <v>0</v>
      </c>
      <c r="BD144" s="58">
        <v>0</v>
      </c>
      <c r="BE144" s="49">
        <f t="shared" si="226"/>
        <v>0</v>
      </c>
      <c r="BF144" s="61">
        <f t="shared" si="241"/>
        <v>0</v>
      </c>
      <c r="BG144" s="58">
        <f t="shared" si="227"/>
        <v>0</v>
      </c>
      <c r="BH144" s="49">
        <f t="shared" si="228"/>
        <v>0</v>
      </c>
      <c r="BI144" s="61">
        <f t="shared" si="229"/>
        <v>0</v>
      </c>
      <c r="BK144" s="219">
        <f t="shared" si="206"/>
        <v>0</v>
      </c>
      <c r="BL144" s="215">
        <f t="shared" si="207"/>
        <v>0</v>
      </c>
      <c r="BM144" s="215">
        <f t="shared" si="208"/>
        <v>0</v>
      </c>
      <c r="BN144" s="61">
        <f t="shared" ref="BN144:BN157" si="244">IF(EN_OUT_3=1,BK144/BL144,0)</f>
        <v>0</v>
      </c>
      <c r="BO144" s="58">
        <v>0</v>
      </c>
      <c r="BP144" s="49">
        <f t="shared" si="230"/>
        <v>0</v>
      </c>
      <c r="BQ144" s="61">
        <f t="shared" si="242"/>
        <v>0</v>
      </c>
      <c r="BR144" s="58">
        <f t="shared" si="231"/>
        <v>0</v>
      </c>
      <c r="BS144" s="49">
        <f t="shared" si="232"/>
        <v>0</v>
      </c>
      <c r="BT144" s="61">
        <f t="shared" si="243"/>
        <v>0</v>
      </c>
      <c r="BU144" s="58">
        <f t="shared" si="209"/>
        <v>4.8916246853710355E-4</v>
      </c>
      <c r="BV144" s="49">
        <f t="shared" si="210"/>
        <v>5.9629500000000002E-2</v>
      </c>
      <c r="BW144" s="61">
        <f t="shared" si="211"/>
        <v>5.4000000000000003E-3</v>
      </c>
      <c r="BX144" s="49">
        <f t="shared" si="233"/>
        <v>0.40209845089942131</v>
      </c>
      <c r="BY144" s="49">
        <f t="shared" si="234"/>
        <v>0.73317685760103901</v>
      </c>
      <c r="BZ144" s="49">
        <f t="shared" si="235"/>
        <v>65.139552817382778</v>
      </c>
    </row>
    <row r="145" spans="17:78" x14ac:dyDescent="0.25">
      <c r="Q145" s="49">
        <v>138</v>
      </c>
      <c r="R145" s="219">
        <f t="shared" si="189"/>
        <v>1.3800000000000001</v>
      </c>
      <c r="S145" s="215">
        <f t="shared" si="190"/>
        <v>12</v>
      </c>
      <c r="T145" s="220">
        <f t="shared" si="191"/>
        <v>0.115</v>
      </c>
      <c r="U145" s="219">
        <f t="shared" si="192"/>
        <v>2</v>
      </c>
      <c r="V145" s="215">
        <f t="shared" si="193"/>
        <v>0.55555555555555558</v>
      </c>
      <c r="W145" s="215">
        <f t="shared" si="194"/>
        <v>0.44444444444444442</v>
      </c>
      <c r="X145" s="215">
        <f t="shared" si="212"/>
        <v>0</v>
      </c>
      <c r="Y145" s="219">
        <f t="shared" si="213"/>
        <v>0.20700000000000002</v>
      </c>
      <c r="Z145" s="215">
        <f t="shared" si="195"/>
        <v>0.14673944943358574</v>
      </c>
      <c r="AA145" s="215">
        <f t="shared" si="214"/>
        <v>0.28036972471679289</v>
      </c>
      <c r="AB145" s="220">
        <f t="shared" si="196"/>
        <v>0.15748610550412115</v>
      </c>
      <c r="AC145" s="219">
        <v>0</v>
      </c>
      <c r="AD145" s="215">
        <f t="shared" si="197"/>
        <v>0.37996470089942136</v>
      </c>
      <c r="AE145" s="220">
        <f t="shared" si="215"/>
        <v>0.37996470089942136</v>
      </c>
      <c r="AF145" s="58">
        <f t="shared" si="198"/>
        <v>2.7600000000000003E-2</v>
      </c>
      <c r="AG145" s="61">
        <f t="shared" si="199"/>
        <v>2.7600000000000003E-2</v>
      </c>
      <c r="AH145" s="58">
        <f t="shared" si="200"/>
        <v>2.1577629881364003E-4</v>
      </c>
      <c r="AI145" s="49">
        <f t="shared" si="201"/>
        <v>1.4709513682570648E-2</v>
      </c>
      <c r="AJ145" s="61">
        <f t="shared" si="216"/>
        <v>1.4925289981384288E-2</v>
      </c>
      <c r="AK145" s="219">
        <f t="shared" si="202"/>
        <v>1.3800000000000001</v>
      </c>
      <c r="AL145" s="215">
        <f t="shared" si="203"/>
        <v>15</v>
      </c>
      <c r="AM145" s="220">
        <f t="shared" si="217"/>
        <v>9.2000000000000012E-2</v>
      </c>
      <c r="AN145" s="219">
        <f t="shared" si="218"/>
        <v>2</v>
      </c>
      <c r="AO145" s="215">
        <f t="shared" si="219"/>
        <v>0.44444444444444453</v>
      </c>
      <c r="AP145" s="215">
        <f t="shared" si="220"/>
        <v>0.20699999999999999</v>
      </c>
      <c r="AQ145" s="215">
        <f t="shared" si="221"/>
        <v>0.14673944943358577</v>
      </c>
      <c r="AR145" s="215">
        <f t="shared" si="236"/>
        <v>0.28036972471679289</v>
      </c>
      <c r="AS145" s="220">
        <f t="shared" si="237"/>
        <v>0.1408598549675675</v>
      </c>
      <c r="AT145" s="219"/>
      <c r="AU145" s="215">
        <f t="shared" si="222"/>
        <v>0.12966848000000006</v>
      </c>
      <c r="AV145" s="220">
        <f t="shared" si="238"/>
        <v>0.12966848000000006</v>
      </c>
      <c r="AW145" s="219">
        <f t="shared" si="223"/>
        <v>6.8148E-2</v>
      </c>
      <c r="AX145" s="215">
        <f t="shared" si="224"/>
        <v>2.7600000000000003E-2</v>
      </c>
      <c r="AY145" s="220">
        <f t="shared" si="239"/>
        <v>9.5748E-2</v>
      </c>
      <c r="AZ145" s="219">
        <f t="shared" si="204"/>
        <v>0</v>
      </c>
      <c r="BA145" s="215">
        <f t="shared" si="205"/>
        <v>0</v>
      </c>
      <c r="BB145" s="215">
        <f t="shared" si="240"/>
        <v>0</v>
      </c>
      <c r="BC145" s="61">
        <f t="shared" si="225"/>
        <v>0</v>
      </c>
      <c r="BD145" s="58">
        <v>0</v>
      </c>
      <c r="BE145" s="49">
        <f t="shared" si="226"/>
        <v>0</v>
      </c>
      <c r="BF145" s="61">
        <f t="shared" si="241"/>
        <v>0</v>
      </c>
      <c r="BG145" s="58">
        <f t="shared" si="227"/>
        <v>0</v>
      </c>
      <c r="BH145" s="49">
        <f t="shared" si="228"/>
        <v>0</v>
      </c>
      <c r="BI145" s="61">
        <f t="shared" si="229"/>
        <v>0</v>
      </c>
      <c r="BK145" s="219">
        <f t="shared" si="206"/>
        <v>0</v>
      </c>
      <c r="BL145" s="215">
        <f t="shared" si="207"/>
        <v>0</v>
      </c>
      <c r="BM145" s="215">
        <f t="shared" si="208"/>
        <v>0</v>
      </c>
      <c r="BN145" s="61">
        <f t="shared" si="244"/>
        <v>0</v>
      </c>
      <c r="BO145" s="58">
        <v>0</v>
      </c>
      <c r="BP145" s="49">
        <f t="shared" si="230"/>
        <v>0</v>
      </c>
      <c r="BQ145" s="61">
        <f t="shared" si="242"/>
        <v>0</v>
      </c>
      <c r="BR145" s="58">
        <f t="shared" si="231"/>
        <v>0</v>
      </c>
      <c r="BS145" s="49">
        <f t="shared" si="232"/>
        <v>0</v>
      </c>
      <c r="BT145" s="61">
        <f t="shared" si="243"/>
        <v>0</v>
      </c>
      <c r="BU145" s="58">
        <f t="shared" si="209"/>
        <v>4.960374685371036E-4</v>
      </c>
      <c r="BV145" s="49">
        <f t="shared" si="210"/>
        <v>5.9629500000000002E-2</v>
      </c>
      <c r="BW145" s="61">
        <f t="shared" si="211"/>
        <v>5.4000000000000003E-3</v>
      </c>
      <c r="BX145" s="49">
        <f t="shared" si="233"/>
        <v>0.40756470089942137</v>
      </c>
      <c r="BY145" s="49">
        <f t="shared" si="234"/>
        <v>0.7410320083493428</v>
      </c>
      <c r="BZ145" s="49">
        <f t="shared" si="235"/>
        <v>65.062667350973243</v>
      </c>
    </row>
    <row r="146" spans="17:78" x14ac:dyDescent="0.25">
      <c r="Q146" s="49">
        <v>139</v>
      </c>
      <c r="R146" s="219">
        <f t="shared" si="189"/>
        <v>1.3900000000000001</v>
      </c>
      <c r="S146" s="215">
        <f t="shared" si="190"/>
        <v>12</v>
      </c>
      <c r="T146" s="220">
        <f t="shared" si="191"/>
        <v>0.11583333333333334</v>
      </c>
      <c r="U146" s="219">
        <f t="shared" si="192"/>
        <v>2</v>
      </c>
      <c r="V146" s="215">
        <f t="shared" si="193"/>
        <v>0.55555555555555558</v>
      </c>
      <c r="W146" s="215">
        <f t="shared" si="194"/>
        <v>0.44444444444444442</v>
      </c>
      <c r="X146" s="215">
        <f t="shared" si="212"/>
        <v>0</v>
      </c>
      <c r="Y146" s="219">
        <f t="shared" si="213"/>
        <v>0.20850000000000002</v>
      </c>
      <c r="Z146" s="215">
        <f t="shared" si="195"/>
        <v>0.14673944943358574</v>
      </c>
      <c r="AA146" s="215">
        <f t="shared" si="214"/>
        <v>0.28186972471679289</v>
      </c>
      <c r="AB146" s="220">
        <f t="shared" si="196"/>
        <v>0.1585815986388559</v>
      </c>
      <c r="AC146" s="219">
        <v>0</v>
      </c>
      <c r="AD146" s="215">
        <f t="shared" si="197"/>
        <v>0.38526925089942143</v>
      </c>
      <c r="AE146" s="220">
        <f t="shared" si="215"/>
        <v>0.38526925089942143</v>
      </c>
      <c r="AF146" s="58">
        <f t="shared" si="198"/>
        <v>2.7800000000000002E-2</v>
      </c>
      <c r="AG146" s="61">
        <f t="shared" si="199"/>
        <v>2.7800000000000002E-2</v>
      </c>
      <c r="AH146" s="58">
        <f t="shared" si="200"/>
        <v>2.1878867381364009E-4</v>
      </c>
      <c r="AI146" s="49">
        <f t="shared" si="201"/>
        <v>1.4816104361429855E-2</v>
      </c>
      <c r="AJ146" s="61">
        <f t="shared" si="216"/>
        <v>1.5034893035243494E-2</v>
      </c>
      <c r="AK146" s="219">
        <f t="shared" si="202"/>
        <v>1.3900000000000001</v>
      </c>
      <c r="AL146" s="215">
        <f t="shared" si="203"/>
        <v>15</v>
      </c>
      <c r="AM146" s="220">
        <f t="shared" si="217"/>
        <v>9.2666666666666675E-2</v>
      </c>
      <c r="AN146" s="219">
        <f t="shared" si="218"/>
        <v>2</v>
      </c>
      <c r="AO146" s="215">
        <f t="shared" si="219"/>
        <v>0.44444444444444442</v>
      </c>
      <c r="AP146" s="215">
        <f t="shared" si="220"/>
        <v>0.20850000000000002</v>
      </c>
      <c r="AQ146" s="215">
        <f t="shared" si="221"/>
        <v>0.14673944943358572</v>
      </c>
      <c r="AR146" s="215">
        <f t="shared" si="236"/>
        <v>0.28186972471679289</v>
      </c>
      <c r="AS146" s="220">
        <f t="shared" si="237"/>
        <v>0.14183969381482794</v>
      </c>
      <c r="AT146" s="219"/>
      <c r="AU146" s="215">
        <f t="shared" si="222"/>
        <v>0.13155454222222226</v>
      </c>
      <c r="AV146" s="220">
        <f t="shared" si="238"/>
        <v>0.13155454222222226</v>
      </c>
      <c r="AW146" s="219">
        <f t="shared" si="223"/>
        <v>6.8148E-2</v>
      </c>
      <c r="AX146" s="215">
        <f t="shared" si="224"/>
        <v>2.7800000000000002E-2</v>
      </c>
      <c r="AY146" s="220">
        <f t="shared" si="239"/>
        <v>9.5948000000000006E-2</v>
      </c>
      <c r="AZ146" s="219">
        <f t="shared" si="204"/>
        <v>0</v>
      </c>
      <c r="BA146" s="215">
        <f t="shared" si="205"/>
        <v>0</v>
      </c>
      <c r="BB146" s="215">
        <f t="shared" si="240"/>
        <v>0</v>
      </c>
      <c r="BC146" s="61">
        <f t="shared" si="225"/>
        <v>0</v>
      </c>
      <c r="BD146" s="58">
        <v>0</v>
      </c>
      <c r="BE146" s="49">
        <f t="shared" si="226"/>
        <v>0</v>
      </c>
      <c r="BF146" s="61">
        <f t="shared" si="241"/>
        <v>0</v>
      </c>
      <c r="BG146" s="58">
        <f t="shared" si="227"/>
        <v>0</v>
      </c>
      <c r="BH146" s="49">
        <f t="shared" si="228"/>
        <v>0</v>
      </c>
      <c r="BI146" s="61">
        <f t="shared" si="229"/>
        <v>0</v>
      </c>
      <c r="BK146" s="219">
        <f t="shared" si="206"/>
        <v>0</v>
      </c>
      <c r="BL146" s="215">
        <f t="shared" si="207"/>
        <v>0</v>
      </c>
      <c r="BM146" s="215">
        <f t="shared" si="208"/>
        <v>0</v>
      </c>
      <c r="BN146" s="61">
        <f t="shared" si="244"/>
        <v>0</v>
      </c>
      <c r="BO146" s="58">
        <v>0</v>
      </c>
      <c r="BP146" s="49">
        <f t="shared" si="230"/>
        <v>0</v>
      </c>
      <c r="BQ146" s="61">
        <f t="shared" si="242"/>
        <v>0</v>
      </c>
      <c r="BR146" s="58">
        <f t="shared" si="231"/>
        <v>0</v>
      </c>
      <c r="BS146" s="49">
        <f t="shared" si="232"/>
        <v>0</v>
      </c>
      <c r="BT146" s="61">
        <f t="shared" si="243"/>
        <v>0</v>
      </c>
      <c r="BU146" s="58">
        <f t="shared" si="209"/>
        <v>5.0296246853710367E-4</v>
      </c>
      <c r="BV146" s="49">
        <f t="shared" si="210"/>
        <v>5.9629500000000002E-2</v>
      </c>
      <c r="BW146" s="61">
        <f t="shared" si="211"/>
        <v>5.4000000000000003E-3</v>
      </c>
      <c r="BX146" s="49">
        <f t="shared" si="233"/>
        <v>0.41306925089942143</v>
      </c>
      <c r="BY146" s="49">
        <f t="shared" si="234"/>
        <v>0.74893914862542432</v>
      </c>
      <c r="BZ146" s="49">
        <f t="shared" si="235"/>
        <v>64.985485954253292</v>
      </c>
    </row>
    <row r="147" spans="17:78" x14ac:dyDescent="0.25">
      <c r="Q147" s="49">
        <v>140</v>
      </c>
      <c r="R147" s="219">
        <f t="shared" si="189"/>
        <v>1.4000000000000001</v>
      </c>
      <c r="S147" s="215">
        <f t="shared" si="190"/>
        <v>12</v>
      </c>
      <c r="T147" s="220">
        <f t="shared" si="191"/>
        <v>0.11666666666666668</v>
      </c>
      <c r="U147" s="219">
        <f t="shared" si="192"/>
        <v>2</v>
      </c>
      <c r="V147" s="215">
        <f t="shared" si="193"/>
        <v>0.55555555555555558</v>
      </c>
      <c r="W147" s="215">
        <f t="shared" si="194"/>
        <v>0.44444444444444442</v>
      </c>
      <c r="X147" s="215">
        <f t="shared" si="212"/>
        <v>0</v>
      </c>
      <c r="Y147" s="219">
        <f t="shared" si="213"/>
        <v>0.21000000000000002</v>
      </c>
      <c r="Z147" s="215">
        <f t="shared" si="195"/>
        <v>0.14673944943358574</v>
      </c>
      <c r="AA147" s="215">
        <f t="shared" si="214"/>
        <v>0.28336972471679289</v>
      </c>
      <c r="AB147" s="220">
        <f t="shared" si="196"/>
        <v>0.15967740424635912</v>
      </c>
      <c r="AC147" s="219">
        <v>0</v>
      </c>
      <c r="AD147" s="215">
        <f t="shared" si="197"/>
        <v>0.39061210089942144</v>
      </c>
      <c r="AE147" s="220">
        <f t="shared" si="215"/>
        <v>0.39061210089942144</v>
      </c>
      <c r="AF147" s="58">
        <f t="shared" si="198"/>
        <v>2.8000000000000004E-2</v>
      </c>
      <c r="AG147" s="61">
        <f t="shared" si="199"/>
        <v>2.8000000000000004E-2</v>
      </c>
      <c r="AH147" s="58">
        <f t="shared" si="200"/>
        <v>2.2182279881364012E-4</v>
      </c>
      <c r="AI147" s="49">
        <f t="shared" si="201"/>
        <v>1.4922695040289065E-2</v>
      </c>
      <c r="AJ147" s="61">
        <f t="shared" si="216"/>
        <v>1.5144517839102705E-2</v>
      </c>
      <c r="AK147" s="219">
        <f t="shared" si="202"/>
        <v>1.4000000000000001</v>
      </c>
      <c r="AL147" s="215">
        <f t="shared" si="203"/>
        <v>15</v>
      </c>
      <c r="AM147" s="220">
        <f t="shared" si="217"/>
        <v>9.3333333333333338E-2</v>
      </c>
      <c r="AN147" s="219">
        <f t="shared" si="218"/>
        <v>2</v>
      </c>
      <c r="AO147" s="215">
        <f t="shared" si="219"/>
        <v>0.44444444444444442</v>
      </c>
      <c r="AP147" s="215">
        <f t="shared" si="220"/>
        <v>0.21000000000000002</v>
      </c>
      <c r="AQ147" s="215">
        <f t="shared" si="221"/>
        <v>0.14673944943358572</v>
      </c>
      <c r="AR147" s="215">
        <f t="shared" si="236"/>
        <v>0.28336972471679289</v>
      </c>
      <c r="AS147" s="220">
        <f t="shared" si="237"/>
        <v>0.14281981214622902</v>
      </c>
      <c r="AT147" s="219"/>
      <c r="AU147" s="215">
        <f t="shared" si="222"/>
        <v>0.13345422222222225</v>
      </c>
      <c r="AV147" s="220">
        <f t="shared" si="238"/>
        <v>0.13345422222222225</v>
      </c>
      <c r="AW147" s="219">
        <f t="shared" si="223"/>
        <v>6.8148E-2</v>
      </c>
      <c r="AX147" s="215">
        <f t="shared" si="224"/>
        <v>2.8000000000000001E-2</v>
      </c>
      <c r="AY147" s="220">
        <f t="shared" si="239"/>
        <v>9.6147999999999997E-2</v>
      </c>
      <c r="AZ147" s="219">
        <f t="shared" si="204"/>
        <v>0</v>
      </c>
      <c r="BA147" s="215">
        <f t="shared" si="205"/>
        <v>0</v>
      </c>
      <c r="BB147" s="215">
        <f t="shared" si="240"/>
        <v>0</v>
      </c>
      <c r="BC147" s="61">
        <f t="shared" si="225"/>
        <v>0</v>
      </c>
      <c r="BD147" s="58">
        <v>0</v>
      </c>
      <c r="BE147" s="49">
        <f t="shared" si="226"/>
        <v>0</v>
      </c>
      <c r="BF147" s="61">
        <f t="shared" si="241"/>
        <v>0</v>
      </c>
      <c r="BG147" s="58">
        <f t="shared" si="227"/>
        <v>0</v>
      </c>
      <c r="BH147" s="49">
        <f t="shared" si="228"/>
        <v>0</v>
      </c>
      <c r="BI147" s="61">
        <f t="shared" si="229"/>
        <v>0</v>
      </c>
      <c r="BK147" s="219">
        <f t="shared" si="206"/>
        <v>0</v>
      </c>
      <c r="BL147" s="215">
        <f t="shared" si="207"/>
        <v>0</v>
      </c>
      <c r="BM147" s="215">
        <f t="shared" si="208"/>
        <v>0</v>
      </c>
      <c r="BN147" s="61">
        <f t="shared" si="244"/>
        <v>0</v>
      </c>
      <c r="BO147" s="58">
        <v>0</v>
      </c>
      <c r="BP147" s="49">
        <f t="shared" si="230"/>
        <v>0</v>
      </c>
      <c r="BQ147" s="61">
        <f t="shared" si="242"/>
        <v>0</v>
      </c>
      <c r="BR147" s="58">
        <f t="shared" si="231"/>
        <v>0</v>
      </c>
      <c r="BS147" s="49">
        <f t="shared" si="232"/>
        <v>0</v>
      </c>
      <c r="BT147" s="61">
        <f t="shared" si="243"/>
        <v>0</v>
      </c>
      <c r="BU147" s="58">
        <f t="shared" si="209"/>
        <v>5.0993746853710378E-4</v>
      </c>
      <c r="BV147" s="49">
        <f t="shared" si="210"/>
        <v>5.9629500000000002E-2</v>
      </c>
      <c r="BW147" s="61">
        <f t="shared" si="211"/>
        <v>5.4000000000000003E-3</v>
      </c>
      <c r="BX147" s="49">
        <f t="shared" si="233"/>
        <v>0.41861210089942147</v>
      </c>
      <c r="BY147" s="49">
        <f t="shared" si="234"/>
        <v>0.75689827842928348</v>
      </c>
      <c r="BZ147" s="49">
        <f t="shared" si="235"/>
        <v>64.908021579001911</v>
      </c>
    </row>
    <row r="148" spans="17:78" x14ac:dyDescent="0.25">
      <c r="Q148" s="49">
        <v>141</v>
      </c>
      <c r="R148" s="219">
        <f t="shared" si="189"/>
        <v>1.41</v>
      </c>
      <c r="S148" s="215">
        <f t="shared" si="190"/>
        <v>12</v>
      </c>
      <c r="T148" s="220">
        <f t="shared" si="191"/>
        <v>0.11749999999999999</v>
      </c>
      <c r="U148" s="219">
        <f t="shared" si="192"/>
        <v>2</v>
      </c>
      <c r="V148" s="215">
        <f t="shared" si="193"/>
        <v>0.55555555555555558</v>
      </c>
      <c r="W148" s="215">
        <f t="shared" si="194"/>
        <v>0.44444444444444442</v>
      </c>
      <c r="X148" s="215">
        <f t="shared" si="212"/>
        <v>0</v>
      </c>
      <c r="Y148" s="219">
        <f t="shared" si="213"/>
        <v>0.21149999999999997</v>
      </c>
      <c r="Z148" s="215">
        <f t="shared" si="195"/>
        <v>0.14673944943358574</v>
      </c>
      <c r="AA148" s="215">
        <f t="shared" si="214"/>
        <v>0.28486972471679284</v>
      </c>
      <c r="AB148" s="220">
        <f t="shared" si="196"/>
        <v>0.16077351593734326</v>
      </c>
      <c r="AC148" s="219">
        <v>0</v>
      </c>
      <c r="AD148" s="215">
        <f t="shared" si="197"/>
        <v>0.39599325089942122</v>
      </c>
      <c r="AE148" s="220">
        <f t="shared" si="215"/>
        <v>0.39599325089942122</v>
      </c>
      <c r="AF148" s="58">
        <f t="shared" si="198"/>
        <v>2.8199999999999999E-2</v>
      </c>
      <c r="AG148" s="61">
        <f t="shared" si="199"/>
        <v>2.8199999999999999E-2</v>
      </c>
      <c r="AH148" s="58">
        <f t="shared" si="200"/>
        <v>2.2487867381363997E-4</v>
      </c>
      <c r="AI148" s="49">
        <f t="shared" si="201"/>
        <v>1.5029285719148267E-2</v>
      </c>
      <c r="AJ148" s="61">
        <f t="shared" si="216"/>
        <v>1.5254164392961907E-2</v>
      </c>
      <c r="AK148" s="219">
        <f t="shared" si="202"/>
        <v>1.41</v>
      </c>
      <c r="AL148" s="215">
        <f t="shared" si="203"/>
        <v>15</v>
      </c>
      <c r="AM148" s="220">
        <f t="shared" si="217"/>
        <v>9.4E-2</v>
      </c>
      <c r="AN148" s="219">
        <f t="shared" si="218"/>
        <v>2</v>
      </c>
      <c r="AO148" s="215">
        <f t="shared" si="219"/>
        <v>0.44444444444444453</v>
      </c>
      <c r="AP148" s="215">
        <f t="shared" si="220"/>
        <v>0.21149999999999997</v>
      </c>
      <c r="AQ148" s="215">
        <f t="shared" si="221"/>
        <v>0.14673944943358577</v>
      </c>
      <c r="AR148" s="215">
        <f t="shared" si="236"/>
        <v>0.28486972471679284</v>
      </c>
      <c r="AS148" s="220">
        <f t="shared" si="237"/>
        <v>0.14380020424701814</v>
      </c>
      <c r="AT148" s="219"/>
      <c r="AU148" s="215">
        <f t="shared" si="222"/>
        <v>0.13536751999999999</v>
      </c>
      <c r="AV148" s="220">
        <f t="shared" si="238"/>
        <v>0.13536751999999999</v>
      </c>
      <c r="AW148" s="219">
        <f t="shared" si="223"/>
        <v>6.8148E-2</v>
      </c>
      <c r="AX148" s="215">
        <f t="shared" si="224"/>
        <v>2.8199999999999999E-2</v>
      </c>
      <c r="AY148" s="220">
        <f t="shared" si="239"/>
        <v>9.6348000000000003E-2</v>
      </c>
      <c r="AZ148" s="219">
        <f t="shared" si="204"/>
        <v>0</v>
      </c>
      <c r="BA148" s="215">
        <f t="shared" si="205"/>
        <v>0</v>
      </c>
      <c r="BB148" s="215">
        <f t="shared" si="240"/>
        <v>0</v>
      </c>
      <c r="BC148" s="61">
        <f t="shared" si="225"/>
        <v>0</v>
      </c>
      <c r="BD148" s="58">
        <v>0</v>
      </c>
      <c r="BE148" s="49">
        <f t="shared" si="226"/>
        <v>0</v>
      </c>
      <c r="BF148" s="61">
        <f t="shared" si="241"/>
        <v>0</v>
      </c>
      <c r="BG148" s="58">
        <f t="shared" si="227"/>
        <v>0</v>
      </c>
      <c r="BH148" s="49">
        <f t="shared" si="228"/>
        <v>0</v>
      </c>
      <c r="BI148" s="61">
        <f t="shared" si="229"/>
        <v>0</v>
      </c>
      <c r="BK148" s="219">
        <f t="shared" si="206"/>
        <v>0</v>
      </c>
      <c r="BL148" s="215">
        <f t="shared" si="207"/>
        <v>0</v>
      </c>
      <c r="BM148" s="215">
        <f t="shared" si="208"/>
        <v>0</v>
      </c>
      <c r="BN148" s="61">
        <f t="shared" si="244"/>
        <v>0</v>
      </c>
      <c r="BO148" s="58">
        <v>0</v>
      </c>
      <c r="BP148" s="49">
        <f t="shared" si="230"/>
        <v>0</v>
      </c>
      <c r="BQ148" s="61">
        <f t="shared" si="242"/>
        <v>0</v>
      </c>
      <c r="BR148" s="58">
        <f t="shared" si="231"/>
        <v>0</v>
      </c>
      <c r="BS148" s="49">
        <f t="shared" si="232"/>
        <v>0</v>
      </c>
      <c r="BT148" s="61">
        <f t="shared" si="243"/>
        <v>0</v>
      </c>
      <c r="BU148" s="58">
        <f t="shared" si="209"/>
        <v>5.1696246853710336E-4</v>
      </c>
      <c r="BV148" s="49">
        <f t="shared" si="210"/>
        <v>5.9629500000000002E-2</v>
      </c>
      <c r="BW148" s="61">
        <f t="shared" si="211"/>
        <v>5.4000000000000003E-3</v>
      </c>
      <c r="BX148" s="49">
        <f t="shared" si="233"/>
        <v>0.42419325089942123</v>
      </c>
      <c r="BY148" s="49">
        <f t="shared" si="234"/>
        <v>0.76490939776092026</v>
      </c>
      <c r="BZ148" s="49">
        <f t="shared" si="235"/>
        <v>64.830286790410753</v>
      </c>
    </row>
    <row r="149" spans="17:78" x14ac:dyDescent="0.25">
      <c r="Q149" s="49">
        <v>142</v>
      </c>
      <c r="R149" s="219">
        <f t="shared" si="189"/>
        <v>1.42</v>
      </c>
      <c r="S149" s="215">
        <f t="shared" si="190"/>
        <v>12</v>
      </c>
      <c r="T149" s="220">
        <f t="shared" si="191"/>
        <v>0.11833333333333333</v>
      </c>
      <c r="U149" s="219">
        <f t="shared" si="192"/>
        <v>2</v>
      </c>
      <c r="V149" s="215">
        <f t="shared" si="193"/>
        <v>0.55555555555555558</v>
      </c>
      <c r="W149" s="215">
        <f t="shared" si="194"/>
        <v>0.44444444444444442</v>
      </c>
      <c r="X149" s="215">
        <f t="shared" si="212"/>
        <v>0</v>
      </c>
      <c r="Y149" s="219">
        <f t="shared" si="213"/>
        <v>0.21299999999999997</v>
      </c>
      <c r="Z149" s="215">
        <f t="shared" si="195"/>
        <v>0.14673944943358574</v>
      </c>
      <c r="AA149" s="215">
        <f t="shared" si="214"/>
        <v>0.28636972471679284</v>
      </c>
      <c r="AB149" s="220">
        <f t="shared" si="196"/>
        <v>0.16186992749382192</v>
      </c>
      <c r="AC149" s="219">
        <v>0</v>
      </c>
      <c r="AD149" s="215">
        <f t="shared" si="197"/>
        <v>0.40141270089942116</v>
      </c>
      <c r="AE149" s="220">
        <f t="shared" si="215"/>
        <v>0.40141270089942116</v>
      </c>
      <c r="AF149" s="58">
        <f t="shared" si="198"/>
        <v>2.8399999999999998E-2</v>
      </c>
      <c r="AG149" s="61">
        <f t="shared" si="199"/>
        <v>2.8399999999999998E-2</v>
      </c>
      <c r="AH149" s="58">
        <f t="shared" si="200"/>
        <v>2.2795629881363993E-4</v>
      </c>
      <c r="AI149" s="49">
        <f t="shared" si="201"/>
        <v>1.5135876398007477E-2</v>
      </c>
      <c r="AJ149" s="61">
        <f t="shared" si="216"/>
        <v>1.5363832696821117E-2</v>
      </c>
      <c r="AK149" s="219">
        <f t="shared" si="202"/>
        <v>1.42</v>
      </c>
      <c r="AL149" s="215">
        <f t="shared" si="203"/>
        <v>15</v>
      </c>
      <c r="AM149" s="220">
        <f t="shared" si="217"/>
        <v>9.4666666666666663E-2</v>
      </c>
      <c r="AN149" s="219">
        <f t="shared" si="218"/>
        <v>2</v>
      </c>
      <c r="AO149" s="215">
        <f t="shared" si="219"/>
        <v>0.44444444444444448</v>
      </c>
      <c r="AP149" s="215">
        <f t="shared" si="220"/>
        <v>0.21299999999999997</v>
      </c>
      <c r="AQ149" s="215">
        <f t="shared" si="221"/>
        <v>0.14673944943358574</v>
      </c>
      <c r="AR149" s="215">
        <f t="shared" si="236"/>
        <v>0.28636972471679284</v>
      </c>
      <c r="AS149" s="220">
        <f t="shared" si="237"/>
        <v>0.14478086455565919</v>
      </c>
      <c r="AT149" s="219"/>
      <c r="AU149" s="215">
        <f t="shared" si="222"/>
        <v>0.13729443555555554</v>
      </c>
      <c r="AV149" s="220">
        <f t="shared" si="238"/>
        <v>0.13729443555555554</v>
      </c>
      <c r="AW149" s="219">
        <f t="shared" si="223"/>
        <v>6.8148E-2</v>
      </c>
      <c r="AX149" s="215">
        <f t="shared" si="224"/>
        <v>2.8399999999999998E-2</v>
      </c>
      <c r="AY149" s="220">
        <f t="shared" si="239"/>
        <v>9.6547999999999995E-2</v>
      </c>
      <c r="AZ149" s="219">
        <f t="shared" si="204"/>
        <v>0</v>
      </c>
      <c r="BA149" s="215">
        <f t="shared" si="205"/>
        <v>0</v>
      </c>
      <c r="BB149" s="215">
        <f t="shared" si="240"/>
        <v>0</v>
      </c>
      <c r="BC149" s="61">
        <f t="shared" si="225"/>
        <v>0</v>
      </c>
      <c r="BD149" s="58">
        <v>0</v>
      </c>
      <c r="BE149" s="49">
        <f t="shared" si="226"/>
        <v>0</v>
      </c>
      <c r="BF149" s="61">
        <f t="shared" si="241"/>
        <v>0</v>
      </c>
      <c r="BG149" s="58">
        <f t="shared" si="227"/>
        <v>0</v>
      </c>
      <c r="BH149" s="49">
        <f t="shared" si="228"/>
        <v>0</v>
      </c>
      <c r="BI149" s="61">
        <f t="shared" si="229"/>
        <v>0</v>
      </c>
      <c r="BK149" s="219">
        <f t="shared" si="206"/>
        <v>0</v>
      </c>
      <c r="BL149" s="215">
        <f t="shared" si="207"/>
        <v>0</v>
      </c>
      <c r="BM149" s="215">
        <f t="shared" si="208"/>
        <v>0</v>
      </c>
      <c r="BN149" s="61">
        <f t="shared" si="244"/>
        <v>0</v>
      </c>
      <c r="BO149" s="58">
        <v>0</v>
      </c>
      <c r="BP149" s="49">
        <f t="shared" si="230"/>
        <v>0</v>
      </c>
      <c r="BQ149" s="61">
        <f t="shared" si="242"/>
        <v>0</v>
      </c>
      <c r="BR149" s="58">
        <f t="shared" si="231"/>
        <v>0</v>
      </c>
      <c r="BS149" s="49">
        <f t="shared" si="232"/>
        <v>0</v>
      </c>
      <c r="BT149" s="61">
        <f t="shared" si="243"/>
        <v>0</v>
      </c>
      <c r="BU149" s="58">
        <f t="shared" si="209"/>
        <v>5.240374685371033E-4</v>
      </c>
      <c r="BV149" s="49">
        <f t="shared" si="210"/>
        <v>5.9629500000000002E-2</v>
      </c>
      <c r="BW149" s="61">
        <f t="shared" si="211"/>
        <v>5.4000000000000003E-3</v>
      </c>
      <c r="BX149" s="49">
        <f t="shared" si="233"/>
        <v>0.42981270089942114</v>
      </c>
      <c r="BY149" s="49">
        <f t="shared" si="234"/>
        <v>0.7729725066203349</v>
      </c>
      <c r="BZ149" s="49">
        <f t="shared" si="235"/>
        <v>64.752293779934831</v>
      </c>
    </row>
    <row r="150" spans="17:78" x14ac:dyDescent="0.25">
      <c r="Q150" s="49">
        <v>143</v>
      </c>
      <c r="R150" s="219">
        <f t="shared" si="189"/>
        <v>1.43</v>
      </c>
      <c r="S150" s="215">
        <f t="shared" si="190"/>
        <v>12</v>
      </c>
      <c r="T150" s="220">
        <f t="shared" si="191"/>
        <v>0.11916666666666666</v>
      </c>
      <c r="U150" s="219">
        <f t="shared" si="192"/>
        <v>2</v>
      </c>
      <c r="V150" s="215">
        <f t="shared" si="193"/>
        <v>0.55555555555555558</v>
      </c>
      <c r="W150" s="215">
        <f t="shared" si="194"/>
        <v>0.44444444444444442</v>
      </c>
      <c r="X150" s="215">
        <f t="shared" si="212"/>
        <v>0</v>
      </c>
      <c r="Y150" s="219">
        <f t="shared" si="213"/>
        <v>0.21449999999999997</v>
      </c>
      <c r="Z150" s="215">
        <f t="shared" si="195"/>
        <v>0.14673944943358574</v>
      </c>
      <c r="AA150" s="215">
        <f t="shared" si="214"/>
        <v>0.28786972471679284</v>
      </c>
      <c r="AB150" s="220">
        <f t="shared" si="196"/>
        <v>0.16296663286346433</v>
      </c>
      <c r="AC150" s="219">
        <v>0</v>
      </c>
      <c r="AD150" s="215">
        <f t="shared" si="197"/>
        <v>0.40687045089942125</v>
      </c>
      <c r="AE150" s="220">
        <f t="shared" si="215"/>
        <v>0.40687045089942125</v>
      </c>
      <c r="AF150" s="58">
        <f t="shared" si="198"/>
        <v>2.86E-2</v>
      </c>
      <c r="AG150" s="61">
        <f t="shared" si="199"/>
        <v>2.86E-2</v>
      </c>
      <c r="AH150" s="58">
        <f t="shared" si="200"/>
        <v>2.3105567381363998E-4</v>
      </c>
      <c r="AI150" s="49">
        <f t="shared" si="201"/>
        <v>1.5242467076866684E-2</v>
      </c>
      <c r="AJ150" s="61">
        <f t="shared" si="216"/>
        <v>1.5473522750680323E-2</v>
      </c>
      <c r="AK150" s="219">
        <f t="shared" si="202"/>
        <v>1.43</v>
      </c>
      <c r="AL150" s="215">
        <f t="shared" si="203"/>
        <v>15</v>
      </c>
      <c r="AM150" s="220">
        <f t="shared" si="217"/>
        <v>9.5333333333333325E-2</v>
      </c>
      <c r="AN150" s="219">
        <f t="shared" si="218"/>
        <v>2</v>
      </c>
      <c r="AO150" s="215">
        <f t="shared" si="219"/>
        <v>0.44444444444444448</v>
      </c>
      <c r="AP150" s="215">
        <f t="shared" si="220"/>
        <v>0.21449999999999997</v>
      </c>
      <c r="AQ150" s="215">
        <f t="shared" si="221"/>
        <v>0.14673944943358574</v>
      </c>
      <c r="AR150" s="215">
        <f t="shared" si="236"/>
        <v>0.28786972471679284</v>
      </c>
      <c r="AS150" s="220">
        <f t="shared" si="237"/>
        <v>0.14576178765878298</v>
      </c>
      <c r="AT150" s="219"/>
      <c r="AU150" s="215">
        <f t="shared" si="222"/>
        <v>0.13923496888888887</v>
      </c>
      <c r="AV150" s="220">
        <f t="shared" si="238"/>
        <v>0.13923496888888887</v>
      </c>
      <c r="AW150" s="219">
        <f t="shared" si="223"/>
        <v>6.8148E-2</v>
      </c>
      <c r="AX150" s="215">
        <f t="shared" si="224"/>
        <v>2.8599999999999997E-2</v>
      </c>
      <c r="AY150" s="220">
        <f t="shared" si="239"/>
        <v>9.6748000000000001E-2</v>
      </c>
      <c r="AZ150" s="219">
        <f t="shared" si="204"/>
        <v>0</v>
      </c>
      <c r="BA150" s="215">
        <f t="shared" si="205"/>
        <v>0</v>
      </c>
      <c r="BB150" s="215">
        <f t="shared" si="240"/>
        <v>0</v>
      </c>
      <c r="BC150" s="61">
        <f t="shared" si="225"/>
        <v>0</v>
      </c>
      <c r="BD150" s="58">
        <v>0</v>
      </c>
      <c r="BE150" s="49">
        <f t="shared" si="226"/>
        <v>0</v>
      </c>
      <c r="BF150" s="61">
        <f t="shared" si="241"/>
        <v>0</v>
      </c>
      <c r="BG150" s="58">
        <f t="shared" si="227"/>
        <v>0</v>
      </c>
      <c r="BH150" s="49">
        <f t="shared" si="228"/>
        <v>0</v>
      </c>
      <c r="BI150" s="61">
        <f t="shared" si="229"/>
        <v>0</v>
      </c>
      <c r="BK150" s="219">
        <f t="shared" si="206"/>
        <v>0</v>
      </c>
      <c r="BL150" s="215">
        <f t="shared" si="207"/>
        <v>0</v>
      </c>
      <c r="BM150" s="215">
        <f t="shared" si="208"/>
        <v>0</v>
      </c>
      <c r="BN150" s="61">
        <f t="shared" si="244"/>
        <v>0</v>
      </c>
      <c r="BO150" s="58">
        <v>0</v>
      </c>
      <c r="BP150" s="49">
        <f t="shared" si="230"/>
        <v>0</v>
      </c>
      <c r="BQ150" s="61">
        <f t="shared" si="242"/>
        <v>0</v>
      </c>
      <c r="BR150" s="58">
        <f t="shared" si="231"/>
        <v>0</v>
      </c>
      <c r="BS150" s="49">
        <f t="shared" si="232"/>
        <v>0</v>
      </c>
      <c r="BT150" s="61">
        <f t="shared" si="243"/>
        <v>0</v>
      </c>
      <c r="BU150" s="58">
        <f t="shared" si="209"/>
        <v>5.3116246853710349E-4</v>
      </c>
      <c r="BV150" s="49">
        <f t="shared" si="210"/>
        <v>5.9629500000000002E-2</v>
      </c>
      <c r="BW150" s="61">
        <f t="shared" si="211"/>
        <v>5.4000000000000003E-3</v>
      </c>
      <c r="BX150" s="49">
        <f t="shared" si="233"/>
        <v>0.43547045089942127</v>
      </c>
      <c r="BY150" s="49">
        <f t="shared" si="234"/>
        <v>0.7810876050075275</v>
      </c>
      <c r="BZ150" s="49">
        <f t="shared" si="235"/>
        <v>64.674054377647849</v>
      </c>
    </row>
    <row r="151" spans="17:78" x14ac:dyDescent="0.25">
      <c r="Q151" s="49">
        <v>144</v>
      </c>
      <c r="R151" s="219">
        <f t="shared" si="189"/>
        <v>1.44</v>
      </c>
      <c r="S151" s="215">
        <f t="shared" si="190"/>
        <v>12</v>
      </c>
      <c r="T151" s="220">
        <f t="shared" si="191"/>
        <v>0.12</v>
      </c>
      <c r="U151" s="219">
        <f t="shared" si="192"/>
        <v>2</v>
      </c>
      <c r="V151" s="215">
        <f t="shared" si="193"/>
        <v>0.55555555555555558</v>
      </c>
      <c r="W151" s="215">
        <f t="shared" si="194"/>
        <v>0.44444444444444442</v>
      </c>
      <c r="X151" s="215">
        <f t="shared" si="212"/>
        <v>0</v>
      </c>
      <c r="Y151" s="219">
        <f t="shared" si="213"/>
        <v>0.21599999999999997</v>
      </c>
      <c r="Z151" s="215">
        <f t="shared" si="195"/>
        <v>0.14673944943358574</v>
      </c>
      <c r="AA151" s="215">
        <f t="shared" si="214"/>
        <v>0.28936972471679284</v>
      </c>
      <c r="AB151" s="220">
        <f t="shared" si="196"/>
        <v>0.16406362615416978</v>
      </c>
      <c r="AC151" s="219">
        <v>0</v>
      </c>
      <c r="AD151" s="215">
        <f t="shared" si="197"/>
        <v>0.4123665008994214</v>
      </c>
      <c r="AE151" s="220">
        <f t="shared" si="215"/>
        <v>0.4123665008994214</v>
      </c>
      <c r="AF151" s="58">
        <f t="shared" si="198"/>
        <v>2.8799999999999999E-2</v>
      </c>
      <c r="AG151" s="61">
        <f t="shared" si="199"/>
        <v>2.8799999999999999E-2</v>
      </c>
      <c r="AH151" s="58">
        <f t="shared" si="200"/>
        <v>2.3417679881364005E-4</v>
      </c>
      <c r="AI151" s="49">
        <f t="shared" si="201"/>
        <v>1.5349057755725891E-2</v>
      </c>
      <c r="AJ151" s="61">
        <f t="shared" si="216"/>
        <v>1.558323455453953E-2</v>
      </c>
      <c r="AK151" s="219">
        <f t="shared" si="202"/>
        <v>1.44</v>
      </c>
      <c r="AL151" s="215">
        <f t="shared" si="203"/>
        <v>15</v>
      </c>
      <c r="AM151" s="220">
        <f t="shared" si="217"/>
        <v>9.6000000000000002E-2</v>
      </c>
      <c r="AN151" s="219">
        <f t="shared" si="218"/>
        <v>2</v>
      </c>
      <c r="AO151" s="215">
        <f t="shared" si="219"/>
        <v>0.44444444444444453</v>
      </c>
      <c r="AP151" s="215">
        <f t="shared" si="220"/>
        <v>0.21599999999999997</v>
      </c>
      <c r="AQ151" s="215">
        <f t="shared" si="221"/>
        <v>0.14673944943358577</v>
      </c>
      <c r="AR151" s="215">
        <f t="shared" si="236"/>
        <v>0.28936972471679284</v>
      </c>
      <c r="AS151" s="220">
        <f t="shared" si="237"/>
        <v>0.1467429682863344</v>
      </c>
      <c r="AT151" s="219"/>
      <c r="AU151" s="215">
        <f t="shared" si="222"/>
        <v>0.14118912</v>
      </c>
      <c r="AV151" s="220">
        <f t="shared" si="238"/>
        <v>0.14118912</v>
      </c>
      <c r="AW151" s="219">
        <f t="shared" si="223"/>
        <v>6.8148E-2</v>
      </c>
      <c r="AX151" s="215">
        <f t="shared" si="224"/>
        <v>2.8799999999999999E-2</v>
      </c>
      <c r="AY151" s="220">
        <f t="shared" si="239"/>
        <v>9.6948000000000006E-2</v>
      </c>
      <c r="AZ151" s="219">
        <f t="shared" si="204"/>
        <v>0</v>
      </c>
      <c r="BA151" s="215">
        <f t="shared" si="205"/>
        <v>0</v>
      </c>
      <c r="BB151" s="215">
        <f t="shared" si="240"/>
        <v>0</v>
      </c>
      <c r="BC151" s="61">
        <f t="shared" si="225"/>
        <v>0</v>
      </c>
      <c r="BD151" s="58">
        <v>0</v>
      </c>
      <c r="BE151" s="49">
        <f t="shared" si="226"/>
        <v>0</v>
      </c>
      <c r="BF151" s="61">
        <f t="shared" si="241"/>
        <v>0</v>
      </c>
      <c r="BG151" s="58">
        <f t="shared" si="227"/>
        <v>0</v>
      </c>
      <c r="BH151" s="49">
        <f t="shared" si="228"/>
        <v>0</v>
      </c>
      <c r="BI151" s="61">
        <f t="shared" si="229"/>
        <v>0</v>
      </c>
      <c r="BK151" s="219">
        <f t="shared" si="206"/>
        <v>0</v>
      </c>
      <c r="BL151" s="215">
        <f t="shared" si="207"/>
        <v>0</v>
      </c>
      <c r="BM151" s="215">
        <f t="shared" si="208"/>
        <v>0</v>
      </c>
      <c r="BN151" s="61">
        <f t="shared" si="244"/>
        <v>0</v>
      </c>
      <c r="BO151" s="58">
        <v>0</v>
      </c>
      <c r="BP151" s="49">
        <f t="shared" si="230"/>
        <v>0</v>
      </c>
      <c r="BQ151" s="61">
        <f t="shared" si="242"/>
        <v>0</v>
      </c>
      <c r="BR151" s="58">
        <f t="shared" si="231"/>
        <v>0</v>
      </c>
      <c r="BS151" s="49">
        <f t="shared" si="232"/>
        <v>0</v>
      </c>
      <c r="BT151" s="61">
        <f t="shared" si="243"/>
        <v>0</v>
      </c>
      <c r="BU151" s="58">
        <f t="shared" si="209"/>
        <v>5.383374685371036E-4</v>
      </c>
      <c r="BV151" s="49">
        <f t="shared" si="210"/>
        <v>5.9629500000000002E-2</v>
      </c>
      <c r="BW151" s="61">
        <f t="shared" si="211"/>
        <v>5.4000000000000003E-3</v>
      </c>
      <c r="BX151" s="49">
        <f t="shared" si="233"/>
        <v>0.44116650089942139</v>
      </c>
      <c r="BY151" s="49">
        <f t="shared" si="234"/>
        <v>0.78925469292249806</v>
      </c>
      <c r="BZ151" s="49">
        <f t="shared" si="235"/>
        <v>64.595580064124263</v>
      </c>
    </row>
    <row r="152" spans="17:78" x14ac:dyDescent="0.25">
      <c r="Q152" s="49">
        <v>145</v>
      </c>
      <c r="R152" s="219">
        <f t="shared" si="189"/>
        <v>1.45</v>
      </c>
      <c r="S152" s="215">
        <f t="shared" si="190"/>
        <v>12</v>
      </c>
      <c r="T152" s="220">
        <f t="shared" si="191"/>
        <v>0.12083333333333333</v>
      </c>
      <c r="U152" s="219">
        <f t="shared" si="192"/>
        <v>2</v>
      </c>
      <c r="V152" s="215">
        <f t="shared" si="193"/>
        <v>0.55555555555555558</v>
      </c>
      <c r="W152" s="215">
        <f t="shared" si="194"/>
        <v>0.44444444444444442</v>
      </c>
      <c r="X152" s="215">
        <f t="shared" si="212"/>
        <v>0</v>
      </c>
      <c r="Y152" s="219">
        <f t="shared" si="213"/>
        <v>0.21749999999999997</v>
      </c>
      <c r="Z152" s="215">
        <f t="shared" si="195"/>
        <v>0.14673944943358574</v>
      </c>
      <c r="AA152" s="215">
        <f t="shared" si="214"/>
        <v>0.29086972471679284</v>
      </c>
      <c r="AB152" s="220">
        <f t="shared" si="196"/>
        <v>0.16516090162885155</v>
      </c>
      <c r="AC152" s="219">
        <v>0</v>
      </c>
      <c r="AD152" s="215">
        <f t="shared" si="197"/>
        <v>0.41790085089942136</v>
      </c>
      <c r="AE152" s="220">
        <f t="shared" si="215"/>
        <v>0.41790085089942136</v>
      </c>
      <c r="AF152" s="58">
        <f t="shared" si="198"/>
        <v>2.8999999999999998E-2</v>
      </c>
      <c r="AG152" s="61">
        <f t="shared" si="199"/>
        <v>2.8999999999999998E-2</v>
      </c>
      <c r="AH152" s="58">
        <f t="shared" si="200"/>
        <v>2.3731967381364005E-4</v>
      </c>
      <c r="AI152" s="49">
        <f t="shared" si="201"/>
        <v>1.5455648434585099E-2</v>
      </c>
      <c r="AJ152" s="61">
        <f t="shared" si="216"/>
        <v>1.5692968108398739E-2</v>
      </c>
      <c r="AK152" s="219">
        <f t="shared" si="202"/>
        <v>1.45</v>
      </c>
      <c r="AL152" s="215">
        <f t="shared" si="203"/>
        <v>15</v>
      </c>
      <c r="AM152" s="220">
        <f t="shared" si="217"/>
        <v>9.6666666666666665E-2</v>
      </c>
      <c r="AN152" s="219">
        <f t="shared" si="218"/>
        <v>2</v>
      </c>
      <c r="AO152" s="215">
        <f t="shared" si="219"/>
        <v>0.44444444444444448</v>
      </c>
      <c r="AP152" s="215">
        <f t="shared" si="220"/>
        <v>0.21749999999999997</v>
      </c>
      <c r="AQ152" s="215">
        <f t="shared" si="221"/>
        <v>0.14673944943358574</v>
      </c>
      <c r="AR152" s="215">
        <f t="shared" si="236"/>
        <v>0.29086972471679284</v>
      </c>
      <c r="AS152" s="220">
        <f t="shared" si="237"/>
        <v>0.14772440130690712</v>
      </c>
      <c r="AT152" s="219"/>
      <c r="AU152" s="215">
        <f t="shared" si="222"/>
        <v>0.14315688888888889</v>
      </c>
      <c r="AV152" s="220">
        <f t="shared" si="238"/>
        <v>0.14315688888888889</v>
      </c>
      <c r="AW152" s="219">
        <f t="shared" si="223"/>
        <v>6.8148E-2</v>
      </c>
      <c r="AX152" s="215">
        <f t="shared" si="224"/>
        <v>2.8999999999999998E-2</v>
      </c>
      <c r="AY152" s="220">
        <f t="shared" si="239"/>
        <v>9.7147999999999998E-2</v>
      </c>
      <c r="AZ152" s="219">
        <f t="shared" si="204"/>
        <v>0</v>
      </c>
      <c r="BA152" s="215">
        <f t="shared" si="205"/>
        <v>0</v>
      </c>
      <c r="BB152" s="215">
        <f t="shared" si="240"/>
        <v>0</v>
      </c>
      <c r="BC152" s="61">
        <f t="shared" si="225"/>
        <v>0</v>
      </c>
      <c r="BD152" s="58">
        <v>0</v>
      </c>
      <c r="BE152" s="49">
        <f t="shared" si="226"/>
        <v>0</v>
      </c>
      <c r="BF152" s="61">
        <f t="shared" si="241"/>
        <v>0</v>
      </c>
      <c r="BG152" s="58">
        <f t="shared" si="227"/>
        <v>0</v>
      </c>
      <c r="BH152" s="49">
        <f t="shared" si="228"/>
        <v>0</v>
      </c>
      <c r="BI152" s="61">
        <f t="shared" si="229"/>
        <v>0</v>
      </c>
      <c r="BK152" s="219">
        <f t="shared" si="206"/>
        <v>0</v>
      </c>
      <c r="BL152" s="215">
        <f t="shared" si="207"/>
        <v>0</v>
      </c>
      <c r="BM152" s="215">
        <f t="shared" si="208"/>
        <v>0</v>
      </c>
      <c r="BN152" s="61">
        <f t="shared" si="244"/>
        <v>0</v>
      </c>
      <c r="BO152" s="58">
        <v>0</v>
      </c>
      <c r="BP152" s="49">
        <f t="shared" si="230"/>
        <v>0</v>
      </c>
      <c r="BQ152" s="61">
        <f t="shared" si="242"/>
        <v>0</v>
      </c>
      <c r="BR152" s="58">
        <f t="shared" si="231"/>
        <v>0</v>
      </c>
      <c r="BS152" s="49">
        <f t="shared" si="232"/>
        <v>0</v>
      </c>
      <c r="BT152" s="61">
        <f t="shared" si="243"/>
        <v>0</v>
      </c>
      <c r="BU152" s="58">
        <f t="shared" si="209"/>
        <v>5.4556246853710362E-4</v>
      </c>
      <c r="BV152" s="49">
        <f t="shared" si="210"/>
        <v>5.9629500000000002E-2</v>
      </c>
      <c r="BW152" s="61">
        <f t="shared" si="211"/>
        <v>5.4000000000000003E-3</v>
      </c>
      <c r="BX152" s="49">
        <f t="shared" si="233"/>
        <v>0.44690085089942133</v>
      </c>
      <c r="BY152" s="49">
        <f t="shared" si="234"/>
        <v>0.79747377036524603</v>
      </c>
      <c r="BZ152" s="49">
        <f t="shared" si="235"/>
        <v>64.516881981868664</v>
      </c>
    </row>
    <row r="153" spans="17:78" x14ac:dyDescent="0.25">
      <c r="Q153" s="49">
        <v>146</v>
      </c>
      <c r="R153" s="219">
        <f t="shared" si="189"/>
        <v>1.46</v>
      </c>
      <c r="S153" s="215">
        <f t="shared" si="190"/>
        <v>12</v>
      </c>
      <c r="T153" s="220">
        <f t="shared" si="191"/>
        <v>0.12166666666666666</v>
      </c>
      <c r="U153" s="219">
        <f t="shared" si="192"/>
        <v>2</v>
      </c>
      <c r="V153" s="215">
        <f t="shared" si="193"/>
        <v>0.55555555555555558</v>
      </c>
      <c r="W153" s="215">
        <f t="shared" si="194"/>
        <v>0.44444444444444442</v>
      </c>
      <c r="X153" s="215">
        <f t="shared" si="212"/>
        <v>0</v>
      </c>
      <c r="Y153" s="219">
        <f t="shared" si="213"/>
        <v>0.21899999999999997</v>
      </c>
      <c r="Z153" s="215">
        <f t="shared" si="195"/>
        <v>0.14673944943358574</v>
      </c>
      <c r="AA153" s="215">
        <f t="shared" si="214"/>
        <v>0.29236972471679284</v>
      </c>
      <c r="AB153" s="220">
        <f t="shared" si="196"/>
        <v>0.16625845370042139</v>
      </c>
      <c r="AC153" s="219">
        <v>0</v>
      </c>
      <c r="AD153" s="215">
        <f t="shared" si="197"/>
        <v>0.4234735008994211</v>
      </c>
      <c r="AE153" s="220">
        <f t="shared" si="215"/>
        <v>0.4234735008994211</v>
      </c>
      <c r="AF153" s="58">
        <f t="shared" si="198"/>
        <v>2.92E-2</v>
      </c>
      <c r="AG153" s="61">
        <f t="shared" si="199"/>
        <v>2.92E-2</v>
      </c>
      <c r="AH153" s="58">
        <f t="shared" si="200"/>
        <v>2.4048429881363991E-4</v>
      </c>
      <c r="AI153" s="49">
        <f t="shared" si="201"/>
        <v>1.5562239113444308E-2</v>
      </c>
      <c r="AJ153" s="61">
        <f t="shared" si="216"/>
        <v>1.5802723412257948E-2</v>
      </c>
      <c r="AK153" s="219">
        <f t="shared" si="202"/>
        <v>1.46</v>
      </c>
      <c r="AL153" s="215">
        <f t="shared" si="203"/>
        <v>15</v>
      </c>
      <c r="AM153" s="220">
        <f t="shared" si="217"/>
        <v>9.7333333333333327E-2</v>
      </c>
      <c r="AN153" s="219">
        <f t="shared" si="218"/>
        <v>2</v>
      </c>
      <c r="AO153" s="215">
        <f t="shared" si="219"/>
        <v>0.44444444444444448</v>
      </c>
      <c r="AP153" s="215">
        <f t="shared" si="220"/>
        <v>0.21899999999999997</v>
      </c>
      <c r="AQ153" s="215">
        <f t="shared" si="221"/>
        <v>0.14673944943358574</v>
      </c>
      <c r="AR153" s="215">
        <f t="shared" si="236"/>
        <v>0.29236972471679284</v>
      </c>
      <c r="AS153" s="220">
        <f t="shared" si="237"/>
        <v>0.14870608172325747</v>
      </c>
      <c r="AT153" s="219"/>
      <c r="AU153" s="215">
        <f t="shared" si="222"/>
        <v>0.14513827555555556</v>
      </c>
      <c r="AV153" s="220">
        <f t="shared" si="238"/>
        <v>0.14513827555555556</v>
      </c>
      <c r="AW153" s="219">
        <f t="shared" si="223"/>
        <v>6.8148E-2</v>
      </c>
      <c r="AX153" s="215">
        <f t="shared" si="224"/>
        <v>2.9199999999999997E-2</v>
      </c>
      <c r="AY153" s="220">
        <f t="shared" si="239"/>
        <v>9.734799999999999E-2</v>
      </c>
      <c r="AZ153" s="219">
        <f t="shared" si="204"/>
        <v>0</v>
      </c>
      <c r="BA153" s="215">
        <f t="shared" si="205"/>
        <v>0</v>
      </c>
      <c r="BB153" s="215">
        <f t="shared" si="240"/>
        <v>0</v>
      </c>
      <c r="BC153" s="61">
        <f t="shared" si="225"/>
        <v>0</v>
      </c>
      <c r="BD153" s="58">
        <v>0</v>
      </c>
      <c r="BE153" s="49">
        <f t="shared" si="226"/>
        <v>0</v>
      </c>
      <c r="BF153" s="61">
        <f t="shared" si="241"/>
        <v>0</v>
      </c>
      <c r="BG153" s="58">
        <f t="shared" si="227"/>
        <v>0</v>
      </c>
      <c r="BH153" s="49">
        <f t="shared" si="228"/>
        <v>0</v>
      </c>
      <c r="BI153" s="61">
        <f t="shared" si="229"/>
        <v>0</v>
      </c>
      <c r="BK153" s="219">
        <f t="shared" si="206"/>
        <v>0</v>
      </c>
      <c r="BL153" s="215">
        <f t="shared" si="207"/>
        <v>0</v>
      </c>
      <c r="BM153" s="215">
        <f t="shared" si="208"/>
        <v>0</v>
      </c>
      <c r="BN153" s="61">
        <f t="shared" si="244"/>
        <v>0</v>
      </c>
      <c r="BO153" s="58">
        <v>0</v>
      </c>
      <c r="BP153" s="49">
        <f t="shared" si="230"/>
        <v>0</v>
      </c>
      <c r="BQ153" s="61">
        <f t="shared" si="242"/>
        <v>0</v>
      </c>
      <c r="BR153" s="58">
        <f t="shared" si="231"/>
        <v>0</v>
      </c>
      <c r="BS153" s="49">
        <f t="shared" si="232"/>
        <v>0</v>
      </c>
      <c r="BT153" s="61">
        <f t="shared" si="243"/>
        <v>0</v>
      </c>
      <c r="BU153" s="58">
        <f t="shared" si="209"/>
        <v>5.5283746853710325E-4</v>
      </c>
      <c r="BV153" s="49">
        <f t="shared" si="210"/>
        <v>5.9629500000000002E-2</v>
      </c>
      <c r="BW153" s="61">
        <f t="shared" si="211"/>
        <v>5.4000000000000003E-3</v>
      </c>
      <c r="BX153" s="49">
        <f t="shared" si="233"/>
        <v>0.4526735008994211</v>
      </c>
      <c r="BY153" s="49">
        <f t="shared" si="234"/>
        <v>0.80574483733577174</v>
      </c>
      <c r="BZ153" s="49">
        <f t="shared" si="235"/>
        <v>64.437970946312504</v>
      </c>
    </row>
    <row r="154" spans="17:78" x14ac:dyDescent="0.25">
      <c r="Q154" s="49">
        <v>147</v>
      </c>
      <c r="R154" s="219">
        <f t="shared" si="189"/>
        <v>1.47</v>
      </c>
      <c r="S154" s="215">
        <f t="shared" si="190"/>
        <v>12</v>
      </c>
      <c r="T154" s="220">
        <f t="shared" si="191"/>
        <v>0.1225</v>
      </c>
      <c r="U154" s="219">
        <f t="shared" si="192"/>
        <v>2</v>
      </c>
      <c r="V154" s="215">
        <f t="shared" si="193"/>
        <v>0.55555555555555558</v>
      </c>
      <c r="W154" s="215">
        <f t="shared" si="194"/>
        <v>0.44444444444444442</v>
      </c>
      <c r="X154" s="215">
        <f t="shared" si="212"/>
        <v>0</v>
      </c>
      <c r="Y154" s="219">
        <f t="shared" si="213"/>
        <v>0.22049999999999997</v>
      </c>
      <c r="Z154" s="215">
        <f t="shared" si="195"/>
        <v>0.14673944943358574</v>
      </c>
      <c r="AA154" s="215">
        <f t="shared" si="214"/>
        <v>0.29386972471679285</v>
      </c>
      <c r="AB154" s="220">
        <f t="shared" si="196"/>
        <v>0.16735627692696553</v>
      </c>
      <c r="AC154" s="219">
        <v>0</v>
      </c>
      <c r="AD154" s="215">
        <f t="shared" si="197"/>
        <v>0.42908445089942132</v>
      </c>
      <c r="AE154" s="220">
        <f t="shared" si="215"/>
        <v>0.42908445089942132</v>
      </c>
      <c r="AF154" s="58">
        <f t="shared" si="198"/>
        <v>2.9399999999999999E-2</v>
      </c>
      <c r="AG154" s="61">
        <f t="shared" si="199"/>
        <v>2.9399999999999999E-2</v>
      </c>
      <c r="AH154" s="58">
        <f t="shared" si="200"/>
        <v>2.4367067381364001E-4</v>
      </c>
      <c r="AI154" s="49">
        <f t="shared" si="201"/>
        <v>1.5668829792303513E-2</v>
      </c>
      <c r="AJ154" s="61">
        <f t="shared" si="216"/>
        <v>1.5912500466117155E-2</v>
      </c>
      <c r="AK154" s="219">
        <f t="shared" si="202"/>
        <v>1.47</v>
      </c>
      <c r="AL154" s="215">
        <f t="shared" si="203"/>
        <v>15</v>
      </c>
      <c r="AM154" s="220">
        <f t="shared" si="217"/>
        <v>9.8000000000000004E-2</v>
      </c>
      <c r="AN154" s="219">
        <f t="shared" si="218"/>
        <v>2</v>
      </c>
      <c r="AO154" s="215">
        <f t="shared" si="219"/>
        <v>0.44444444444444453</v>
      </c>
      <c r="AP154" s="215">
        <f t="shared" si="220"/>
        <v>0.22049999999999997</v>
      </c>
      <c r="AQ154" s="215">
        <f t="shared" si="221"/>
        <v>0.14673944943358577</v>
      </c>
      <c r="AR154" s="215">
        <f t="shared" si="236"/>
        <v>0.29386972471679285</v>
      </c>
      <c r="AS154" s="220">
        <f t="shared" si="237"/>
        <v>0.14968800466798984</v>
      </c>
      <c r="AT154" s="219"/>
      <c r="AU154" s="215">
        <f t="shared" si="222"/>
        <v>0.14713328000000003</v>
      </c>
      <c r="AV154" s="220">
        <f t="shared" si="238"/>
        <v>0.14713328000000003</v>
      </c>
      <c r="AW154" s="219">
        <f t="shared" si="223"/>
        <v>6.8148E-2</v>
      </c>
      <c r="AX154" s="215">
        <f t="shared" si="224"/>
        <v>2.9399999999999999E-2</v>
      </c>
      <c r="AY154" s="220">
        <f t="shared" si="239"/>
        <v>9.7547999999999996E-2</v>
      </c>
      <c r="AZ154" s="219">
        <f t="shared" si="204"/>
        <v>0</v>
      </c>
      <c r="BA154" s="215">
        <f t="shared" si="205"/>
        <v>0</v>
      </c>
      <c r="BB154" s="215">
        <f t="shared" si="240"/>
        <v>0</v>
      </c>
      <c r="BC154" s="61">
        <f t="shared" si="225"/>
        <v>0</v>
      </c>
      <c r="BD154" s="58">
        <v>0</v>
      </c>
      <c r="BE154" s="49">
        <f t="shared" si="226"/>
        <v>0</v>
      </c>
      <c r="BF154" s="61">
        <f t="shared" si="241"/>
        <v>0</v>
      </c>
      <c r="BG154" s="58">
        <f t="shared" si="227"/>
        <v>0</v>
      </c>
      <c r="BH154" s="49">
        <f t="shared" si="228"/>
        <v>0</v>
      </c>
      <c r="BI154" s="61">
        <f t="shared" si="229"/>
        <v>0</v>
      </c>
      <c r="BK154" s="219">
        <f t="shared" si="206"/>
        <v>0</v>
      </c>
      <c r="BL154" s="215">
        <f t="shared" si="207"/>
        <v>0</v>
      </c>
      <c r="BM154" s="215">
        <f t="shared" si="208"/>
        <v>0</v>
      </c>
      <c r="BN154" s="61">
        <f t="shared" si="244"/>
        <v>0</v>
      </c>
      <c r="BO154" s="58">
        <v>0</v>
      </c>
      <c r="BP154" s="49">
        <f t="shared" si="230"/>
        <v>0</v>
      </c>
      <c r="BQ154" s="61">
        <f t="shared" si="242"/>
        <v>0</v>
      </c>
      <c r="BR154" s="58">
        <f t="shared" si="231"/>
        <v>0</v>
      </c>
      <c r="BS154" s="49">
        <f t="shared" si="232"/>
        <v>0</v>
      </c>
      <c r="BT154" s="61">
        <f t="shared" si="243"/>
        <v>0</v>
      </c>
      <c r="BU154" s="58">
        <f t="shared" si="209"/>
        <v>5.6016246853710355E-4</v>
      </c>
      <c r="BV154" s="49">
        <f t="shared" si="210"/>
        <v>5.9629500000000002E-2</v>
      </c>
      <c r="BW154" s="61">
        <f t="shared" si="211"/>
        <v>5.4000000000000003E-3</v>
      </c>
      <c r="BX154" s="49">
        <f t="shared" si="233"/>
        <v>0.4584844508994213</v>
      </c>
      <c r="BY154" s="49">
        <f t="shared" si="234"/>
        <v>0.81406789383407563</v>
      </c>
      <c r="BZ154" s="49">
        <f t="shared" si="235"/>
        <v>64.358857456396919</v>
      </c>
    </row>
    <row r="155" spans="17:78" x14ac:dyDescent="0.25">
      <c r="Q155" s="49">
        <v>148</v>
      </c>
      <c r="R155" s="219">
        <f t="shared" si="189"/>
        <v>1.48</v>
      </c>
      <c r="S155" s="215">
        <f t="shared" si="190"/>
        <v>12</v>
      </c>
      <c r="T155" s="220">
        <f t="shared" si="191"/>
        <v>0.12333333333333334</v>
      </c>
      <c r="U155" s="219">
        <f t="shared" si="192"/>
        <v>2</v>
      </c>
      <c r="V155" s="215">
        <f t="shared" si="193"/>
        <v>0.55555555555555558</v>
      </c>
      <c r="W155" s="215">
        <f t="shared" si="194"/>
        <v>0.44444444444444442</v>
      </c>
      <c r="X155" s="215">
        <f t="shared" si="212"/>
        <v>0</v>
      </c>
      <c r="Y155" s="219">
        <f t="shared" si="213"/>
        <v>0.22199999999999998</v>
      </c>
      <c r="Z155" s="215">
        <f t="shared" si="195"/>
        <v>0.14673944943358574</v>
      </c>
      <c r="AA155" s="215">
        <f t="shared" si="214"/>
        <v>0.29536972471679285</v>
      </c>
      <c r="AB155" s="220">
        <f t="shared" si="196"/>
        <v>0.16845436600710345</v>
      </c>
      <c r="AC155" s="219">
        <v>0</v>
      </c>
      <c r="AD155" s="215">
        <f t="shared" si="197"/>
        <v>0.4347337008994212</v>
      </c>
      <c r="AE155" s="220">
        <f t="shared" si="215"/>
        <v>0.4347337008994212</v>
      </c>
      <c r="AF155" s="58">
        <f t="shared" si="198"/>
        <v>2.9600000000000001E-2</v>
      </c>
      <c r="AG155" s="61">
        <f t="shared" si="199"/>
        <v>2.9600000000000001E-2</v>
      </c>
      <c r="AH155" s="58">
        <f t="shared" si="200"/>
        <v>2.4687879881363998E-4</v>
      </c>
      <c r="AI155" s="49">
        <f t="shared" si="201"/>
        <v>1.5775420471162722E-2</v>
      </c>
      <c r="AJ155" s="61">
        <f t="shared" si="216"/>
        <v>1.6022299269976361E-2</v>
      </c>
      <c r="AK155" s="219">
        <f t="shared" si="202"/>
        <v>1.48</v>
      </c>
      <c r="AL155" s="215">
        <f t="shared" si="203"/>
        <v>15</v>
      </c>
      <c r="AM155" s="220">
        <f t="shared" si="217"/>
        <v>9.8666666666666666E-2</v>
      </c>
      <c r="AN155" s="219">
        <f t="shared" si="218"/>
        <v>2</v>
      </c>
      <c r="AO155" s="215">
        <f t="shared" si="219"/>
        <v>0.44444444444444448</v>
      </c>
      <c r="AP155" s="215">
        <f t="shared" si="220"/>
        <v>0.22199999999999998</v>
      </c>
      <c r="AQ155" s="215">
        <f t="shared" si="221"/>
        <v>0.14673944943358574</v>
      </c>
      <c r="AR155" s="215">
        <f t="shared" si="236"/>
        <v>0.29536972471679285</v>
      </c>
      <c r="AS155" s="220">
        <f t="shared" si="237"/>
        <v>0.15067016539940525</v>
      </c>
      <c r="AT155" s="219"/>
      <c r="AU155" s="215">
        <f t="shared" si="222"/>
        <v>0.14914190222222223</v>
      </c>
      <c r="AV155" s="220">
        <f t="shared" si="238"/>
        <v>0.14914190222222223</v>
      </c>
      <c r="AW155" s="219">
        <f t="shared" si="223"/>
        <v>6.8148E-2</v>
      </c>
      <c r="AX155" s="215">
        <f t="shared" si="224"/>
        <v>2.9599999999999998E-2</v>
      </c>
      <c r="AY155" s="220">
        <f t="shared" si="239"/>
        <v>9.7748000000000002E-2</v>
      </c>
      <c r="AZ155" s="219">
        <f t="shared" si="204"/>
        <v>0</v>
      </c>
      <c r="BA155" s="215">
        <f t="shared" si="205"/>
        <v>0</v>
      </c>
      <c r="BB155" s="215">
        <f t="shared" si="240"/>
        <v>0</v>
      </c>
      <c r="BC155" s="61">
        <f t="shared" si="225"/>
        <v>0</v>
      </c>
      <c r="BD155" s="58">
        <v>0</v>
      </c>
      <c r="BE155" s="49">
        <f t="shared" si="226"/>
        <v>0</v>
      </c>
      <c r="BF155" s="61">
        <f t="shared" si="241"/>
        <v>0</v>
      </c>
      <c r="BG155" s="58">
        <f t="shared" si="227"/>
        <v>0</v>
      </c>
      <c r="BH155" s="49">
        <f t="shared" si="228"/>
        <v>0</v>
      </c>
      <c r="BI155" s="61">
        <f t="shared" si="229"/>
        <v>0</v>
      </c>
      <c r="BK155" s="219">
        <f t="shared" si="206"/>
        <v>0</v>
      </c>
      <c r="BL155" s="215">
        <f t="shared" si="207"/>
        <v>0</v>
      </c>
      <c r="BM155" s="215">
        <f t="shared" si="208"/>
        <v>0</v>
      </c>
      <c r="BN155" s="61">
        <f t="shared" si="244"/>
        <v>0</v>
      </c>
      <c r="BO155" s="58">
        <v>0</v>
      </c>
      <c r="BP155" s="49">
        <f t="shared" si="230"/>
        <v>0</v>
      </c>
      <c r="BQ155" s="61">
        <f t="shared" si="242"/>
        <v>0</v>
      </c>
      <c r="BR155" s="58">
        <f t="shared" si="231"/>
        <v>0</v>
      </c>
      <c r="BS155" s="49">
        <f t="shared" si="232"/>
        <v>0</v>
      </c>
      <c r="BT155" s="61">
        <f t="shared" si="243"/>
        <v>0</v>
      </c>
      <c r="BU155" s="58">
        <f t="shared" si="209"/>
        <v>5.6753746853710344E-4</v>
      </c>
      <c r="BV155" s="49">
        <f t="shared" si="210"/>
        <v>5.9629500000000002E-2</v>
      </c>
      <c r="BW155" s="61">
        <f t="shared" si="211"/>
        <v>5.4000000000000003E-3</v>
      </c>
      <c r="BX155" s="49">
        <f t="shared" si="233"/>
        <v>0.46433370089942122</v>
      </c>
      <c r="BY155" s="49">
        <f t="shared" si="234"/>
        <v>0.82244293986015682</v>
      </c>
      <c r="BZ155" s="49">
        <f t="shared" si="235"/>
        <v>64.279551704759754</v>
      </c>
    </row>
    <row r="156" spans="17:78" x14ac:dyDescent="0.25">
      <c r="Q156" s="49">
        <v>149</v>
      </c>
      <c r="R156" s="219">
        <f t="shared" si="189"/>
        <v>1.49</v>
      </c>
      <c r="S156" s="215">
        <f t="shared" si="190"/>
        <v>12</v>
      </c>
      <c r="T156" s="220">
        <f t="shared" si="191"/>
        <v>0.12416666666666666</v>
      </c>
      <c r="U156" s="219">
        <f t="shared" si="192"/>
        <v>2</v>
      </c>
      <c r="V156" s="215">
        <f t="shared" si="193"/>
        <v>0.55555555555555558</v>
      </c>
      <c r="W156" s="215">
        <f t="shared" si="194"/>
        <v>0.44444444444444442</v>
      </c>
      <c r="X156" s="215">
        <f t="shared" si="212"/>
        <v>0</v>
      </c>
      <c r="Y156" s="219">
        <f t="shared" si="213"/>
        <v>0.22349999999999998</v>
      </c>
      <c r="Z156" s="215">
        <f t="shared" si="195"/>
        <v>0.14673944943358574</v>
      </c>
      <c r="AA156" s="215">
        <f t="shared" si="214"/>
        <v>0.29686972471679285</v>
      </c>
      <c r="AB156" s="220">
        <f t="shared" si="196"/>
        <v>0.16955271577552269</v>
      </c>
      <c r="AC156" s="219">
        <v>0</v>
      </c>
      <c r="AD156" s="215">
        <f t="shared" si="197"/>
        <v>0.44042125089942141</v>
      </c>
      <c r="AE156" s="220">
        <f t="shared" si="215"/>
        <v>0.44042125089942141</v>
      </c>
      <c r="AF156" s="58">
        <f t="shared" si="198"/>
        <v>2.98E-2</v>
      </c>
      <c r="AG156" s="61">
        <f t="shared" si="199"/>
        <v>2.98E-2</v>
      </c>
      <c r="AH156" s="58">
        <f t="shared" si="200"/>
        <v>2.5010867381364005E-4</v>
      </c>
      <c r="AI156" s="49">
        <f t="shared" si="201"/>
        <v>1.588201115002193E-2</v>
      </c>
      <c r="AJ156" s="61">
        <f t="shared" si="216"/>
        <v>1.613211982383557E-2</v>
      </c>
      <c r="AK156" s="219">
        <f t="shared" si="202"/>
        <v>1.49</v>
      </c>
      <c r="AL156" s="215">
        <f t="shared" si="203"/>
        <v>15</v>
      </c>
      <c r="AM156" s="220">
        <f t="shared" si="217"/>
        <v>9.9333333333333329E-2</v>
      </c>
      <c r="AN156" s="219">
        <f t="shared" si="218"/>
        <v>2</v>
      </c>
      <c r="AO156" s="215">
        <f t="shared" si="219"/>
        <v>0.44444444444444448</v>
      </c>
      <c r="AP156" s="215">
        <f t="shared" si="220"/>
        <v>0.22349999999999998</v>
      </c>
      <c r="AQ156" s="215">
        <f t="shared" si="221"/>
        <v>0.14673944943358574</v>
      </c>
      <c r="AR156" s="215">
        <f t="shared" si="236"/>
        <v>0.29686972471679285</v>
      </c>
      <c r="AS156" s="220">
        <f t="shared" si="237"/>
        <v>0.15165255929750787</v>
      </c>
      <c r="AT156" s="219"/>
      <c r="AU156" s="215">
        <f t="shared" si="222"/>
        <v>0.15116414222222219</v>
      </c>
      <c r="AV156" s="220">
        <f t="shared" si="238"/>
        <v>0.15116414222222219</v>
      </c>
      <c r="AW156" s="219">
        <f t="shared" si="223"/>
        <v>6.8148E-2</v>
      </c>
      <c r="AX156" s="215">
        <f t="shared" si="224"/>
        <v>2.9799999999999997E-2</v>
      </c>
      <c r="AY156" s="220">
        <f t="shared" si="239"/>
        <v>9.7947999999999993E-2</v>
      </c>
      <c r="AZ156" s="219">
        <f t="shared" si="204"/>
        <v>0</v>
      </c>
      <c r="BA156" s="215">
        <f t="shared" si="205"/>
        <v>0</v>
      </c>
      <c r="BB156" s="215">
        <f t="shared" si="240"/>
        <v>0</v>
      </c>
      <c r="BC156" s="61">
        <f t="shared" si="225"/>
        <v>0</v>
      </c>
      <c r="BD156" s="58">
        <v>0</v>
      </c>
      <c r="BE156" s="49">
        <f t="shared" si="226"/>
        <v>0</v>
      </c>
      <c r="BF156" s="61">
        <f t="shared" si="241"/>
        <v>0</v>
      </c>
      <c r="BG156" s="58">
        <f t="shared" si="227"/>
        <v>0</v>
      </c>
      <c r="BH156" s="49">
        <f t="shared" si="228"/>
        <v>0</v>
      </c>
      <c r="BI156" s="61">
        <f t="shared" si="229"/>
        <v>0</v>
      </c>
      <c r="BK156" s="219">
        <f t="shared" si="206"/>
        <v>0</v>
      </c>
      <c r="BL156" s="215">
        <f t="shared" si="207"/>
        <v>0</v>
      </c>
      <c r="BM156" s="215">
        <f t="shared" si="208"/>
        <v>0</v>
      </c>
      <c r="BN156" s="61">
        <f t="shared" si="244"/>
        <v>0</v>
      </c>
      <c r="BO156" s="58">
        <v>0</v>
      </c>
      <c r="BP156" s="49">
        <f t="shared" si="230"/>
        <v>0</v>
      </c>
      <c r="BQ156" s="61">
        <f t="shared" si="242"/>
        <v>0</v>
      </c>
      <c r="BR156" s="58">
        <f t="shared" si="231"/>
        <v>0</v>
      </c>
      <c r="BS156" s="49">
        <f t="shared" si="232"/>
        <v>0</v>
      </c>
      <c r="BT156" s="61">
        <f t="shared" si="243"/>
        <v>0</v>
      </c>
      <c r="BU156" s="58">
        <f t="shared" si="209"/>
        <v>5.7496246853710369E-4</v>
      </c>
      <c r="BV156" s="49">
        <f t="shared" si="210"/>
        <v>5.9629500000000002E-2</v>
      </c>
      <c r="BW156" s="61">
        <f t="shared" si="211"/>
        <v>5.4000000000000003E-3</v>
      </c>
      <c r="BX156" s="49">
        <f t="shared" si="233"/>
        <v>0.47022125089942141</v>
      </c>
      <c r="BY156" s="49">
        <f t="shared" si="234"/>
        <v>0.8308699754140163</v>
      </c>
      <c r="BZ156" s="49">
        <f t="shared" si="235"/>
        <v>64.20006358754334</v>
      </c>
    </row>
    <row r="157" spans="17:78" ht="15.75" thickBot="1" x14ac:dyDescent="0.3">
      <c r="Q157" s="49">
        <v>150</v>
      </c>
      <c r="R157" s="221">
        <f t="shared" si="189"/>
        <v>1.5</v>
      </c>
      <c r="S157" s="222">
        <f t="shared" si="190"/>
        <v>12</v>
      </c>
      <c r="T157" s="223">
        <f t="shared" si="191"/>
        <v>0.125</v>
      </c>
      <c r="U157" s="221">
        <f t="shared" si="192"/>
        <v>2</v>
      </c>
      <c r="V157" s="222">
        <f t="shared" si="193"/>
        <v>0.55555555555555558</v>
      </c>
      <c r="W157" s="222">
        <f t="shared" si="194"/>
        <v>0.44444444444444442</v>
      </c>
      <c r="X157" s="222">
        <f t="shared" si="212"/>
        <v>0</v>
      </c>
      <c r="Y157" s="221">
        <f t="shared" si="213"/>
        <v>0.22499999999999998</v>
      </c>
      <c r="Z157" s="222">
        <f t="shared" si="195"/>
        <v>0.14673944943358574</v>
      </c>
      <c r="AA157" s="222">
        <f>Y157+(Z157/2)</f>
        <v>0.29836972471679285</v>
      </c>
      <c r="AB157" s="223">
        <f t="shared" si="196"/>
        <v>0.1706513211986804</v>
      </c>
      <c r="AC157" s="221">
        <v>0</v>
      </c>
      <c r="AD157" s="222">
        <f t="shared" si="197"/>
        <v>0.44614710089942144</v>
      </c>
      <c r="AE157" s="223">
        <f t="shared" si="215"/>
        <v>0.44614710089942144</v>
      </c>
      <c r="AF157" s="58">
        <f t="shared" si="198"/>
        <v>0.03</v>
      </c>
      <c r="AG157" s="63">
        <f t="shared" si="199"/>
        <v>0.03</v>
      </c>
      <c r="AH157" s="62">
        <f t="shared" si="200"/>
        <v>2.5336029881364012E-4</v>
      </c>
      <c r="AI157" s="49">
        <f t="shared" si="201"/>
        <v>1.5988601828881135E-2</v>
      </c>
      <c r="AJ157" s="63">
        <f t="shared" si="216"/>
        <v>1.6241962127694777E-2</v>
      </c>
      <c r="AK157" s="221">
        <f t="shared" si="202"/>
        <v>1.5</v>
      </c>
      <c r="AL157" s="222">
        <f t="shared" si="203"/>
        <v>15</v>
      </c>
      <c r="AM157" s="223">
        <f t="shared" si="217"/>
        <v>0.1</v>
      </c>
      <c r="AN157" s="221">
        <f t="shared" si="218"/>
        <v>2</v>
      </c>
      <c r="AO157" s="222">
        <f t="shared" si="219"/>
        <v>0.44444444444444453</v>
      </c>
      <c r="AP157" s="222">
        <f t="shared" si="220"/>
        <v>0.22499999999999998</v>
      </c>
      <c r="AQ157" s="222">
        <f t="shared" si="221"/>
        <v>0.14673944943358577</v>
      </c>
      <c r="AR157" s="222">
        <f t="shared" si="236"/>
        <v>0.29836972471679285</v>
      </c>
      <c r="AS157" s="223">
        <f t="shared" si="237"/>
        <v>0.15263518186016009</v>
      </c>
      <c r="AT157" s="219"/>
      <c r="AU157" s="215">
        <f t="shared" si="222"/>
        <v>0.15320000000000003</v>
      </c>
      <c r="AV157" s="220">
        <f t="shared" si="238"/>
        <v>0.15320000000000003</v>
      </c>
      <c r="AW157" s="219">
        <f t="shared" si="223"/>
        <v>6.8148E-2</v>
      </c>
      <c r="AX157" s="215">
        <f t="shared" si="224"/>
        <v>0.03</v>
      </c>
      <c r="AY157" s="220">
        <f t="shared" si="239"/>
        <v>9.8147999999999999E-2</v>
      </c>
      <c r="AZ157" s="221">
        <f t="shared" si="204"/>
        <v>0</v>
      </c>
      <c r="BA157" s="222">
        <f t="shared" si="205"/>
        <v>0</v>
      </c>
      <c r="BB157" s="215">
        <f t="shared" si="240"/>
        <v>0</v>
      </c>
      <c r="BC157" s="61">
        <f t="shared" si="225"/>
        <v>0</v>
      </c>
      <c r="BD157" s="58">
        <v>0</v>
      </c>
      <c r="BE157" s="49">
        <f t="shared" si="226"/>
        <v>0</v>
      </c>
      <c r="BF157" s="61">
        <f t="shared" si="241"/>
        <v>0</v>
      </c>
      <c r="BG157" s="58">
        <f t="shared" si="227"/>
        <v>0</v>
      </c>
      <c r="BH157" s="49">
        <f t="shared" si="228"/>
        <v>0</v>
      </c>
      <c r="BI157" s="63">
        <f t="shared" si="229"/>
        <v>0</v>
      </c>
      <c r="BJ157" s="55"/>
      <c r="BK157" s="221">
        <f t="shared" si="206"/>
        <v>0</v>
      </c>
      <c r="BL157" s="222">
        <f t="shared" si="207"/>
        <v>0</v>
      </c>
      <c r="BM157" s="222">
        <f t="shared" si="208"/>
        <v>0</v>
      </c>
      <c r="BN157" s="61">
        <f t="shared" si="244"/>
        <v>0</v>
      </c>
      <c r="BO157" s="58">
        <v>0</v>
      </c>
      <c r="BP157" s="49">
        <f t="shared" si="230"/>
        <v>0</v>
      </c>
      <c r="BQ157" s="61">
        <f t="shared" si="242"/>
        <v>0</v>
      </c>
      <c r="BR157" s="58">
        <f t="shared" si="231"/>
        <v>0</v>
      </c>
      <c r="BS157" s="49">
        <f t="shared" si="232"/>
        <v>0</v>
      </c>
      <c r="BT157" s="61">
        <f t="shared" si="243"/>
        <v>0</v>
      </c>
      <c r="BU157" s="58">
        <f t="shared" si="209"/>
        <v>5.8243746853710375E-4</v>
      </c>
      <c r="BV157" s="49">
        <f t="shared" si="210"/>
        <v>5.9629500000000002E-2</v>
      </c>
      <c r="BW157" s="61">
        <f t="shared" si="211"/>
        <v>5.4000000000000003E-3</v>
      </c>
      <c r="BX157" s="49">
        <f t="shared" si="233"/>
        <v>0.47614710089942147</v>
      </c>
      <c r="BY157" s="49">
        <f t="shared" si="234"/>
        <v>0.83934900049565342</v>
      </c>
      <c r="BZ157" s="49">
        <f t="shared" si="235"/>
        <v>64.120402713839837</v>
      </c>
    </row>
  </sheetData>
  <mergeCells count="19">
    <mergeCell ref="A1:M1"/>
    <mergeCell ref="AH5:AJ5"/>
    <mergeCell ref="U4:AE4"/>
    <mergeCell ref="AK4:AY4"/>
    <mergeCell ref="AK5:AM5"/>
    <mergeCell ref="AN5:AS5"/>
    <mergeCell ref="AT5:AV5"/>
    <mergeCell ref="AW5:AY5"/>
    <mergeCell ref="BK4:BT4"/>
    <mergeCell ref="AF5:AG5"/>
    <mergeCell ref="R4:T5"/>
    <mergeCell ref="BK5:BN5"/>
    <mergeCell ref="BU5:BW5"/>
    <mergeCell ref="BD5:BF5"/>
    <mergeCell ref="AZ5:BC5"/>
    <mergeCell ref="BG5:BI5"/>
    <mergeCell ref="AZ4:BI4"/>
    <mergeCell ref="BO5:BQ5"/>
    <mergeCell ref="BR5:BT5"/>
  </mergeCells>
  <pageMargins left="0.7" right="0.7" top="0.75" bottom="0.75" header="0.3" footer="0.3"/>
  <pageSetup orientation="portrait"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60"/>
  <sheetViews>
    <sheetView zoomScaleNormal="100" workbookViewId="0">
      <selection activeCell="B32" sqref="B32"/>
    </sheetView>
  </sheetViews>
  <sheetFormatPr defaultRowHeight="15" x14ac:dyDescent="0.25"/>
  <cols>
    <col min="1" max="1" width="26.7109375" customWidth="1"/>
    <col min="2" max="2" width="25.5703125" customWidth="1"/>
    <col min="3" max="3" width="10.140625" customWidth="1"/>
  </cols>
  <sheetData>
    <row r="1" spans="1:9" ht="27.75" x14ac:dyDescent="0.4">
      <c r="A1" s="261" t="s">
        <v>71</v>
      </c>
      <c r="B1" s="261"/>
      <c r="C1" s="261"/>
      <c r="D1" s="261"/>
      <c r="E1" s="261"/>
      <c r="F1" s="261"/>
      <c r="G1" s="261"/>
      <c r="H1" s="261"/>
      <c r="I1" s="261"/>
    </row>
    <row r="2" spans="1:9" x14ac:dyDescent="0.25">
      <c r="A2" s="11"/>
      <c r="B2" s="11" t="s">
        <v>17</v>
      </c>
      <c r="C2" s="12"/>
      <c r="D2" s="17"/>
      <c r="E2" s="11"/>
      <c r="F2" s="11"/>
      <c r="G2" s="11"/>
      <c r="H2" s="11"/>
      <c r="I2" s="11"/>
    </row>
    <row r="3" spans="1:9" x14ac:dyDescent="0.25">
      <c r="A3" s="11"/>
      <c r="B3" s="11" t="s">
        <v>18</v>
      </c>
      <c r="C3" s="13"/>
      <c r="D3" s="17"/>
      <c r="E3" s="11"/>
      <c r="F3" s="11"/>
      <c r="G3" s="11"/>
      <c r="H3" s="11"/>
      <c r="I3" s="11"/>
    </row>
    <row r="4" spans="1:9" x14ac:dyDescent="0.25">
      <c r="A4" s="11"/>
      <c r="B4" s="11" t="s">
        <v>19</v>
      </c>
      <c r="C4" s="14"/>
      <c r="D4" s="17"/>
      <c r="E4" s="11"/>
      <c r="F4" s="11"/>
      <c r="G4" s="11"/>
      <c r="H4" s="11"/>
      <c r="I4" s="11"/>
    </row>
    <row r="5" spans="1:9" x14ac:dyDescent="0.25">
      <c r="A5" s="10" t="s">
        <v>20</v>
      </c>
      <c r="B5" s="10" t="s">
        <v>21</v>
      </c>
      <c r="C5" s="10" t="s">
        <v>22</v>
      </c>
      <c r="D5" s="17"/>
      <c r="E5" s="262" t="s">
        <v>23</v>
      </c>
      <c r="F5" s="262"/>
      <c r="G5" s="262"/>
      <c r="H5" s="262"/>
      <c r="I5" s="10"/>
    </row>
    <row r="6" spans="1:9" s="4" customFormat="1" x14ac:dyDescent="0.25">
      <c r="A6" s="10"/>
      <c r="B6" s="10"/>
      <c r="C6" s="10"/>
      <c r="D6" s="17"/>
      <c r="E6" s="19"/>
      <c r="F6" s="19"/>
      <c r="G6" s="19"/>
      <c r="H6" s="19"/>
      <c r="I6" s="10"/>
    </row>
    <row r="7" spans="1:9" s="31" customFormat="1" x14ac:dyDescent="0.25">
      <c r="A7" s="10" t="s">
        <v>446</v>
      </c>
      <c r="B7" s="10"/>
      <c r="C7" s="10"/>
      <c r="D7" s="17"/>
      <c r="E7" s="177"/>
      <c r="F7" s="177"/>
      <c r="G7" s="177"/>
      <c r="H7" s="177"/>
      <c r="I7" s="10"/>
    </row>
    <row r="8" spans="1:9" s="31" customFormat="1" x14ac:dyDescent="0.25">
      <c r="A8" s="181" t="s">
        <v>447</v>
      </c>
      <c r="B8" s="182">
        <v>0</v>
      </c>
      <c r="C8" s="181" t="s">
        <v>11</v>
      </c>
      <c r="D8" s="181" t="s">
        <v>448</v>
      </c>
      <c r="E8" s="177"/>
      <c r="F8" s="177"/>
      <c r="G8" s="177"/>
      <c r="H8" s="177"/>
      <c r="I8" s="10"/>
    </row>
    <row r="9" spans="1:9" s="4" customFormat="1" x14ac:dyDescent="0.25">
      <c r="A9" s="10" t="s">
        <v>51</v>
      </c>
      <c r="B9" s="10"/>
      <c r="C9" s="10"/>
      <c r="D9" s="17"/>
      <c r="E9" s="19"/>
      <c r="F9" s="19"/>
      <c r="G9" s="19"/>
      <c r="H9" s="19"/>
      <c r="I9" s="10"/>
    </row>
    <row r="10" spans="1:9" s="4" customFormat="1" x14ac:dyDescent="0.25">
      <c r="A10" s="10"/>
      <c r="B10" s="10"/>
      <c r="C10" s="10"/>
      <c r="D10" s="17"/>
      <c r="E10" s="19"/>
      <c r="F10" s="19"/>
      <c r="G10" s="19"/>
      <c r="H10" s="19"/>
      <c r="I10" s="10"/>
    </row>
    <row r="11" spans="1:9" x14ac:dyDescent="0.25">
      <c r="A11" t="s">
        <v>40</v>
      </c>
      <c r="B11" s="21">
        <v>0.8</v>
      </c>
      <c r="D11" t="s">
        <v>43</v>
      </c>
    </row>
    <row r="12" spans="1:9" s="4" customFormat="1" x14ac:dyDescent="0.25">
      <c r="A12" s="4" t="s">
        <v>44</v>
      </c>
      <c r="B12" s="22">
        <f>(1-B11)/(2.2*10^6)</f>
        <v>9.0909090909090888E-8</v>
      </c>
      <c r="C12" s="4" t="s">
        <v>47</v>
      </c>
      <c r="D12" s="4" t="s">
        <v>50</v>
      </c>
    </row>
    <row r="13" spans="1:9" x14ac:dyDescent="0.25">
      <c r="A13" s="4" t="s">
        <v>41</v>
      </c>
      <c r="B13" s="21">
        <v>0.85</v>
      </c>
      <c r="D13" s="4" t="s">
        <v>43</v>
      </c>
    </row>
    <row r="14" spans="1:9" s="4" customFormat="1" x14ac:dyDescent="0.25">
      <c r="A14" s="4" t="s">
        <v>45</v>
      </c>
      <c r="B14" s="22">
        <f>(1-B13)/(2.2*10^6)</f>
        <v>6.8181818181818186E-8</v>
      </c>
      <c r="C14" s="4" t="s">
        <v>47</v>
      </c>
      <c r="D14" s="4" t="s">
        <v>49</v>
      </c>
    </row>
    <row r="15" spans="1:9" x14ac:dyDescent="0.25">
      <c r="A15" s="4" t="s">
        <v>42</v>
      </c>
      <c r="B15" s="21">
        <v>0.9</v>
      </c>
      <c r="D15" s="4" t="s">
        <v>43</v>
      </c>
    </row>
    <row r="16" spans="1:9" x14ac:dyDescent="0.25">
      <c r="A16" t="s">
        <v>46</v>
      </c>
      <c r="B16" s="22">
        <f>(1-B15)/(2.2*10^6)</f>
        <v>4.5454545454545444E-8</v>
      </c>
      <c r="C16" t="s">
        <v>47</v>
      </c>
      <c r="D16" t="s">
        <v>48</v>
      </c>
    </row>
    <row r="18" spans="1:4" x14ac:dyDescent="0.25">
      <c r="A18" t="s">
        <v>52</v>
      </c>
      <c r="B18" s="21">
        <v>0.9</v>
      </c>
      <c r="D18" s="4" t="s">
        <v>57</v>
      </c>
    </row>
    <row r="19" spans="1:4" x14ac:dyDescent="0.25">
      <c r="A19" t="s">
        <v>53</v>
      </c>
      <c r="B19" s="21">
        <v>0.93</v>
      </c>
      <c r="D19" t="s">
        <v>55</v>
      </c>
    </row>
    <row r="20" spans="1:4" x14ac:dyDescent="0.25">
      <c r="A20" t="s">
        <v>54</v>
      </c>
      <c r="B20" s="21">
        <v>0.96</v>
      </c>
      <c r="D20" s="4" t="s">
        <v>58</v>
      </c>
    </row>
    <row r="21" spans="1:4" x14ac:dyDescent="0.25">
      <c r="B21" s="4">
        <f>IF(((1-D_limit_nom)/Constants!B14)&lt;Fsw,2,1)</f>
        <v>1</v>
      </c>
      <c r="D21" s="4" t="s">
        <v>64</v>
      </c>
    </row>
    <row r="22" spans="1:4" x14ac:dyDescent="0.25">
      <c r="A22" t="s">
        <v>69</v>
      </c>
      <c r="B22" s="1">
        <f>CHOOSE(B21,D_limit_nom,(1-Constants!B14*Fsw))</f>
        <v>0.93</v>
      </c>
      <c r="D22" s="4" t="s">
        <v>70</v>
      </c>
    </row>
    <row r="24" spans="1:4" x14ac:dyDescent="0.25">
      <c r="A24" t="s">
        <v>72</v>
      </c>
      <c r="B24" s="21">
        <f>50*10^-9</f>
        <v>5.0000000000000004E-8</v>
      </c>
      <c r="C24" t="s">
        <v>47</v>
      </c>
      <c r="D24" t="s">
        <v>73</v>
      </c>
    </row>
    <row r="25" spans="1:4" s="31" customFormat="1" x14ac:dyDescent="0.25">
      <c r="B25" s="21"/>
    </row>
    <row r="26" spans="1:4" ht="15.75" x14ac:dyDescent="0.25">
      <c r="A26" s="41" t="s">
        <v>135</v>
      </c>
    </row>
    <row r="27" spans="1:4" x14ac:dyDescent="0.25">
      <c r="A27" t="s">
        <v>109</v>
      </c>
      <c r="B27" s="21">
        <f>30*10^-6</f>
        <v>2.9999999999999997E-5</v>
      </c>
      <c r="C27" t="s">
        <v>12</v>
      </c>
      <c r="D27" t="s">
        <v>110</v>
      </c>
    </row>
    <row r="28" spans="1:4" x14ac:dyDescent="0.25">
      <c r="A28" t="s">
        <v>111</v>
      </c>
      <c r="B28" s="21">
        <v>1333</v>
      </c>
      <c r="C28" s="2" t="s">
        <v>35</v>
      </c>
      <c r="D28" t="s">
        <v>112</v>
      </c>
    </row>
    <row r="29" spans="1:4" x14ac:dyDescent="0.25">
      <c r="A29" t="s">
        <v>115</v>
      </c>
      <c r="B29" s="21">
        <f>0.1</f>
        <v>0.1</v>
      </c>
      <c r="C29" s="2" t="s">
        <v>11</v>
      </c>
      <c r="D29" t="s">
        <v>116</v>
      </c>
    </row>
    <row r="31" spans="1:4" x14ac:dyDescent="0.25">
      <c r="A31" t="s">
        <v>190</v>
      </c>
      <c r="B31" s="21">
        <v>0.14199999999999999</v>
      </c>
      <c r="C31" t="s">
        <v>144</v>
      </c>
      <c r="D31" t="s">
        <v>192</v>
      </c>
    </row>
    <row r="32" spans="1:4" x14ac:dyDescent="0.25">
      <c r="A32" t="s">
        <v>194</v>
      </c>
      <c r="B32" s="21">
        <v>1</v>
      </c>
      <c r="C32" t="s">
        <v>144</v>
      </c>
      <c r="D32" t="s">
        <v>195</v>
      </c>
    </row>
    <row r="34" spans="1:4" s="31" customFormat="1" x14ac:dyDescent="0.25">
      <c r="A34" s="46" t="s">
        <v>215</v>
      </c>
    </row>
    <row r="35" spans="1:4" s="31" customFormat="1" x14ac:dyDescent="0.25">
      <c r="A35" s="31" t="s">
        <v>234</v>
      </c>
      <c r="B35" s="31">
        <v>1</v>
      </c>
      <c r="C35" s="31" t="s">
        <v>11</v>
      </c>
      <c r="D35" s="31" t="s">
        <v>235</v>
      </c>
    </row>
    <row r="36" spans="1:4" x14ac:dyDescent="0.25">
      <c r="A36" t="s">
        <v>219</v>
      </c>
      <c r="B36">
        <f>(2*10^-3)/1</f>
        <v>2E-3</v>
      </c>
      <c r="C36" t="s">
        <v>221</v>
      </c>
      <c r="D36" t="s">
        <v>220</v>
      </c>
    </row>
    <row r="37" spans="1:4" s="31" customFormat="1" x14ac:dyDescent="0.25">
      <c r="A37" s="31" t="s">
        <v>540</v>
      </c>
      <c r="B37" s="31">
        <v>2.5</v>
      </c>
      <c r="C37" s="31" t="s">
        <v>11</v>
      </c>
      <c r="D37" s="31" t="s">
        <v>541</v>
      </c>
    </row>
    <row r="38" spans="1:4" s="31" customFormat="1" x14ac:dyDescent="0.25">
      <c r="A38" s="31" t="s">
        <v>542</v>
      </c>
      <c r="B38" s="31">
        <f>1.6*10^-3</f>
        <v>1.6000000000000001E-3</v>
      </c>
      <c r="C38" s="31" t="s">
        <v>12</v>
      </c>
      <c r="D38" s="31" t="s">
        <v>543</v>
      </c>
    </row>
    <row r="39" spans="1:4" s="31" customFormat="1" x14ac:dyDescent="0.25"/>
    <row r="40" spans="1:4" s="31" customFormat="1" x14ac:dyDescent="0.25"/>
    <row r="41" spans="1:4" s="31" customFormat="1" x14ac:dyDescent="0.25"/>
    <row r="42" spans="1:4" s="31" customFormat="1" x14ac:dyDescent="0.25"/>
    <row r="44" spans="1:4" x14ac:dyDescent="0.25">
      <c r="A44" s="46" t="s">
        <v>286</v>
      </c>
    </row>
    <row r="45" spans="1:4" x14ac:dyDescent="0.25">
      <c r="A45" t="s">
        <v>287</v>
      </c>
      <c r="B45">
        <f>10*10^-6</f>
        <v>9.9999999999999991E-6</v>
      </c>
      <c r="C45" t="s">
        <v>12</v>
      </c>
      <c r="D45" t="s">
        <v>288</v>
      </c>
    </row>
    <row r="47" spans="1:4" x14ac:dyDescent="0.25">
      <c r="A47" s="46" t="s">
        <v>308</v>
      </c>
    </row>
    <row r="48" spans="1:4" x14ac:dyDescent="0.25">
      <c r="A48" t="s">
        <v>309</v>
      </c>
      <c r="B48">
        <v>1.5</v>
      </c>
      <c r="C48" t="s">
        <v>11</v>
      </c>
      <c r="D48" t="s">
        <v>312</v>
      </c>
    </row>
    <row r="49" spans="1:4" x14ac:dyDescent="0.25">
      <c r="A49" t="s">
        <v>310</v>
      </c>
      <c r="B49">
        <v>1.45</v>
      </c>
      <c r="C49" t="s">
        <v>11</v>
      </c>
      <c r="D49" t="s">
        <v>311</v>
      </c>
    </row>
    <row r="50" spans="1:4" x14ac:dyDescent="0.25">
      <c r="A50" t="s">
        <v>315</v>
      </c>
      <c r="B50">
        <f>5*10^-6</f>
        <v>4.9999999999999996E-6</v>
      </c>
      <c r="C50" t="s">
        <v>12</v>
      </c>
      <c r="D50" t="s">
        <v>316</v>
      </c>
    </row>
    <row r="52" spans="1:4" x14ac:dyDescent="0.25">
      <c r="A52" s="46" t="s">
        <v>361</v>
      </c>
    </row>
    <row r="53" spans="1:4" x14ac:dyDescent="0.25">
      <c r="A53" t="s">
        <v>362</v>
      </c>
      <c r="B53">
        <v>6.75</v>
      </c>
      <c r="C53" t="s">
        <v>11</v>
      </c>
      <c r="D53" t="s">
        <v>363</v>
      </c>
    </row>
    <row r="55" spans="1:4" x14ac:dyDescent="0.25">
      <c r="A55" s="46" t="s">
        <v>375</v>
      </c>
    </row>
    <row r="56" spans="1:4" x14ac:dyDescent="0.25">
      <c r="A56" t="s">
        <v>376</v>
      </c>
      <c r="B56">
        <f>450*(10^-6)</f>
        <v>4.4999999999999999E-4</v>
      </c>
      <c r="C56" t="s">
        <v>12</v>
      </c>
      <c r="D56" t="s">
        <v>377</v>
      </c>
    </row>
    <row r="58" spans="1:4" x14ac:dyDescent="0.25">
      <c r="A58" t="s">
        <v>407</v>
      </c>
    </row>
    <row r="59" spans="1:4" x14ac:dyDescent="0.25">
      <c r="A59" t="s">
        <v>408</v>
      </c>
      <c r="B59">
        <v>1.5</v>
      </c>
      <c r="C59" t="s">
        <v>11</v>
      </c>
      <c r="D59" t="s">
        <v>409</v>
      </c>
    </row>
    <row r="60" spans="1:4" x14ac:dyDescent="0.25">
      <c r="A60" s="31" t="s">
        <v>411</v>
      </c>
      <c r="B60">
        <v>45</v>
      </c>
      <c r="D60" t="s">
        <v>410</v>
      </c>
    </row>
  </sheetData>
  <mergeCells count="2">
    <mergeCell ref="A1:I1"/>
    <mergeCell ref="E5:H5"/>
  </mergeCells>
  <conditionalFormatting sqref="H14">
    <cfRule type="cellIs" priority="1" operator="lessThan">
      <formula>100</formula>
    </cfRule>
  </conditionalFormatting>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2:C9"/>
  <sheetViews>
    <sheetView topLeftCell="B4" zoomScale="70" zoomScaleNormal="70" workbookViewId="0">
      <selection activeCell="C14" sqref="C14"/>
    </sheetView>
  </sheetViews>
  <sheetFormatPr defaultColWidth="9.28515625" defaultRowHeight="15" x14ac:dyDescent="0.25"/>
  <cols>
    <col min="1" max="2" width="9.28515625" style="49"/>
    <col min="3" max="3" width="145.85546875" style="208" customWidth="1"/>
    <col min="4" max="16384" width="9.28515625" style="49"/>
  </cols>
  <sheetData>
    <row r="2" spans="2:2" x14ac:dyDescent="0.25">
      <c r="B2" s="49" t="str">
        <f>CHOOSE(Variable_Management!B13,"Eff_OUT_1","Eff_OUT_2","Eff_OUT_3")</f>
        <v>Eff_OUT_1</v>
      </c>
    </row>
    <row r="3" spans="2:2" ht="379.7" customHeight="1" x14ac:dyDescent="0.25"/>
    <row r="6" spans="2:2" ht="379.7" customHeight="1" x14ac:dyDescent="0.25"/>
    <row r="9" spans="2:2" ht="379.9" customHeight="1" x14ac:dyDescent="0.25"/>
  </sheetData>
  <pageMargins left="0.7" right="0.7" top="0.75" bottom="0.75" header="0.3" footer="0.3"/>
  <pageSetup orientation="portrait" r:id="rId1"/>
  <drawing r:id="rId2"/>
  <legacy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L5"/>
  <sheetViews>
    <sheetView workbookViewId="0">
      <selection activeCell="F15" sqref="F15"/>
    </sheetView>
  </sheetViews>
  <sheetFormatPr defaultRowHeight="15" x14ac:dyDescent="0.25"/>
  <sheetData>
    <row r="1" spans="1:12" x14ac:dyDescent="0.25">
      <c r="I1" t="s">
        <v>514</v>
      </c>
    </row>
    <row r="2" spans="1:12" ht="18.75" x14ac:dyDescent="0.3">
      <c r="A2" t="s">
        <v>387</v>
      </c>
      <c r="F2" t="s">
        <v>432</v>
      </c>
      <c r="I2" s="241" t="s">
        <v>515</v>
      </c>
      <c r="L2" t="s">
        <v>635</v>
      </c>
    </row>
    <row r="3" spans="1:12" ht="18.75" x14ac:dyDescent="0.3">
      <c r="B3">
        <f>VIN_min</f>
        <v>12</v>
      </c>
      <c r="F3" t="s">
        <v>432</v>
      </c>
      <c r="G3">
        <v>1</v>
      </c>
      <c r="I3" s="241" t="s">
        <v>516</v>
      </c>
      <c r="L3" t="s">
        <v>636</v>
      </c>
    </row>
    <row r="4" spans="1:12" x14ac:dyDescent="0.25">
      <c r="B4">
        <f>VIN_nom</f>
        <v>12</v>
      </c>
      <c r="D4">
        <v>2.5</v>
      </c>
      <c r="G4">
        <v>0</v>
      </c>
      <c r="L4" t="s">
        <v>637</v>
      </c>
    </row>
    <row r="5" spans="1:12" x14ac:dyDescent="0.25">
      <c r="B5">
        <f>VIN_max</f>
        <v>12</v>
      </c>
    </row>
  </sheetData>
  <dataValidations count="3">
    <dataValidation type="list" allowBlank="1" showInputMessage="1" showErrorMessage="1" sqref="D4" xr:uid="{00000000-0002-0000-0700-000000000000}">
      <formula1>$B$3:$B$5</formula1>
    </dataValidation>
    <dataValidation type="decimal" allowBlank="1" showInputMessage="1" showErrorMessage="1" sqref="F4" xr:uid="{00000000-0002-0000-0700-000001000000}">
      <formula1>B3</formula1>
      <formula2>B5</formula2>
    </dataValidation>
    <dataValidation type="list" showDropDown="1" showInputMessage="1" showErrorMessage="1" sqref="I15" xr:uid="{00000000-0002-0000-0700-000002000000}">
      <formula1>$B$3:$B$5</formula1>
    </dataValidation>
  </dataValidations>
  <pageMargins left="0.7" right="0.7" top="0.75" bottom="0.75" header="0.3" footer="0.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I5"/>
  <sheetViews>
    <sheetView topLeftCell="A4" zoomScale="85" zoomScaleNormal="85" workbookViewId="0">
      <selection activeCell="N4" sqref="N4"/>
    </sheetView>
  </sheetViews>
  <sheetFormatPr defaultColWidth="8.85546875" defaultRowHeight="15" x14ac:dyDescent="0.25"/>
  <cols>
    <col min="1" max="1" width="8.85546875" style="208"/>
    <col min="2" max="2" width="154.42578125" style="208" customWidth="1"/>
    <col min="3" max="16384" width="8.85546875" style="208"/>
  </cols>
  <sheetData>
    <row r="2" spans="1:9" x14ac:dyDescent="0.25">
      <c r="A2" s="208" t="str">
        <f>IF(FB_type=1,"LOOP_ISO","LOOP_nISO")</f>
        <v>LOOP_ISO</v>
      </c>
    </row>
    <row r="3" spans="1:9" ht="377.25" customHeight="1" x14ac:dyDescent="0.25">
      <c r="D3" s="208" t="s">
        <v>652</v>
      </c>
    </row>
    <row r="4" spans="1:9" ht="333" customHeight="1" x14ac:dyDescent="0.25">
      <c r="D4" s="208" t="s">
        <v>651</v>
      </c>
    </row>
    <row r="5" spans="1:9" ht="409.15" customHeight="1" x14ac:dyDescent="0.25">
      <c r="I5" s="208">
        <f>LoopLookup</f>
        <v>0</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10</vt:i4>
      </vt:variant>
      <vt:variant>
        <vt:lpstr>Named Ranges</vt:lpstr>
      </vt:variant>
      <vt:variant>
        <vt:i4>201</vt:i4>
      </vt:variant>
    </vt:vector>
  </HeadingPairs>
  <TitlesOfParts>
    <vt:vector size="211" baseType="lpstr">
      <vt:lpstr>Design Converter</vt:lpstr>
      <vt:lpstr>Variable_Management</vt:lpstr>
      <vt:lpstr>CCM_Loop_Modeling_Isolated</vt:lpstr>
      <vt:lpstr>CCM_Loop_Modeling_non_isolated</vt:lpstr>
      <vt:lpstr>Eff_vs_IOUT</vt:lpstr>
      <vt:lpstr>Constants</vt:lpstr>
      <vt:lpstr>Plot_Management_Eff</vt:lpstr>
      <vt:lpstr>Lists</vt:lpstr>
      <vt:lpstr>Plot Management_Loop</vt:lpstr>
      <vt:lpstr>Plot Management_Sch</vt:lpstr>
      <vt:lpstr>Acs</vt:lpstr>
      <vt:lpstr>CCM_Loop_Modeling_Isolated!Adc</vt:lpstr>
      <vt:lpstr>Adc</vt:lpstr>
      <vt:lpstr>Adc_ea</vt:lpstr>
      <vt:lpstr>CCM_Loop_Modeling_Isolated!Adc_ea_iso</vt:lpstr>
      <vt:lpstr>ADC_VINmin</vt:lpstr>
      <vt:lpstr>CCOMP</vt:lpstr>
      <vt:lpstr>CComp_calc</vt:lpstr>
      <vt:lpstr>Ccomp_iso</vt:lpstr>
      <vt:lpstr>Ccomp_iso_calc</vt:lpstr>
      <vt:lpstr>CD3_</vt:lpstr>
      <vt:lpstr>CHF</vt:lpstr>
      <vt:lpstr>Comp_calc</vt:lpstr>
      <vt:lpstr>Copto</vt:lpstr>
      <vt:lpstr>Cout_total</vt:lpstr>
      <vt:lpstr>Cout1</vt:lpstr>
      <vt:lpstr>Cout1_min</vt:lpstr>
      <vt:lpstr>Cout2</vt:lpstr>
      <vt:lpstr>Cout2_min</vt:lpstr>
      <vt:lpstr>Cout3</vt:lpstr>
      <vt:lpstr>Cout3_min</vt:lpstr>
      <vt:lpstr>D_limit_max</vt:lpstr>
      <vt:lpstr>D_limit_min</vt:lpstr>
      <vt:lpstr>D_limit_nom</vt:lpstr>
      <vt:lpstr>CCM_Loop_Modeling_Isolated!Dc_var_ccm</vt:lpstr>
      <vt:lpstr>Dc_var_ccm</vt:lpstr>
      <vt:lpstr>Dc_VIN_max</vt:lpstr>
      <vt:lpstr>Dc_VIN_min</vt:lpstr>
      <vt:lpstr>Dc_VIN_nom</vt:lpstr>
      <vt:lpstr>Dmax_limit</vt:lpstr>
      <vt:lpstr>EFF_est</vt:lpstr>
      <vt:lpstr>Eff_OUT_1</vt:lpstr>
      <vt:lpstr>Eff_OUT_2</vt:lpstr>
      <vt:lpstr>Eff_OUT_3</vt:lpstr>
      <vt:lpstr>Eff_vs_IOUT</vt:lpstr>
      <vt:lpstr>EN_OUT_2</vt:lpstr>
      <vt:lpstr>EN_OUT_3</vt:lpstr>
      <vt:lpstr>FB_type</vt:lpstr>
      <vt:lpstr>fcross</vt:lpstr>
      <vt:lpstr>fcross_est</vt:lpstr>
      <vt:lpstr>fcross_iso</vt:lpstr>
      <vt:lpstr>fcross_iso_est</vt:lpstr>
      <vt:lpstr>fopto</vt:lpstr>
      <vt:lpstr>fp_ea_est</vt:lpstr>
      <vt:lpstr>Fsw</vt:lpstr>
      <vt:lpstr>fz_ea_est</vt:lpstr>
      <vt:lpstr>fz_rhp</vt:lpstr>
      <vt:lpstr>Gcomp</vt:lpstr>
      <vt:lpstr>Gea_mid_calc</vt:lpstr>
      <vt:lpstr>gfs</vt:lpstr>
      <vt:lpstr>gm_ea</vt:lpstr>
      <vt:lpstr>CCM_Loop_Modeling_Isolated!Gplant_fc_dB</vt:lpstr>
      <vt:lpstr>Gplant_fc_dB</vt:lpstr>
      <vt:lpstr>Icomp_sink_max</vt:lpstr>
      <vt:lpstr>IL_avg_VIN_max</vt:lpstr>
      <vt:lpstr>IL_avg_VIN_min</vt:lpstr>
      <vt:lpstr>IL_avg_VIN_nom</vt:lpstr>
      <vt:lpstr>IL_pk</vt:lpstr>
      <vt:lpstr>IL_pk_max</vt:lpstr>
      <vt:lpstr>ILp_VINmax</vt:lpstr>
      <vt:lpstr>ILp_VINmin</vt:lpstr>
      <vt:lpstr>ILp_VINnom</vt:lpstr>
      <vt:lpstr>ILrip</vt:lpstr>
      <vt:lpstr>ILrip_VINmax</vt:lpstr>
      <vt:lpstr>ILrip_VINmin</vt:lpstr>
      <vt:lpstr>ILrip_VINnom</vt:lpstr>
      <vt:lpstr>IOUT1</vt:lpstr>
      <vt:lpstr>IOUT2</vt:lpstr>
      <vt:lpstr>IOUT3</vt:lpstr>
      <vt:lpstr>Ipk_margin</vt:lpstr>
      <vt:lpstr>Ipk_selected</vt:lpstr>
      <vt:lpstr>IQ</vt:lpstr>
      <vt:lpstr>IRMS_COUT</vt:lpstr>
      <vt:lpstr>Isl</vt:lpstr>
      <vt:lpstr>Iss</vt:lpstr>
      <vt:lpstr>kopto_max</vt:lpstr>
      <vt:lpstr>kopto_min</vt:lpstr>
      <vt:lpstr>Kslope</vt:lpstr>
      <vt:lpstr>Lm</vt:lpstr>
      <vt:lpstr>LOOP_ISO</vt:lpstr>
      <vt:lpstr>LOOP_nISO</vt:lpstr>
      <vt:lpstr>CCM_Loop_Modeling_Isolated!mc</vt:lpstr>
      <vt:lpstr>mc</vt:lpstr>
      <vt:lpstr>Np</vt:lpstr>
      <vt:lpstr>NS1_</vt:lpstr>
      <vt:lpstr>NS2_</vt:lpstr>
      <vt:lpstr>NS3_</vt:lpstr>
      <vt:lpstr>POUT_Total</vt:lpstr>
      <vt:lpstr>CCM_Loop_Modeling_Isolated!Pout_var</vt:lpstr>
      <vt:lpstr>Pout_var</vt:lpstr>
      <vt:lpstr>POUT1</vt:lpstr>
      <vt:lpstr>POUT2</vt:lpstr>
      <vt:lpstr>POUT3</vt:lpstr>
      <vt:lpstr>'Design Converter'!Print_Area</vt:lpstr>
      <vt:lpstr>CCM_Loop_Modeling_Isolated!Q</vt:lpstr>
      <vt:lpstr>Q</vt:lpstr>
      <vt:lpstr>Q_VINmin</vt:lpstr>
      <vt:lpstr>Qg_tot</vt:lpstr>
      <vt:lpstr>Qgd</vt:lpstr>
      <vt:lpstr>Qgs</vt:lpstr>
      <vt:lpstr>QRR1_</vt:lpstr>
      <vt:lpstr>QRR2_</vt:lpstr>
      <vt:lpstr>QRR3_</vt:lpstr>
      <vt:lpstr>R_cs</vt:lpstr>
      <vt:lpstr>R_sl</vt:lpstr>
      <vt:lpstr>RCOMP</vt:lpstr>
      <vt:lpstr>Rcomp_calc</vt:lpstr>
      <vt:lpstr>Rcomp_iso</vt:lpstr>
      <vt:lpstr>Rcs_max</vt:lpstr>
      <vt:lpstr>Rcs_w_sl</vt:lpstr>
      <vt:lpstr>Rcs_wo_sl</vt:lpstr>
      <vt:lpstr>Rdcr</vt:lpstr>
      <vt:lpstr>Rdcr1</vt:lpstr>
      <vt:lpstr>Rdcr2</vt:lpstr>
      <vt:lpstr>Rdcr3</vt:lpstr>
      <vt:lpstr>RDS_on</vt:lpstr>
      <vt:lpstr>Resr_total</vt:lpstr>
      <vt:lpstr>Resr1</vt:lpstr>
      <vt:lpstr>Resr2</vt:lpstr>
      <vt:lpstr>Resr2_Trans</vt:lpstr>
      <vt:lpstr>Resr3</vt:lpstr>
      <vt:lpstr>Resr3_Trans</vt:lpstr>
      <vt:lpstr>RFBB</vt:lpstr>
      <vt:lpstr>RFBB_calc</vt:lpstr>
      <vt:lpstr>RFBB_iso</vt:lpstr>
      <vt:lpstr>RFBB_iso_calc</vt:lpstr>
      <vt:lpstr>RFBT</vt:lpstr>
      <vt:lpstr>RFBT_iso</vt:lpstr>
      <vt:lpstr>Rgate</vt:lpstr>
      <vt:lpstr>RLED</vt:lpstr>
      <vt:lpstr>ROUT1</vt:lpstr>
      <vt:lpstr>ROUT2</vt:lpstr>
      <vt:lpstr>ROUT3</vt:lpstr>
      <vt:lpstr>Rpullup</vt:lpstr>
      <vt:lpstr>Rpullup_min</vt:lpstr>
      <vt:lpstr>Rsl_int</vt:lpstr>
      <vt:lpstr>RT</vt:lpstr>
      <vt:lpstr>Ruvlo_bottom_calc</vt:lpstr>
      <vt:lpstr>Ruvlo_top</vt:lpstr>
      <vt:lpstr>Ruvlo_top_calc</vt:lpstr>
      <vt:lpstr>sch_ISO_1</vt:lpstr>
      <vt:lpstr>sch_ISO_2</vt:lpstr>
      <vt:lpstr>sch_ISO_3</vt:lpstr>
      <vt:lpstr>sch_nISO_1</vt:lpstr>
      <vt:lpstr>sch_nISO_2</vt:lpstr>
      <vt:lpstr>sch_nISO_3</vt:lpstr>
      <vt:lpstr>Se_VINmin</vt:lpstr>
      <vt:lpstr>Sn_VINmin</vt:lpstr>
      <vt:lpstr>tf_sw</vt:lpstr>
      <vt:lpstr>tr_sw</vt:lpstr>
      <vt:lpstr>tss</vt:lpstr>
      <vt:lpstr>UV_fall</vt:lpstr>
      <vt:lpstr>UV_I_hyst</vt:lpstr>
      <vt:lpstr>UV_rise</vt:lpstr>
      <vt:lpstr>Vcc</vt:lpstr>
      <vt:lpstr>VCE_sat</vt:lpstr>
      <vt:lpstr>Vcl</vt:lpstr>
      <vt:lpstr>Vcomp_max</vt:lpstr>
      <vt:lpstr>VD</vt:lpstr>
      <vt:lpstr>Vd_opto</vt:lpstr>
      <vt:lpstr>VD1_</vt:lpstr>
      <vt:lpstr>VD2_</vt:lpstr>
      <vt:lpstr>VD3_</vt:lpstr>
      <vt:lpstr>VIN_max</vt:lpstr>
      <vt:lpstr>VIN_min</vt:lpstr>
      <vt:lpstr>VIN_nom</vt:lpstr>
      <vt:lpstr>VIN_op_max</vt:lpstr>
      <vt:lpstr>VIN_op_min</vt:lpstr>
      <vt:lpstr>VIN_var</vt:lpstr>
      <vt:lpstr>VOUT1</vt:lpstr>
      <vt:lpstr>Vout1_rip_sel</vt:lpstr>
      <vt:lpstr>VOUT2</vt:lpstr>
      <vt:lpstr>Vout2_rip_sel</vt:lpstr>
      <vt:lpstr>VOUT3</vt:lpstr>
      <vt:lpstr>Vout3_rip_sel</vt:lpstr>
      <vt:lpstr>Vpullup</vt:lpstr>
      <vt:lpstr>Vref</vt:lpstr>
      <vt:lpstr>Vref_iso</vt:lpstr>
      <vt:lpstr>Vth</vt:lpstr>
      <vt:lpstr>Vuvlo_off</vt:lpstr>
      <vt:lpstr>Vuvlo_on</vt:lpstr>
      <vt:lpstr>CCM_Loop_Modeling_Isolated!wp_lf</vt:lpstr>
      <vt:lpstr>wp_lf</vt:lpstr>
      <vt:lpstr>wp_lf_VINmin</vt:lpstr>
      <vt:lpstr>wp0_ea</vt:lpstr>
      <vt:lpstr>wp1_ea</vt:lpstr>
      <vt:lpstr>CCM_Loop_Modeling_Isolated!wpA_ea_iso</vt:lpstr>
      <vt:lpstr>CCM_Loop_Modeling_Isolated!wpB_ea_iso</vt:lpstr>
      <vt:lpstr>wpC_ea_iso</vt:lpstr>
      <vt:lpstr>CCM_Loop_Modeling_Isolated!wsl</vt:lpstr>
      <vt:lpstr>wsl</vt:lpstr>
      <vt:lpstr>wsl_VINmin</vt:lpstr>
      <vt:lpstr>wz_ea</vt:lpstr>
      <vt:lpstr>CCM_Loop_Modeling_Isolated!wz_esr</vt:lpstr>
      <vt:lpstr>wz_esr</vt:lpstr>
      <vt:lpstr>wz_esr_VINmin</vt:lpstr>
      <vt:lpstr>CCM_Loop_Modeling_Isolated!wz_rhp</vt:lpstr>
      <vt:lpstr>wz_rhp</vt:lpstr>
      <vt:lpstr>wz_RHP_VINmin</vt:lpstr>
      <vt:lpstr>wz1_ea_iso</vt:lpstr>
      <vt:lpstr>CCM_Loop_Modeling_Isolated!wz2_ea_iso</vt:lpstr>
    </vt:vector>
  </TitlesOfParts>
  <Company>Texas Instruments Incorporated</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BMC-BCS</dc:creator>
  <cp:lastModifiedBy>Ryan Tran</cp:lastModifiedBy>
  <cp:lastPrinted>2018-08-09T07:13:51Z</cp:lastPrinted>
  <dcterms:created xsi:type="dcterms:W3CDTF">2018-06-26T09:13:29Z</dcterms:created>
  <dcterms:modified xsi:type="dcterms:W3CDTF">2021-05-30T04:45:19Z</dcterms:modified>
</cp:coreProperties>
</file>